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575" windowWidth="13125" windowHeight="2760" tabRatio="853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_STA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POPsubset!$A$1:$K$372</definedName>
  </definedNames>
  <calcPr calcId="145621"/>
</workbook>
</file>

<file path=xl/calcChain.xml><?xml version="1.0" encoding="utf-8"?>
<calcChain xmlns="http://schemas.openxmlformats.org/spreadsheetml/2006/main">
  <c r="R7" i="61" l="1"/>
  <c r="X7" i="69" l="1"/>
  <c r="W7" i="69"/>
  <c r="V7" i="69"/>
  <c r="W7" i="66"/>
  <c r="V7" i="66"/>
  <c r="U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G7" i="66"/>
  <c r="AH7" i="66"/>
  <c r="AI7" i="66"/>
  <c r="AF7" i="66"/>
  <c r="AD7" i="66"/>
  <c r="AE7" i="66"/>
  <c r="AC7" i="66"/>
  <c r="Z7" i="66"/>
  <c r="AA7" i="66"/>
  <c r="AB7" i="66"/>
  <c r="Y7" i="66"/>
  <c r="AQ7" i="65"/>
  <c r="AP7" i="65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X7" i="62" l="1"/>
  <c r="AK7" i="62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CO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BT7" i="58" l="1"/>
  <c r="BP7" i="58"/>
  <c r="BS7" i="58"/>
  <c r="BR7" i="58"/>
  <c r="BQ7" i="58"/>
  <c r="BO7" i="58"/>
  <c r="BN7" i="58"/>
  <c r="BL7" i="58"/>
  <c r="BM7" i="58"/>
  <c r="CN7" i="54"/>
  <c r="CH7" i="53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X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H5" i="66"/>
  <c r="AA5" i="66"/>
  <c r="AE5" i="66"/>
  <c r="AG5" i="66"/>
  <c r="AB5" i="66"/>
  <c r="AF5" i="66"/>
  <c r="AI5" i="66"/>
  <c r="Z5" i="66"/>
  <c r="AD5" i="66"/>
  <c r="Y5" i="66"/>
  <c r="AC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<sst xmlns="http://schemas.openxmlformats.org/spreadsheetml/2006/main" count="6466" uniqueCount="1651">
  <si>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</si>
  <si>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</si>
  <si>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</si>
  <si>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</si>
  <si>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</si>
  <si>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</si>
  <si>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</si>
  <si>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</si>
  <si>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</si>
  <si>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</si>
  <si>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</si>
  <si>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</si>
  <si>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</si>
  <si>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</si>
  <si>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</si>
  <si>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</si>
  <si>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</si>
  <si>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</si>
  <si>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</si>
  <si>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</si>
  <si>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</si>
  <si>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</si>
  <si>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</si>
  <si>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</si>
  <si>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</si>
  <si>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</si>
  <si>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</si>
  <si>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</si>
  <si>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</si>
  <si>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</si>
  <si>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</si>
  <si>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</si>
  <si>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</si>
  <si>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</si>
  <si>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</si>
  <si>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</si>
  <si>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</si>
  <si>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</si>
  <si>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</si>
  <si>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</si>
  <si>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</si>
  <si>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</si>
  <si>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</si>
  <si>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</si>
  <si>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</si>
  <si>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</si>
  <si>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</si>
  <si>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</si>
  <si>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</si>
  <si>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</si>
  <si>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</si>
  <si>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</si>
  <si>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</si>
  <si>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</si>
  <si>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</si>
  <si>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</si>
  <si>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</si>
  <si>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</si>
  <si>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</si>
  <si>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</si>
  <si>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</si>
  <si>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</si>
  <si>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</si>
  <si>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</si>
  <si>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</si>
  <si>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</si>
  <si>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</si>
  <si>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</si>
  <si>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</si>
  <si>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</si>
  <si>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</si>
  <si>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</si>
  <si>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</si>
  <si>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</si>
  <si>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</si>
  <si>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</si>
  <si>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</si>
  <si>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</si>
  <si>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</si>
  <si>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</si>
  <si>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</si>
  <si>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</si>
  <si>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</si>
  <si>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</si>
  <si>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</si>
  <si>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</si>
  <si>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</si>
  <si>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</si>
  <si>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</si>
  <si>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</si>
  <si>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</si>
  <si>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</si>
  <si>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</si>
  <si>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</si>
  <si>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</si>
  <si>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</si>
  <si>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</si>
  <si>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</si>
  <si>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</si>
  <si>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</si>
  <si>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</si>
  <si>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</si>
  <si>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</si>
  <si>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</si>
  <si>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</si>
  <si>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</si>
  <si>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</si>
  <si>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</si>
  <si>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</si>
  <si>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</si>
  <si>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</si>
  <si>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</si>
  <si>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</si>
  <si>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</si>
  <si>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</si>
  <si>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</si>
  <si>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</si>
  <si>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</si>
  <si>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</si>
  <si>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</si>
  <si>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</si>
  <si>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</si>
  <si>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</si>
  <si>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</si>
  <si>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</si>
  <si>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</si>
  <si>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</si>
  <si>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</si>
  <si>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</si>
  <si>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</si>
  <si>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</si>
  <si>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</si>
  <si>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</si>
  <si>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</si>
  <si>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</si>
  <si>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</si>
  <si>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</si>
  <si>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</si>
  <si>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</si>
  <si>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</si>
  <si>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</si>
  <si>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</si>
  <si>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</si>
  <si>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</si>
  <si>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</si>
  <si>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</si>
  <si>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</si>
  <si>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</si>
  <si>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</si>
  <si>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</si>
  <si>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</si>
  <si>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</si>
  <si>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</si>
  <si>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</si>
  <si>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</si>
  <si>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</si>
  <si>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</si>
  <si>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</si>
  <si>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</si>
  <si>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</si>
  <si>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</si>
  <si>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</si>
  <si>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</si>
  <si>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</si>
  <si>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</si>
  <si>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</si>
  <si>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</si>
  <si>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</si>
  <si>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</si>
  <si>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</si>
  <si>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</si>
  <si>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</si>
  <si>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</si>
  <si>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</si>
  <si>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</si>
  <si>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</si>
  <si>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</si>
  <si>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</si>
  <si>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</si>
  <si>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</si>
  <si>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</si>
  <si>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</si>
  <si>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</si>
  <si>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</si>
  <si>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</si>
  <si>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</si>
  <si>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</si>
  <si>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</si>
  <si>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</si>
  <si>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</si>
  <si>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</si>
  <si>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</si>
  <si>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</si>
  <si>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</si>
  <si>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</si>
  <si>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</si>
  <si>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</si>
  <si>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</si>
  <si>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</si>
  <si>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</si>
  <si>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</si>
  <si>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</si>
  <si>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</si>
  <si>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</si>
  <si>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</si>
  <si>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</si>
  <si>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</si>
  <si>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</si>
  <si>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</si>
  <si>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</si>
  <si>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</si>
  <si>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</si>
  <si>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</si>
  <si>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</si>
  <si>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</si>
  <si>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</si>
  <si>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</si>
  <si>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</si>
  <si>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</si>
  <si>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</si>
  <si>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</si>
  <si>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</si>
  <si>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</si>
  <si>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</si>
  <si>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</si>
  <si>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</si>
  <si>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</si>
  <si>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</si>
  <si>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</si>
  <si>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</si>
  <si>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</si>
  <si>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</si>
  <si>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</si>
  <si>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</si>
  <si>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</si>
  <si>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</si>
  <si>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</si>
  <si>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</si>
  <si>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</si>
  <si>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</si>
  <si>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</si>
  <si>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</si>
  <si>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</si>
  <si>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</si>
  <si>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</si>
  <si>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</si>
  <si>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</si>
  <si>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</si>
  <si>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</si>
  <si>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</si>
  <si>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</si>
  <si>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</si>
  <si>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</si>
  <si>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</si>
  <si>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</si>
  <si>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</si>
  <si>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</si>
  <si>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</si>
  <si>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</si>
  <si>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</si>
  <si>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</si>
  <si>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</si>
  <si>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</si>
  <si>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</si>
  <si>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</si>
  <si>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</si>
  <si>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</si>
  <si>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</si>
  <si>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</si>
  <si>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</si>
  <si>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</si>
  <si>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</si>
  <si>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</si>
  <si>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</si>
  <si>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</si>
  <si>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</si>
  <si>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</si>
  <si>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</si>
  <si>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</si>
  <si>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</si>
  <si>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</si>
  <si>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</si>
  <si>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</si>
  <si>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</si>
  <si>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</si>
  <si>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</si>
  <si>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</si>
  <si>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</si>
  <si>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</si>
  <si>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</si>
  <si>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</si>
  <si>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</si>
  <si>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</si>
  <si>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</si>
  <si>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</si>
  <si>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</si>
  <si>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</si>
  <si>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</si>
  <si>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</si>
  <si>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</si>
  <si>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</si>
  <si>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</si>
  <si>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</si>
  <si>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</si>
  <si>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</si>
  <si>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</si>
  <si>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</si>
  <si>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</si>
  <si>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</si>
  <si>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</si>
  <si>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</si>
  <si>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</si>
  <si>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</si>
  <si>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</si>
  <si>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</si>
  <si>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</si>
  <si>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</si>
  <si>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</si>
  <si>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</si>
  <si>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</si>
  <si>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</si>
  <si>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</si>
  <si>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</si>
  <si>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</si>
  <si>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</si>
  <si>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</si>
  <si>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</si>
  <si>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</si>
  <si>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</si>
  <si>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</si>
  <si>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</si>
  <si>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</si>
  <si>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</si>
  <si>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</si>
  <si>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</si>
  <si>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</si>
  <si>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</si>
  <si>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</si>
  <si>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</si>
  <si>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</si>
  <si>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</si>
  <si>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</si>
  <si>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</si>
  <si>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</si>
  <si>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</si>
  <si>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</si>
  <si>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</si>
  <si>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</si>
  <si>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</si>
  <si>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</si>
  <si>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</si>
  <si>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</si>
  <si>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</si>
  <si>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</si>
  <si>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</si>
  <si>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</si>
  <si>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</si>
  <si>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</si>
  <si>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</si>
  <si>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</si>
  <si>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</si>
  <si>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</si>
  <si>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</si>
  <si>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</si>
  <si>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</si>
  <si>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</si>
  <si>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</si>
  <si>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</si>
  <si>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</si>
  <si>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</si>
  <si>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</si>
  <si>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</si>
  <si>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</si>
  <si>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</si>
  <si>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</si>
  <si>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</si>
  <si>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</si>
  <si>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</si>
  <si>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</si>
  <si>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</si>
  <si>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</si>
  <si>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</si>
  <si>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</si>
  <si>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</si>
  <si>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</si>
  <si>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</si>
  <si>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</si>
  <si>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</si>
  <si>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</si>
  <si>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</si>
  <si>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</si>
  <si>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</si>
  <si>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</si>
  <si>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</si>
  <si>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</si>
  <si>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</si>
  <si>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</si>
  <si>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</si>
  <si>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</si>
  <si>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</si>
  <si>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</si>
  <si>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</si>
  <si>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</si>
  <si>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</si>
  <si>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</si>
  <si>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</si>
  <si>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</si>
  <si>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</si>
  <si>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</si>
  <si>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</si>
  <si>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</si>
  <si>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</si>
  <si>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</si>
  <si>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</si>
  <si>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</si>
  <si>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</si>
  <si>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</si>
  <si>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</si>
  <si>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</si>
  <si>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</si>
  <si>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</si>
  <si>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</si>
  <si>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</si>
  <si>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</si>
  <si>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</si>
  <si>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</si>
  <si>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</si>
  <si>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</si>
  <si>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</si>
  <si>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</si>
  <si>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</si>
  <si>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</si>
  <si>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</si>
  <si>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</si>
  <si>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</si>
  <si>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</si>
  <si>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</si>
  <si>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</si>
  <si>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</si>
  <si>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</si>
  <si>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</si>
  <si>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</si>
  <si>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</si>
  <si>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</si>
  <si>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</si>
  <si>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</si>
  <si>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</si>
  <si>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</si>
  <si>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</si>
  <si>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</si>
  <si>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</si>
  <si>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</si>
  <si>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</si>
  <si>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</si>
  <si>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</si>
  <si>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</si>
  <si>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</si>
  <si>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</si>
  <si>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</si>
  <si>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</si>
  <si>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</si>
  <si>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</si>
  <si>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</si>
  <si>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</si>
  <si>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</si>
  <si>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</si>
  <si>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</si>
  <si>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</si>
  <si>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</si>
  <si>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</si>
  <si>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</si>
  <si>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</si>
  <si>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</si>
  <si>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</si>
  <si>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</si>
  <si>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</si>
  <si>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</si>
  <si>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</si>
  <si>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</si>
  <si>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</si>
  <si>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</si>
  <si>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</si>
  <si>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</si>
  <si>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</si>
  <si>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</si>
  <si>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</si>
  <si>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</si>
  <si>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</si>
  <si>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</si>
  <si>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</si>
  <si>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</si>
  <si>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</si>
  <si>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</si>
  <si>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</si>
  <si>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</si>
  <si>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</si>
  <si>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</si>
  <si>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</si>
  <si>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</si>
  <si>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</si>
  <si>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</si>
  <si>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</si>
  <si>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</si>
  <si>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</si>
  <si>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</si>
  <si>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</si>
  <si>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</si>
  <si>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</si>
  <si>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</si>
  <si>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</si>
  <si>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</si>
  <si>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</si>
  <si>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</si>
  <si>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</si>
  <si>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</si>
  <si>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</si>
  <si>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</si>
  <si>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</si>
  <si>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</si>
  <si>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</si>
  <si>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</si>
  <si>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</si>
  <si>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</si>
  <si>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</si>
  <si>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</si>
  <si>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</si>
  <si>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</si>
  <si>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</si>
  <si>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</si>
  <si>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</si>
  <si>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</si>
  <si>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</si>
  <si>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</si>
  <si>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</si>
  <si>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</si>
  <si>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</si>
  <si>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</si>
  <si>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</si>
  <si>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</si>
  <si>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</si>
  <si>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</si>
  <si>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</si>
  <si>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</si>
  <si>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</si>
  <si>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</si>
  <si>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</si>
  <si>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</si>
  <si>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</si>
  <si>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</si>
  <si>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</si>
  <si>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</si>
  <si>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</si>
  <si>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</si>
  <si>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</si>
  <si>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</si>
  <si>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</si>
  <si>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</si>
  <si>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</si>
  <si>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</si>
  <si>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</si>
  <si>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</si>
  <si>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</si>
  <si>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</si>
  <si>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</si>
  <si>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</si>
  <si>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</si>
  <si>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</si>
  <si>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</si>
  <si>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</si>
  <si>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</si>
  <si>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</si>
  <si>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</si>
  <si>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</si>
  <si>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</si>
  <si>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</si>
  <si>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</si>
  <si>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</si>
  <si>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</si>
  <si>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</si>
  <si>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</si>
  <si>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</si>
  <si>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</si>
  <si>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</si>
  <si>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</si>
  <si>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</si>
  <si>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</si>
  <si>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</si>
  <si>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</si>
  <si>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</si>
  <si>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</si>
  <si>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</si>
  <si>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</si>
  <si>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</si>
  <si>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</si>
  <si>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</si>
  <si>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</si>
  <si>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</si>
  <si>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</si>
  <si>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</si>
  <si>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</si>
  <si>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</si>
  <si>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</si>
  <si>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</si>
  <si>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</si>
  <si>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</si>
  <si>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</si>
  <si>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</si>
  <si>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</si>
  <si>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</si>
  <si>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</si>
  <si>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</si>
  <si>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</si>
  <si>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</si>
  <si>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</si>
  <si>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</si>
  <si>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</si>
  <si>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</si>
  <si>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</si>
  <si>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</si>
  <si>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</si>
  <si>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</si>
  <si>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</si>
  <si>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</si>
  <si>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</si>
  <si>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</si>
  <si>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</si>
  <si>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</si>
  <si>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</si>
  <si>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</si>
  <si>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</si>
  <si>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</si>
  <si>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</si>
  <si>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</si>
  <si>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</si>
  <si>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</si>
  <si>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</si>
  <si>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</si>
  <si>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</si>
  <si>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</si>
  <si>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</si>
  <si>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</si>
  <si>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</si>
  <si>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</si>
  <si>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</si>
  <si>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</si>
  <si>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</si>
  <si>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</si>
  <si>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</si>
  <si>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</si>
  <si>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</si>
  <si>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</si>
  <si>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</si>
  <si>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</si>
  <si>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</si>
  <si>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</si>
  <si>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</si>
  <si>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</si>
  <si>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</si>
  <si>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</si>
  <si>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</si>
  <si>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</si>
  <si>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</si>
  <si>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</si>
  <si>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</si>
  <si>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</si>
  <si>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</si>
  <si>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</si>
  <si>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</si>
  <si>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</si>
  <si>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</si>
  <si>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</si>
  <si>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</si>
  <si>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</si>
  <si>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</si>
  <si>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</si>
  <si>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</si>
  <si>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</si>
  <si>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</si>
  <si>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</si>
  <si>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</si>
  <si>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</si>
  <si>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</si>
  <si>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</si>
  <si>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</si>
  <si>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</si>
  <si>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</si>
  <si>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</si>
  <si>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</si>
  <si>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</si>
  <si>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</si>
  <si>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</si>
  <si>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</si>
  <si>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</si>
  <si>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</si>
  <si>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</si>
  <si>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</si>
  <si>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</si>
  <si>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</si>
  <si>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</si>
  <si>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</si>
  <si>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</si>
  <si>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</si>
  <si>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</si>
  <si>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</si>
  <si>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</si>
  <si>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</si>
  <si>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</si>
  <si>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</si>
  <si>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</si>
  <si>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</si>
  <si>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</si>
  <si>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</si>
  <si>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</si>
  <si>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</si>
  <si>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</si>
  <si>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</si>
  <si>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</si>
  <si>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</si>
  <si>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</si>
  <si>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</si>
  <si>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</si>
  <si>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</si>
  <si>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</si>
  <si>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</si>
  <si>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</si>
  <si>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</si>
  <si>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</si>
  <si>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</si>
  <si>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</si>
  <si>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</si>
  <si>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</si>
  <si>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</si>
  <si>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</si>
  <si>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</si>
  <si>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</si>
  <si>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</si>
  <si>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</si>
  <si>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</si>
  <si>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</si>
  <si>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</si>
  <si>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</si>
  <si>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</si>
  <si>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</si>
  <si>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</si>
  <si>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</si>
  <si>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</si>
  <si>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</si>
  <si>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</si>
  <si>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</si>
  <si>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</si>
  <si>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</si>
  <si>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</si>
  <si>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</si>
  <si>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</si>
  <si>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</si>
  <si>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</si>
  <si>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</si>
  <si>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</si>
  <si>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</si>
  <si>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</si>
  <si>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</si>
  <si>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</si>
  <si>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</si>
  <si>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</si>
  <si>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</si>
  <si>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</si>
  <si>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</si>
  <si>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</si>
  <si>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</si>
  <si>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</si>
  <si>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</si>
  <si>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</si>
  <si>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</si>
  <si>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</si>
  <si>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</si>
  <si>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</si>
  <si>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</si>
  <si>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</si>
  <si>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</si>
  <si>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</si>
  <si>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</si>
  <si>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</si>
  <si>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</si>
  <si>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</si>
  <si>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</si>
  <si>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</si>
  <si>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</si>
  <si>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</si>
  <si>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</si>
  <si>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</si>
  <si>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</si>
  <si>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</si>
  <si>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</si>
  <si>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</si>
  <si>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</si>
  <si>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</si>
  <si>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</si>
  <si>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</si>
  <si>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</si>
  <si>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</si>
  <si>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</si>
  <si>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</si>
  <si>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</si>
  <si>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</si>
  <si>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</si>
  <si>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</si>
  <si>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</si>
  <si>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</si>
  <si>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</si>
  <si>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</si>
  <si>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</si>
  <si>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</si>
  <si>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</si>
  <si>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</si>
  <si>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</si>
  <si>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</si>
  <si>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</si>
  <si>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</si>
  <si>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</si>
  <si>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</si>
  <si>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</si>
  <si>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</si>
  <si>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</si>
  <si>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</si>
  <si>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</si>
  <si>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</si>
  <si>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</si>
  <si>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</si>
  <si>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</si>
  <si>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</si>
  <si>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</si>
  <si>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</si>
  <si>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</si>
  <si>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</si>
  <si>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</si>
  <si>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</si>
  <si>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</si>
  <si>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</si>
  <si>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</si>
  <si>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</si>
  <si>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</si>
  <si>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</si>
  <si>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</si>
  <si>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</si>
  <si>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</si>
  <si>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</si>
  <si>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</si>
  <si>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</si>
  <si>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</si>
  <si>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</si>
  <si>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</si>
  <si>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</si>
  <si>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</si>
  <si>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</si>
  <si>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</si>
  <si>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</si>
  <si>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</si>
  <si>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</si>
  <si>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</si>
  <si>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</si>
  <si>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</si>
  <si>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</si>
  <si>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</si>
  <si>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</si>
  <si>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</si>
  <si>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</si>
  <si>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</si>
  <si>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</si>
  <si>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</si>
  <si>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</si>
  <si>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</si>
  <si>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</si>
  <si>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</si>
  <si>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</si>
  <si>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</si>
  <si>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</si>
  <si>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</si>
  <si>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</si>
  <si>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</si>
  <si>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</si>
  <si>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</si>
  <si>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</si>
  <si>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</si>
  <si>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</si>
  <si>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</si>
  <si>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</si>
  <si>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</si>
  <si>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</si>
  <si>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</si>
  <si>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</si>
  <si>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</si>
  <si>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</si>
  <si>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</si>
  <si>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</si>
  <si>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</si>
  <si>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</si>
  <si>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</si>
  <si>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</si>
  <si>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</si>
  <si>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</si>
  <si>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</si>
  <si>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</si>
  <si>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</si>
  <si>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</si>
  <si>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</si>
  <si>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</si>
  <si>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</si>
  <si>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</si>
  <si>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</si>
  <si>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</si>
  <si>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</si>
  <si>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</si>
  <si>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</si>
  <si>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</si>
  <si>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</si>
  <si>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</si>
  <si>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</si>
  <si>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</si>
  <si>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</si>
  <si>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</si>
  <si>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</si>
  <si>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</si>
  <si>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</si>
  <si>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</si>
  <si>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</si>
  <si>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</si>
  <si>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</si>
  <si>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</si>
  <si>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</si>
  <si>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</si>
  <si>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</si>
  <si>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</si>
  <si>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</si>
  <si>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</si>
  <si>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</si>
  <si>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</si>
  <si>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</si>
  <si>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</si>
  <si>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</si>
  <si>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</si>
  <si>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</si>
  <si>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</si>
  <si>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</si>
  <si>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</si>
  <si>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</si>
  <si>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</si>
  <si>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</si>
  <si>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</si>
  <si>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</si>
  <si>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</si>
  <si>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</si>
  <si>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</si>
  <si>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</si>
  <si>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</si>
  <si>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</si>
  <si>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</si>
  <si>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</si>
  <si>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</si>
  <si>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</si>
  <si>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</si>
  <si>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</si>
  <si>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</si>
  <si>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</si>
  <si>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</si>
  <si>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</si>
  <si>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</si>
  <si>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</si>
  <si>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</si>
  <si>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</si>
  <si>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</si>
  <si>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</si>
  <si>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</si>
  <si>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</si>
  <si>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</si>
  <si>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</si>
  <si>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</si>
  <si>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</si>
  <si>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</si>
  <si>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</si>
  <si>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</si>
  <si>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</si>
  <si>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</si>
  <si>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</si>
  <si>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</si>
  <si>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</si>
  <si>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</si>
  <si>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</si>
  <si>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</si>
  <si>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</si>
  <si>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</si>
  <si>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</si>
  <si>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</si>
  <si>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</si>
  <si>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</si>
  <si>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</si>
  <si>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</si>
  <si>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</si>
  <si>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</si>
  <si>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</si>
  <si>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</si>
  <si>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</si>
  <si>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</si>
  <si>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</si>
  <si>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</si>
  <si>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</si>
  <si>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</si>
  <si>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</si>
  <si>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</si>
  <si>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</si>
  <si>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</si>
  <si>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</si>
  <si>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</si>
  <si>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</si>
  <si>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</si>
  <si>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</si>
  <si>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</si>
  <si>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</si>
  <si>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</si>
  <si>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</si>
  <si>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</si>
  <si>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</si>
  <si>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</si>
  <si>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</si>
  <si>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</si>
  <si>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</si>
  <si>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</si>
  <si>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</si>
  <si>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</si>
  <si>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</si>
  <si>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</si>
  <si>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</si>
  <si>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</si>
  <si>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</si>
  <si>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</si>
  <si>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</si>
  <si>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</si>
  <si>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</si>
  <si>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</si>
  <si>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</si>
  <si>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</si>
  <si>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</si>
  <si>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</si>
  <si>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</si>
  <si>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</si>
  <si>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</si>
  <si>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</si>
  <si>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</si>
  <si>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</si>
  <si>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</si>
  <si>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</si>
  <si>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</si>
  <si>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</si>
  <si>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</si>
  <si>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</si>
  <si>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</si>
  <si>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</si>
  <si>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</si>
  <si>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</si>
  <si>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</si>
  <si>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</si>
  <si>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</si>
  <si>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</si>
  <si>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</si>
  <si>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</si>
  <si>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</si>
  <si>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</si>
  <si>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</si>
  <si>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</si>
  <si>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</si>
  <si>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</si>
  <si>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</si>
  <si>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</si>
  <si>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</si>
  <si>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</si>
  <si>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</si>
  <si>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</si>
  <si>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</si>
  <si>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</si>
  <si>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</si>
  <si>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</si>
  <si>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</si>
  <si>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</si>
  <si>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</si>
  <si>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</si>
  <si>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</si>
  <si>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</si>
  <si>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</si>
  <si>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</si>
  <si>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</si>
  <si>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</si>
  <si>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</si>
  <si>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</si>
  <si>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</si>
  <si>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</si>
  <si>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</si>
  <si>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</si>
  <si>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</si>
  <si>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</si>
  <si>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</si>
  <si>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</si>
  <si>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</si>
  <si>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</si>
  <si>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</si>
  <si>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</si>
  <si>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</si>
  <si>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</si>
  <si>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</si>
  <si>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</si>
  <si>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</si>
  <si>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</si>
  <si>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</si>
  <si>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</si>
  <si>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</si>
  <si>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</si>
  <si>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</si>
  <si>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</si>
  <si>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</si>
  <si>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</si>
  <si>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</si>
  <si>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</si>
  <si>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</si>
  <si>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</si>
  <si>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</si>
  <si>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</si>
  <si>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</si>
  <si>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</si>
  <si>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</si>
  <si>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</si>
  <si>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</si>
  <si>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</si>
  <si>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</si>
  <si>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</si>
  <si>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</si>
  <si>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</si>
  <si>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</si>
  <si>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</si>
  <si>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</si>
  <si>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</si>
  <si>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</si>
  <si>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</si>
  <si>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</si>
  <si>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</si>
  <si>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</si>
  <si>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</si>
  <si>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</si>
  <si>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</si>
  <si>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</si>
  <si>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</si>
  <si>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</si>
  <si>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</si>
  <si>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</si>
  <si>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</si>
  <si>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</si>
  <si>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</si>
  <si>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</si>
  <si>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</si>
  <si>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</si>
  <si>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</si>
  <si>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</si>
  <si>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</si>
  <si>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</si>
  <si>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</si>
  <si>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</si>
  <si>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</si>
  <si>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</si>
  <si>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</si>
  <si>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</si>
  <si>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</si>
  <si>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</si>
  <si>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</si>
  <si>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</si>
  <si>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</si>
  <si>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</si>
  <si>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</si>
  <si>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</si>
  <si>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</si>
  <si>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</si>
  <si>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</si>
  <si>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</si>
  <si>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</si>
  <si>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</si>
  <si>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</si>
  <si>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</si>
  <si>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</si>
  <si>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</si>
  <si>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</si>
  <si>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</si>
  <si>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</si>
  <si>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</si>
  <si>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</si>
  <si>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</si>
  <si>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</si>
  <si>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</si>
  <si>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</si>
  <si>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</si>
  <si>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</si>
  <si>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</si>
  <si>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</si>
  <si>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</si>
  <si>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</si>
  <si>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</si>
  <si>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</si>
  <si>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</si>
  <si>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</si>
  <si>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</si>
  <si>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</si>
  <si>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</si>
  <si>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</si>
  <si>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</si>
  <si>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</si>
  <si>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</si>
  <si>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</si>
  <si>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</si>
  <si>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</si>
  <si>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</si>
  <si>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</si>
  <si>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</si>
  <si>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</si>
  <si>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</si>
  <si>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</si>
  <si>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</si>
  <si>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</si>
  <si>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</si>
  <si>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</si>
  <si>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</si>
  <si>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</si>
  <si>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</si>
  <si>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</si>
  <si>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</si>
  <si>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</si>
  <si>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</si>
  <si>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</si>
  <si>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</si>
  <si>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</si>
  <si>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</si>
  <si>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</si>
  <si>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</si>
  <si>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</si>
  <si>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</si>
  <si>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</si>
  <si>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</si>
  <si>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</si>
  <si>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</si>
  <si>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</si>
  <si>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</si>
  <si>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</si>
  <si>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</si>
  <si>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</si>
  <si>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</si>
  <si>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</si>
  <si>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</si>
  <si>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</si>
  <si>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</si>
  <si>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</si>
  <si>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</si>
  <si>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</si>
  <si>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</si>
  <si>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</si>
  <si>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</si>
  <si>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</si>
  <si>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</si>
  <si>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</si>
  <si>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</si>
  <si>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</si>
  <si>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</si>
  <si>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</si>
  <si>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</si>
  <si>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</si>
  <si>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</si>
  <si>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</si>
  <si>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</si>
  <si>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</si>
  <si>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</si>
  <si>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</si>
  <si>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</si>
  <si>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</si>
  <si>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</si>
  <si>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</si>
  <si>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</si>
  <si>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</si>
  <si>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</si>
  <si>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</si>
  <si>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</si>
  <si>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</si>
  <si>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</si>
  <si>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</si>
  <si>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</si>
  <si>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</si>
  <si>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</si>
  <si>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</si>
  <si>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</si>
  <si>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</si>
  <si>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</si>
  <si>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</si>
  <si>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</si>
  <si>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</si>
  <si>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</si>
  <si>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</si>
  <si>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</si>
  <si>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</si>
  <si>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</si>
  <si>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</si>
  <si>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</si>
  <si>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</si>
  <si>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</si>
  <si>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</si>
  <si>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</si>
  <si>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</si>
  <si>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</si>
  <si>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</si>
  <si>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</si>
  <si>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</si>
  <si>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</si>
  <si>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</si>
  <si>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</si>
  <si>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</si>
  <si>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</si>
  <si>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</si>
  <si>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</si>
  <si>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</si>
  <si>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</si>
  <si>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</si>
  <si>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</si>
  <si>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</si>
  <si>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</si>
  <si>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</si>
  <si>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</si>
  <si>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</si>
  <si>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</si>
  <si>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</si>
  <si>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</si>
  <si>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</si>
  <si>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</si>
  <si>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</si>
  <si>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</si>
  <si>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</si>
  <si>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</si>
  <si>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</si>
  <si>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</si>
  <si>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</si>
  <si>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</si>
  <si>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</si>
  <si>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</si>
  <si>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</si>
  <si>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</si>
  <si>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</si>
  <si>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</si>
  <si>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</si>
  <si>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</si>
  <si>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</si>
  <si>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</si>
  <si>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</si>
  <si>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</si>
  <si>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</si>
  <si>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</si>
  <si>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</si>
  <si>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</si>
  <si>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</si>
  <si>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</si>
  <si>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</si>
  <si>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</si>
  <si>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</si>
  <si>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</si>
  <si>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</si>
  <si>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</si>
  <si>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</si>
  <si>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</si>
  <si>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</si>
  <si>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</si>
  <si>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</si>
  <si>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</si>
  <si>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</si>
  <si>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</si>
  <si>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</si>
  <si>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</si>
  <si>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</si>
  <si>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</si>
  <si>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</si>
  <si>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</si>
  <si>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</si>
  <si>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</si>
  <si>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</si>
  <si>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</si>
  <si>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</si>
  <si>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</si>
  <si>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</si>
  <si>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</si>
  <si>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</si>
  <si>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</si>
  <si>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</si>
  <si>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</si>
  <si>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</si>
  <si>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</si>
  <si>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</si>
  <si>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</si>
  <si>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</si>
  <si>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</si>
  <si>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</si>
  <si>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</si>
  <si>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</si>
  <si>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</si>
  <si>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</si>
  <si>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</si>
  <si>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</si>
  <si>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</si>
  <si>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</si>
  <si>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</si>
  <si>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</si>
  <si>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</si>
  <si>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</si>
  <si>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</si>
  <si>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</si>
  <si>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</si>
  <si>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</si>
  <si>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</si>
  <si>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</si>
  <si>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</si>
  <si>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</si>
  <si>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</si>
  <si>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</si>
  <si>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</si>
  <si>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</si>
  <si>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</si>
  <si>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</si>
  <si>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</si>
  <si>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</si>
  <si>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</si>
  <si>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</si>
  <si>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</si>
  <si>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</si>
  <si>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</si>
  <si>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</si>
  <si>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</si>
  <si>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</si>
  <si>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</si>
  <si>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</si>
  <si>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</si>
  <si>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</si>
  <si>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</si>
  <si>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</si>
  <si>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</si>
  <si>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</si>
  <si>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</si>
  <si>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</si>
  <si>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</si>
  <si>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</si>
  <si>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</si>
  <si>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</si>
  <si>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</si>
  <si>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</si>
  <si>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</si>
  <si>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</si>
  <si>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</si>
  <si>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</si>
  <si>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</si>
  <si>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</si>
  <si>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</si>
  <si>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</si>
  <si>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</si>
  <si>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</si>
  <si>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</si>
  <si>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</si>
  <si>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</si>
  <si>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</si>
  <si>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</si>
  <si>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</si>
  <si>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</si>
  <si>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</si>
  <si>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</si>
  <si>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</si>
  <si>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</si>
  <si>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</si>
  <si>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</si>
  <si>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</si>
  <si>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</si>
  <si>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</si>
  <si>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</si>
  <si>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</si>
  <si>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</si>
  <si>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</si>
  <si>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</si>
  <si>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</si>
  <si>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</si>
  <si>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</si>
  <si>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</si>
  <si>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</si>
  <si>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</si>
  <si>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</si>
  <si>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</si>
  <si>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</si>
  <si>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</si>
  <si>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</si>
  <si>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</si>
  <si>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</si>
  <si>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</si>
  <si>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</si>
  <si>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</si>
  <si>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</si>
  <si>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</si>
  <si>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</si>
  <si>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</si>
  <si>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</si>
  <si>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</si>
  <si>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</si>
  <si>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</si>
  <si>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</si>
  <si>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</si>
  <si>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</si>
  <si>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</si>
  <si>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</si>
  <si>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</si>
  <si>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</si>
  <si>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</si>
  <si>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</si>
  <si>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</si>
  <si>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</si>
  <si>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</si>
  <si>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</si>
  <si>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</si>
  <si>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</si>
  <si>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</si>
  <si>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</si>
  <si>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</si>
  <si>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</si>
  <si>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</si>
  <si>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</si>
  <si>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</si>
  <si>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</si>
  <si>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</si>
  <si>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</si>
  <si>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</si>
  <si>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</si>
  <si>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</si>
  <si>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</si>
  <si>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</si>
  <si>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</si>
  <si>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</si>
  <si>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</si>
  <si>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</si>
  <si>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</si>
  <si>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</si>
  <si>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</si>
  <si>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</si>
  <si>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</si>
  <si>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</si>
  <si>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</si>
  <si>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</si>
  <si>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</si>
  <si>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</si>
  <si>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</si>
  <si>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</si>
  <si>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</si>
  <si>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</si>
  <si>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</si>
  <si>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</si>
  <si>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</si>
  <si>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</si>
  <si>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</si>
  <si>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</si>
  <si>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</si>
  <si>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</si>
  <si>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</si>
  <si>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</si>
  <si>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</si>
  <si>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</si>
  <si>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</si>
  <si>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</si>
  <si>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</si>
  <si>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</si>
  <si>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</si>
  <si>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</si>
  <si>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</si>
  <si>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</si>
  <si>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</si>
  <si>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</si>
  <si>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</si>
  <si>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</si>
  <si>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</si>
  <si>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</si>
  <si>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</si>
  <si>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</si>
  <si>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</si>
  <si>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</si>
  <si>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</si>
  <si>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</si>
  <si>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</si>
  <si>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</si>
  <si>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</si>
  <si>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</si>
  <si>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</si>
  <si>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</si>
  <si>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</si>
  <si>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</si>
  <si>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</si>
  <si>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</si>
  <si>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</si>
  <si>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</si>
  <si>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</si>
  <si>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</si>
  <si>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</si>
  <si>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</si>
  <si>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</si>
  <si>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</si>
  <si>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</si>
  <si>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</si>
  <si>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</si>
  <si>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</si>
  <si>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</si>
  <si>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</si>
  <si>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</si>
  <si>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</si>
  <si>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</si>
  <si>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</si>
  <si>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</si>
  <si>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</si>
  <si>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</si>
  <si>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</si>
  <si>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</si>
  <si>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</si>
  <si>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</si>
  <si>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</si>
  <si>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</si>
  <si>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</si>
  <si>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</si>
  <si>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</si>
  <si>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</si>
  <si>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</si>
  <si>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</si>
  <si>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</si>
  <si>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</si>
  <si>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</si>
  <si>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</si>
  <si>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</si>
  <si>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</si>
  <si>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</si>
  <si>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</si>
  <si>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</si>
  <si>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</si>
  <si>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</si>
  <si>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Specimen Sent/HIVStatus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</si>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</sst>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2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4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5" fillId="0" borderId="0" xfId="0" applyFont="1"/>
    <xf numFmtId="49" fontId="35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4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3"/>
      <tableStyleElement type="secondRowStripe" dxfId="119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8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8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0" dataDxfId="1189">
  <autoFilter ref="B6:HX7"/>
  <tableColumns count="231">
    <tableColumn id="225" name="psnu_type_mechid" dataDxfId="1188">
      <calculatedColumnFormula>targets[Dsnulist]&amp;" "&amp;targets[D_indicatortype]&amp;" "&amp;targets[D_mechanismid]</calculatedColumnFormula>
    </tableColumn>
    <tableColumn id="1" name="Dsnulist" dataDxfId="1187"/>
    <tableColumn id="2" name="D_priority" dataDxfId="1186"/>
    <tableColumn id="3" name="D_mechanismid" dataDxfId="1185"/>
    <tableColumn id="4" name="D_indicatortype" dataDxfId="1184"/>
    <tableColumn id="5" name="D_tx_ret_D_pct" dataDxfId="1183"/>
    <tableColumn id="229" name="D_tx_ret_u15_D_pct" dataDxfId="1182"/>
    <tableColumn id="6" name="D_tx_ret_pct" dataDxfId="1181"/>
    <tableColumn id="230" name="D_tx_ret_u15_pct" dataDxfId="1180"/>
    <tableColumn id="22" name="D_tx_new_pct" dataDxfId="1179"/>
    <tableColumn id="231" name="D_tx_new_u15_pct" dataDxfId="1178"/>
    <tableColumn id="7" name="D_tx_curr_pct" dataDxfId="1177"/>
    <tableColumn id="232" name="D_tx_curr_u15_pct" dataDxfId="1176"/>
    <tableColumn id="8" name="D_tx_pvls_D_pct" dataDxfId="1175"/>
    <tableColumn id="9" name="D_pmtct_stat_D_pct" dataDxfId="1174"/>
    <tableColumn id="10" name="D_pmtct_stat_pct" dataDxfId="1173"/>
    <tableColumn id="11" name="D_pmtct_stat_newpos_pct" dataDxfId="1172"/>
    <tableColumn id="12" name="D_pmtct_stat_newneg_pct" dataDxfId="1171"/>
    <tableColumn id="13" name="D_pmtct_stat_known_pct" dataDxfId="1170"/>
    <tableColumn id="54" name="D_pmtct_art_pct" dataDxfId="1169"/>
    <tableColumn id="14" name="D_pmtct_art_new_pct" dataDxfId="1168"/>
    <tableColumn id="15" name="D_pmtct_art_already_pct" dataDxfId="1167"/>
    <tableColumn id="16" name="D_pmtct_eid_pct" dataDxfId="1166"/>
    <tableColumn id="17" name="D_pmtct_eid_u2mo_pct" dataDxfId="1165"/>
    <tableColumn id="18" name="D_pmtct_eid_o2mo_pct" dataDxfId="1164"/>
    <tableColumn id="19" name="D_tb_stat_D_pct" dataDxfId="1163"/>
    <tableColumn id="20" name="D_tb_stat_pct" dataDxfId="1162"/>
    <tableColumn id="21" name="D_tb_stat_newpos_pct" dataDxfId="1161"/>
    <tableColumn id="26" name="D_tb_stat_newneg_pct" dataDxfId="1160"/>
    <tableColumn id="28" name="D_tb_stat_known_pct" dataDxfId="1159"/>
    <tableColumn id="29" name="D_tb_art_pct" dataDxfId="1158"/>
    <tableColumn id="30" name="D_tb_art_new_pct" dataDxfId="1157"/>
    <tableColumn id="52" name="D_tb_art_already_pct" dataDxfId="1156"/>
    <tableColumn id="31" name="D_tx_tb_D_pct" dataDxfId="1155"/>
    <tableColumn id="32" name="D_tb_prev_D_pct" dataDxfId="1154"/>
    <tableColumn id="33" name="D_tb_prev_pct" dataDxfId="1153"/>
    <tableColumn id="34" name="D_hts_tst_pos_vmmc_pct" dataDxfId="1152"/>
    <tableColumn id="35" name="D_hts_tst_pmtctanc_pct" dataDxfId="1151"/>
    <tableColumn id="36" name="D_hts_tst_tbclinic_pct" dataDxfId="1150"/>
    <tableColumn id="53" name="D_hts_tst_vmmc_pct" dataDxfId="1149"/>
    <tableColumn id="37" name="D_hts_tst_indexmod_o15_pct" dataDxfId="1148"/>
    <tableColumn id="38" name="D_hts_tst_mobilemod_o15_pct" dataDxfId="1147"/>
    <tableColumn id="39" name="D_hts_tst_vctmod_o15_pct" dataDxfId="1146"/>
    <tableColumn id="40" name="D_hts_tst_othermod_o15_pct" dataDxfId="1145"/>
    <tableColumn id="41" name="D_hts_tst_index_o15_pct" dataDxfId="1144"/>
    <tableColumn id="42" name="D_hts_tst_sti_o15_pct" dataDxfId="1143"/>
    <tableColumn id="43" name="D_hts_tst_inpat_o15_pct" dataDxfId="1142"/>
    <tableColumn id="44" name="D_hts_tst_emergency_o15_pct" dataDxfId="1141"/>
    <tableColumn id="49" name="D_hts_tst_vct_o15_pct" dataDxfId="1140"/>
    <tableColumn id="23" name="D_hts_tst_otherpitc_o15_pct" dataDxfId="1139"/>
    <tableColumn id="27" name="D_hts_tst_pos_indexmod_o15_pct" dataDxfId="1138"/>
    <tableColumn id="45" name="D_hts_tst_pos_mobilemod_o15_pct" dataDxfId="1137"/>
    <tableColumn id="46" name="D_hts_tst_pos_vctmod_o15_pct" dataDxfId="1136"/>
    <tableColumn id="47" name="D_hts_tst_pos_othermod_o15_pct" dataDxfId="1135"/>
    <tableColumn id="48" name="D_hts_tst_pos_index_o15_pct" dataDxfId="1134"/>
    <tableColumn id="50" name="D_hts_tst_pos_sti_o15_pct" dataDxfId="1133"/>
    <tableColumn id="51" name="D_hts_tst_pos_inpat_o15_pct" dataDxfId="1132"/>
    <tableColumn id="55" name="D_hts_tst_pos_emergency_o15_pct" dataDxfId="1131"/>
    <tableColumn id="56" name="D_hts_tst_pos_vct_o15_pct" dataDxfId="1130"/>
    <tableColumn id="57" name="D_hts_tst_pos_otherpitc_o15_pct" dataDxfId="1129"/>
    <tableColumn id="58" name="D_hts_tst_indexmod_u15_pct" dataDxfId="1128"/>
    <tableColumn id="59" name="D_hts_tst_mobilemod_u15_pct" dataDxfId="1127"/>
    <tableColumn id="60" name="D_hts_tst_vctmod_u15_pct" dataDxfId="1126"/>
    <tableColumn id="61" name="D_hts_tst_othermod_u15_pct" dataDxfId="1125"/>
    <tableColumn id="62" name="D_hts_tst_index_u15_pct" dataDxfId="1124"/>
    <tableColumn id="63" name="D_hts_tst_sti_u15_pct" dataDxfId="1123"/>
    <tableColumn id="64" name="D_hts_tst_inpat_u15_pct" dataDxfId="1122"/>
    <tableColumn id="65" name="D_hts_tst_emergency_u15_pct" dataDxfId="1121"/>
    <tableColumn id="66" name="D_hts_tst_vct_u15_pct" dataDxfId="1120"/>
    <tableColumn id="67" name="D_hts_tst_pediatric_u15_pct" dataDxfId="1119"/>
    <tableColumn id="68" name="D_hts_tst_malnutrition_u15_pct" dataDxfId="1118"/>
    <tableColumn id="69" name="D_hts_tst_otherpitc_u15_pct" dataDxfId="1117"/>
    <tableColumn id="70" name="D_hts_tst_pos_indexmod_u15_pct" dataDxfId="1116"/>
    <tableColumn id="71" name="D_hts_tst_pos_mobilemod_u15_pct" dataDxfId="1115"/>
    <tableColumn id="72" name="D_hts_tst_pos_vctmod_u15_pct" dataDxfId="1114"/>
    <tableColumn id="73" name="D_hts_tst_pos_othermod_u15_pct" dataDxfId="1113"/>
    <tableColumn id="74" name="D_hts_tst_pos_index_u15_pct" dataDxfId="1112"/>
    <tableColumn id="75" name="D_hts_tst_pos_sti_u15_pct" dataDxfId="1111"/>
    <tableColumn id="76" name="D_hts_tst_pos_inpat_u15_pct" dataDxfId="1110"/>
    <tableColumn id="77" name="D_hts_tst_pos_emergency_u15_pct" dataDxfId="1109"/>
    <tableColumn id="78" name="D_hts_tst_pos_vct_u15_pct" dataDxfId="1108"/>
    <tableColumn id="79" name="D_hts_tst_pos_pediatric_u15_pct" dataDxfId="1107"/>
    <tableColumn id="80" name="D_hts_tst_pos_malnutrition_u15_pct" dataDxfId="1106"/>
    <tableColumn id="81" name="D_hts_tst_pos_otherpitc_u15_pct" dataDxfId="1105"/>
    <tableColumn id="82" name="D_hts_tst_keypop_pct" dataDxfId="1104"/>
    <tableColumn id="83" name="D_hts_self_pct" dataDxfId="1103"/>
    <tableColumn id="84" name="D_vmmc_circ_pct" dataDxfId="1102"/>
    <tableColumn id="85" name="D_vmmc_circ_1529_pct" dataDxfId="1101"/>
    <tableColumn id="86" name="D_ovc_serv_pct" dataDxfId="1100"/>
    <tableColumn id="87" name="D_ovc_serv_grad_pct" dataDxfId="1099"/>
    <tableColumn id="88" name="D_ovc_serv_active_pct" dataDxfId="1098"/>
    <tableColumn id="89" name="D_ovc_serv_u18_pct" dataDxfId="1097"/>
    <tableColumn id="90" name="D_ovc_hivstat_pct" dataDxfId="1096"/>
    <tableColumn id="91" name="D_ovc_serv_edu_pct" dataDxfId="1095"/>
    <tableColumn id="92" name="D_ovc_serv_care_pct" dataDxfId="1094"/>
    <tableColumn id="93" name="D_ovc_serv_sp_pct" dataDxfId="1093"/>
    <tableColumn id="94" name="D_ovc_serv_econ_pct" dataDxfId="1092"/>
    <tableColumn id="95" name="D_ovc_serv_oth_pct" dataDxfId="1091"/>
    <tableColumn id="96" name="D_kp_prev_msm_sw_D_pct" dataDxfId="1090"/>
    <tableColumn id="97" name="D_kp_prev_msm_sw_pct" dataDxfId="1089"/>
    <tableColumn id="98" name="D_kp_prev_msm_not_sw_D_pct" dataDxfId="1088"/>
    <tableColumn id="99" name="D_kp_prev_msm_not_sw_pct" dataDxfId="1087"/>
    <tableColumn id="100" name="D_kp_prev_tg_sw_D_pct" dataDxfId="1086"/>
    <tableColumn id="101" name="D_kp_prev_tg_sw_pct" dataDxfId="1085"/>
    <tableColumn id="102" name="D_kp_prev_tg_not_sw_D_pct" dataDxfId="1084"/>
    <tableColumn id="103" name="D_kp_prev_tg_not_sw_pct" dataDxfId="1083"/>
    <tableColumn id="104" name="D_kp_prev_fsw_D_pct" dataDxfId="1082"/>
    <tableColumn id="105" name="D_kp_prev_fsw_pct" dataDxfId="1081"/>
    <tableColumn id="106" name="D_kp_prev_pwid_m_D_pct" dataDxfId="1080"/>
    <tableColumn id="107" name="D_kp_prev_pwid_m_pct" dataDxfId="1079"/>
    <tableColumn id="108" name="D_kp_prev_pwid_f_D_pct" dataDxfId="1078"/>
    <tableColumn id="109" name="D_kp_prev_pwid_f_pct" dataDxfId="1077"/>
    <tableColumn id="110" name="D_kp_prev_prison_D_pct" dataDxfId="1076"/>
    <tableColumn id="111" name="D_kp_prev_prison_pct" dataDxfId="1075"/>
    <tableColumn id="112" name="D_pp_prev_pct" dataDxfId="1074"/>
    <tableColumn id="113" name="D_kp_mat_pct" dataDxfId="1073"/>
    <tableColumn id="114" name="D_gend_gbv_pct" dataDxfId="1072"/>
    <tableColumn id="115" name="D_prep_new_pct" dataDxfId="1071"/>
    <tableColumn id="116" name="D_tx_ret_D_fy19" dataDxfId="1070"/>
    <tableColumn id="117" name="D_tx_ret_u15_D_fy19" dataDxfId="1069"/>
    <tableColumn id="228" name="D_tx_ret_fy19" dataDxfId="1068"/>
    <tableColumn id="118" name="D_tx_ret_u15_fy19" dataDxfId="1067"/>
    <tableColumn id="25" name="D_tx_new_fy19" dataDxfId="1066"/>
    <tableColumn id="119" name="D_tx_new_u15_fy19" dataDxfId="1065"/>
    <tableColumn id="227" name="D_tx_curr_fy19" dataDxfId="1064"/>
    <tableColumn id="120" name="D_tx_curr_u15_fy19" dataDxfId="1063"/>
    <tableColumn id="24" name="D_tx_pvls_D_fy19" dataDxfId="1062"/>
    <tableColumn id="121" name="D_pmtct_stat_D_fy19" dataDxfId="1061"/>
    <tableColumn id="122" name="D_pmtct_stat_fy19" dataDxfId="1060"/>
    <tableColumn id="123" name="D_pmtct_stat_newpos_fy19" dataDxfId="1059"/>
    <tableColumn id="124" name="D_pmtct_stat_newneg_fy19" dataDxfId="1058"/>
    <tableColumn id="125" name="D_pmtct_stat_known_fy19" dataDxfId="1057"/>
    <tableColumn id="126" name="D_pmtct_art_fy19" dataDxfId="1056"/>
    <tableColumn id="127" name="D_pmtct_art_new_fy19" dataDxfId="1055"/>
    <tableColumn id="128" name="D_pmtct_art_already_fy19" dataDxfId="1054"/>
    <tableColumn id="129" name="D_pmtct_eid_fy19" dataDxfId="1053"/>
    <tableColumn id="130" name="D_pmtct_eid_u2mo_fy19" dataDxfId="1052"/>
    <tableColumn id="131" name="D_pmtct_eid_o2mo_fy19" dataDxfId="1051"/>
    <tableColumn id="132" name="D_tb_stat_D_fy19" dataDxfId="1050"/>
    <tableColumn id="133" name="D_tb_stat_fy19" dataDxfId="1049"/>
    <tableColumn id="134" name="D_tb_stat_newpos_fy19" dataDxfId="1048"/>
    <tableColumn id="135" name="D_tb_stat_newneg_fy19" dataDxfId="1047"/>
    <tableColumn id="136" name="D_tb_stat_known_fy19" dataDxfId="1046"/>
    <tableColumn id="137" name="D_tb_art_fy19" dataDxfId="1045"/>
    <tableColumn id="138" name="D_tb_art_new_fy19" dataDxfId="1044"/>
    <tableColumn id="139" name="D_tb_art_already_fy19" dataDxfId="1043"/>
    <tableColumn id="140" name="D_tx_tb_D_fy19" dataDxfId="1042"/>
    <tableColumn id="141" name="D_tb_prev_D_fy19" dataDxfId="1041"/>
    <tableColumn id="142" name="D_tb_prev_fy19" dataDxfId="1040"/>
    <tableColumn id="143" name="D_hts_tst_pos_vmmc_fy19" dataDxfId="1039"/>
    <tableColumn id="144" name="D_hts_tst_pmtctanc_fy19" dataDxfId="1038"/>
    <tableColumn id="145" name="D_hts_tst_tbclinic_fy19" dataDxfId="1037"/>
    <tableColumn id="146" name="D_hts_tst_vmmc_fy19" dataDxfId="1036"/>
    <tableColumn id="147" name="D_hts_tst_indexmod_o15_fy19" dataDxfId="1035"/>
    <tableColumn id="148" name="D_hts_tst_mobilemod_o15_fy19" dataDxfId="1034"/>
    <tableColumn id="149" name="D_hts_tst_vctmod_o15_fy19" dataDxfId="1033"/>
    <tableColumn id="150" name="D_hts_tst_othermod_o15_fy19" dataDxfId="1032"/>
    <tableColumn id="151" name="D_hts_tst_index_o15_fy19" dataDxfId="1031"/>
    <tableColumn id="152" name="D_hts_tst_sti_o15_fy19" dataDxfId="1030"/>
    <tableColumn id="153" name="D_hts_tst_inpat_o15_fy19" dataDxfId="1029"/>
    <tableColumn id="154" name="D_hts_tst_emergency_o15_fy19" dataDxfId="1028"/>
    <tableColumn id="155" name="D_hts_tst_vct_o15_fy19" dataDxfId="1027"/>
    <tableColumn id="156" name="D_hts_tst_otherpitc_o15_fy19" dataDxfId="1026"/>
    <tableColumn id="157" name="D_hts_tst_pos_indexmod_o15_fy19" dataDxfId="1025"/>
    <tableColumn id="158" name="D_hts_tst_pos_mobilemod_o15_fy19" dataDxfId="1024"/>
    <tableColumn id="159" name="D_hts_tst_pos_vctmod_o15_fy19" dataDxfId="1023"/>
    <tableColumn id="160" name="D_hts_tst_pos_othermod_o15_fy19" dataDxfId="1022"/>
    <tableColumn id="161" name="D_hts_tst_pos_index_o15_fy19" dataDxfId="1021"/>
    <tableColumn id="162" name="D_hts_tst_pos_sti_o15_fy19" dataDxfId="1020"/>
    <tableColumn id="163" name="D_hts_tst_pos_inpat_o15_fy19" dataDxfId="1019"/>
    <tableColumn id="164" name="D_hts_tst_pos_emergency_o15_fy19" dataDxfId="1018"/>
    <tableColumn id="165" name="D_hts_tst_pos_vct_o15_fy19" dataDxfId="1017"/>
    <tableColumn id="166" name="D_hts_tst_pos_otherpitc_o15_fy19" dataDxfId="1016"/>
    <tableColumn id="167" name="D_hts_tst_indexmod_u15_fy19" dataDxfId="1015"/>
    <tableColumn id="168" name="D_hts_tst_mobilemod_u15_fy19" dataDxfId="1014"/>
    <tableColumn id="169" name="D_hts_tst_vctmod_u15_fy19" dataDxfId="1013"/>
    <tableColumn id="170" name="D_hts_tst_othermod_u15_fy19" dataDxfId="1012"/>
    <tableColumn id="171" name="D_hts_tst_index_u15_fy19" dataDxfId="1011"/>
    <tableColumn id="172" name="D_hts_tst_sti_u15_fy19" dataDxfId="1010"/>
    <tableColumn id="173" name="D_hts_tst_inpat_u15_fy19" dataDxfId="1009"/>
    <tableColumn id="174" name="D_hts_tst_emergency_u15_fy19" dataDxfId="1008"/>
    <tableColumn id="175" name="D_hts_tst_vct_u15_fy19" dataDxfId="1007"/>
    <tableColumn id="176" name="D_hts_tst_pediatric_u15_fy19" dataDxfId="1006"/>
    <tableColumn id="177" name="D_hts_tst_malnutrition_u15_fy19" dataDxfId="1005"/>
    <tableColumn id="178" name="D_hts_tst_otherpitc_u15_fy19" dataDxfId="1004"/>
    <tableColumn id="179" name="D_hts_tst_pos_indexmod_u15_fy19" dataDxfId="1003"/>
    <tableColumn id="180" name="D_hts_tst_pos_mobilemod_u15_fy19" dataDxfId="1002"/>
    <tableColumn id="181" name="D_hts_tst_pos_vctmod_u15_fy19" dataDxfId="1001"/>
    <tableColumn id="182" name="D_hts_tst_pos_othermod_u15_fy19" dataDxfId="1000"/>
    <tableColumn id="183" name="D_hts_tst_pos_index_u15_fy19" dataDxfId="999"/>
    <tableColumn id="184" name="D_hts_tst_pos_sti_u15_fy19" dataDxfId="998"/>
    <tableColumn id="185" name="D_hts_tst_pos_inpat_u15_fy19" dataDxfId="997"/>
    <tableColumn id="186" name="D_hts_tst_pos_emergency_u15_fy19" dataDxfId="996"/>
    <tableColumn id="187" name="D_hts_tst_pos_vct_u15_fy19" dataDxfId="995"/>
    <tableColumn id="188" name="D_hts_tst_pos_pediatric_u15_fy19" dataDxfId="994"/>
    <tableColumn id="189" name="D_hts_tst_pos_malnutrition_u15_fy19" dataDxfId="993"/>
    <tableColumn id="190" name="D_hts_tst_pos_otherpitc_u15_fy19" dataDxfId="992"/>
    <tableColumn id="191" name="D_hts_tst_keypop_fy19" dataDxfId="991"/>
    <tableColumn id="192" name="D_hts_self_fy19" dataDxfId="990"/>
    <tableColumn id="193" name="D_vmmc_circ_fy19" dataDxfId="989"/>
    <tableColumn id="194" name="D_vmmc_circ_1529_fy19" dataDxfId="988"/>
    <tableColumn id="195" name="D_ovc_serv_fy19" dataDxfId="987"/>
    <tableColumn id="196" name="D_ovc_serv_grad_fy19" dataDxfId="986"/>
    <tableColumn id="197" name="D_ovc_serv_active_fy19" dataDxfId="985"/>
    <tableColumn id="198" name="D_ovc_serv_u18_fy19" dataDxfId="984"/>
    <tableColumn id="199" name="D_ovc_hivstat_fy19" dataDxfId="983"/>
    <tableColumn id="200" name="D_ovc_serv_edu_fy19" dataDxfId="982"/>
    <tableColumn id="201" name="D_ovc_serv_care_fy19" dataDxfId="981"/>
    <tableColumn id="202" name="D_ovc_serv_sp_fy19" dataDxfId="980"/>
    <tableColumn id="203" name="D_ovc_serv_econ_fy19" dataDxfId="979"/>
    <tableColumn id="204" name="D_ovc_serv_oth_fy19" dataDxfId="978"/>
    <tableColumn id="205" name="D_kp_prev_msm_sw_D_fy19" dataDxfId="977"/>
    <tableColumn id="206" name="D_kp_prev_msm_sw_fy19" dataDxfId="976"/>
    <tableColumn id="207" name="D_kp_prev_msm_not_sw_D_fy19" dataDxfId="975"/>
    <tableColumn id="208" name="D_kp_prev_msm_not_sw_fy19" dataDxfId="974"/>
    <tableColumn id="209" name="D_kp_prev_tg_sw_D_fy19" dataDxfId="973"/>
    <tableColumn id="210" name="D_kp_prev_tg_sw_fy19" dataDxfId="972"/>
    <tableColumn id="211" name="D_kp_prev_tg_not_sw_D_fy19" dataDxfId="971"/>
    <tableColumn id="212" name="D_kp_prev_tg_not_sw_fy19" dataDxfId="970"/>
    <tableColumn id="213" name="D_kp_prev_fsw_D_fy19" dataDxfId="969"/>
    <tableColumn id="214" name="D_kp_prev_fsw_fy19" dataDxfId="968"/>
    <tableColumn id="215" name="D_kp_prev_pwid_m_D_fy19" dataDxfId="967"/>
    <tableColumn id="216" name="D_kp_prev_pwid_m_fy19" dataDxfId="966"/>
    <tableColumn id="217" name="D_kp_prev_pwid_f_D_fy19" dataDxfId="965"/>
    <tableColumn id="218" name="D_kp_prev_pwid_f_fy19" dataDxfId="964"/>
    <tableColumn id="219" name="D_kp_prev_prison_D_fy19" dataDxfId="963"/>
    <tableColumn id="220" name="D_kp_prev_prison_fy19" dataDxfId="962"/>
    <tableColumn id="221" name="D_pp_prev_fy19" dataDxfId="961"/>
    <tableColumn id="222" name="D_kp_mat_fy19" dataDxfId="960"/>
    <tableColumn id="223" name="D_gend_gbv_fy19" dataDxfId="959"/>
    <tableColumn id="224" name="D_prep_new_fy19" dataDxfId="958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6" dataDxfId="955">
  <autoFilter ref="C6:CI7"/>
  <tableColumns count="85">
    <tableColumn id="1" name="psnu" dataDxfId="954"/>
    <tableColumn id="46" name="psnuuid" dataDxfId="953"/>
    <tableColumn id="2" name="priority" dataDxfId="952"/>
    <tableColumn id="27" name="mechid" dataDxfId="951"/>
    <tableColumn id="45" name="mechname" dataDxfId="950"/>
    <tableColumn id="4" name="type" dataDxfId="949"/>
    <tableColumn id="47" name="psnu_type" dataDxfId="948"/>
    <tableColumn id="48" name="A_gend_gbv_u10_f_pev" dataDxfId="947"/>
    <tableColumn id="50" name="A_gend_gbv_u10_f_sv" dataDxfId="946"/>
    <tableColumn id="51" name="A_gend_gbv_u10_m_pev" dataDxfId="945"/>
    <tableColumn id="55" name="A_gend_gbv_u10_m_sv" dataDxfId="944"/>
    <tableColumn id="56" name="A_gend_gbv_1014_f_pev" dataDxfId="943"/>
    <tableColumn id="57" name="A_gend_gbv_1014_f_sv" dataDxfId="942"/>
    <tableColumn id="58" name="A_gend_gbv_1014_m_pev" dataDxfId="941"/>
    <tableColumn id="59" name="A_gend_gbv_1014_m_sv" dataDxfId="940"/>
    <tableColumn id="60" name="A_gend_gbv_1519_f_pev" dataDxfId="939"/>
    <tableColumn id="61" name="A_gend_gbv_1519_f_sv" dataDxfId="938"/>
    <tableColumn id="62" name="A_gend_gbv_1519_m_pev" dataDxfId="937"/>
    <tableColumn id="63" name="A_gend_gbv_1519_m_sv" dataDxfId="936"/>
    <tableColumn id="64" name="A_gend_gbv_2024_f_pev" dataDxfId="935"/>
    <tableColumn id="65" name="A_gend_gbv_2024_f_sv" dataDxfId="934"/>
    <tableColumn id="66" name="A_gend_gbv_2024_m_pev" dataDxfId="933"/>
    <tableColumn id="67" name="A_gend_gbv_2024_m_sv" dataDxfId="932"/>
    <tableColumn id="68" name="A_gend_gbv_2529_f_pev" dataDxfId="931"/>
    <tableColumn id="69" name="A_gend_gbv_2529_f_sv" dataDxfId="930"/>
    <tableColumn id="70" name="A_gend_gbv_2529_m_pev" dataDxfId="929"/>
    <tableColumn id="71" name="A_gend_gbv_2529_m_sv" dataDxfId="928"/>
    <tableColumn id="72" name="A_gend_gbv_3034_f_pev" dataDxfId="927"/>
    <tableColumn id="73" name="A_gend_gbv_3034_f_sv" dataDxfId="926"/>
    <tableColumn id="74" name="A_gend_gbv_3034_m_pev" dataDxfId="925"/>
    <tableColumn id="75" name="A_gend_gbv_3034_m_sv" dataDxfId="924"/>
    <tableColumn id="76" name="A_gend_gbv_3539_f_pev" dataDxfId="923"/>
    <tableColumn id="77" name="A_gend_gbv_3539_f_sv" dataDxfId="922"/>
    <tableColumn id="78" name="A_gend_gbv_3539_m_pev" dataDxfId="921"/>
    <tableColumn id="79" name="A_gend_gbv_3539_m_sv" dataDxfId="920"/>
    <tableColumn id="80" name="A_gend_gbv_4049_f_pev" dataDxfId="919"/>
    <tableColumn id="81" name="A_gend_gbv_4049_f_sv" dataDxfId="918"/>
    <tableColumn id="82" name="A_gend_gbv_4049_m_pev" dataDxfId="917"/>
    <tableColumn id="83" name="A_gend_gbv_4049_m_sv" dataDxfId="916"/>
    <tableColumn id="84" name="A_gend_gbv_o50_f_pev" dataDxfId="915"/>
    <tableColumn id="85" name="A_gend_gbv_o50_f_sv" dataDxfId="914"/>
    <tableColumn id="86" name="A_gend_gbv_o50_m_pev" dataDxfId="913"/>
    <tableColumn id="87" name="A_gend_gbv_o50_m_sv" dataDxfId="912"/>
    <tableColumn id="92" name="A_gend_gbv_pep" dataDxfId="911"/>
    <tableColumn id="42" name="A_check1" dataDxfId="910">
      <calculatedColumnFormula>SUM(gend_gbv_T[[#This Row],[A_gend_gbv_u10_f_pev]:[A_gend_gbv_o50_m_sv]])</calculatedColumnFormula>
    </tableColumn>
    <tableColumn id="25" name="D_gend_gbv_fy19" dataDxfId="909"/>
    <tableColumn id="5" name="gend_gbv_u10_f_pev" dataDxfId="908">
      <calculatedColumnFormula>gend_gbv_T[[D_gend_gbv_fy19]:[D_gend_gbv_fy19]]*gend_gbv_T[A_gend_gbv_u10_f_pev]</calculatedColumnFormula>
    </tableColumn>
    <tableColumn id="6" name="gend_gbv_u10_f_sv" dataDxfId="907">
      <calculatedColumnFormula>gend_gbv_T[[D_gend_gbv_fy19]:[D_gend_gbv_fy19]]*gend_gbv_T[A_gend_gbv_u10_f_sv]</calculatedColumnFormula>
    </tableColumn>
    <tableColumn id="22" name="gend_gbv_u10_m_pev" dataDxfId="906">
      <calculatedColumnFormula>gend_gbv_T[[D_gend_gbv_fy19]:[D_gend_gbv_fy19]]*gend_gbv_T[A_gend_gbv_u10_m_pev]</calculatedColumnFormula>
    </tableColumn>
    <tableColumn id="7" name="gend_gbv_u10_m_sv" dataDxfId="905">
      <calculatedColumnFormula>gend_gbv_T[[D_gend_gbv_fy19]:[D_gend_gbv_fy19]]*gend_gbv_T[A_gend_gbv_u10_m_sv]</calculatedColumnFormula>
    </tableColumn>
    <tableColumn id="8" name="gend_gbv_1014_f_pev" dataDxfId="904">
      <calculatedColumnFormula>gend_gbv_T[[D_gend_gbv_fy19]:[D_gend_gbv_fy19]]*gend_gbv_T[A_gend_gbv_1014_f_pev]</calculatedColumnFormula>
    </tableColumn>
    <tableColumn id="9" name="gend_gbv_1014_f_sv" dataDxfId="903">
      <calculatedColumnFormula>gend_gbv_T[[D_gend_gbv_fy19]:[D_gend_gbv_fy19]]*gend_gbv_T[A_gend_gbv_1014_f_sv]</calculatedColumnFormula>
    </tableColumn>
    <tableColumn id="10" name="gend_gbv_1014_m_pev" dataDxfId="902">
      <calculatedColumnFormula>gend_gbv_T[[D_gend_gbv_fy19]:[D_gend_gbv_fy19]]*gend_gbv_T[A_gend_gbv_1014_m_pev]</calculatedColumnFormula>
    </tableColumn>
    <tableColumn id="11" name="gend_gbv_1014_m_sv" dataDxfId="901">
      <calculatedColumnFormula>gend_gbv_T[[D_gend_gbv_fy19]:[D_gend_gbv_fy19]]*gend_gbv_T[A_gend_gbv_1014_m_sv]</calculatedColumnFormula>
    </tableColumn>
    <tableColumn id="12" name="gend_gbv_1519_f_pev" dataDxfId="900">
      <calculatedColumnFormula>gend_gbv_T[[D_gend_gbv_fy19]:[D_gend_gbv_fy19]]*gend_gbv_T[A_gend_gbv_1519_f_pev]</calculatedColumnFormula>
    </tableColumn>
    <tableColumn id="13" name="gend_gbv_1519_f_sv" dataDxfId="899">
      <calculatedColumnFormula>gend_gbv_T[[D_gend_gbv_fy19]:[D_gend_gbv_fy19]]*gend_gbv_T[A_gend_gbv_1519_f_sv]</calculatedColumnFormula>
    </tableColumn>
    <tableColumn id="54" name="gend_gbv_1519_m_pev" dataDxfId="898">
      <calculatedColumnFormula>gend_gbv_T[[D_gend_gbv_fy19]:[D_gend_gbv_fy19]]*gend_gbv_T[A_gend_gbv_1519_m_pev]</calculatedColumnFormula>
    </tableColumn>
    <tableColumn id="14" name="gend_gbv_1519_m_sv" dataDxfId="897">
      <calculatedColumnFormula>gend_gbv_T[[D_gend_gbv_fy19]:[D_gend_gbv_fy19]]*gend_gbv_T[A_gend_gbv_1519_m_sv]</calculatedColumnFormula>
    </tableColumn>
    <tableColumn id="15" name="gend_gbv_2024_f_pev" dataDxfId="896">
      <calculatedColumnFormula>gend_gbv_T[[D_gend_gbv_fy19]:[D_gend_gbv_fy19]]*gend_gbv_T[A_gend_gbv_2024_f_pev]</calculatedColumnFormula>
    </tableColumn>
    <tableColumn id="16" name="gend_gbv_2024_f_sv" dataDxfId="895">
      <calculatedColumnFormula>gend_gbv_T[[D_gend_gbv_fy19]:[D_gend_gbv_fy19]]*gend_gbv_T[A_gend_gbv_2024_f_sv]</calculatedColumnFormula>
    </tableColumn>
    <tableColumn id="17" name="gend_gbv_2024_m_pev" dataDxfId="894">
      <calculatedColumnFormula>gend_gbv_T[[D_gend_gbv_fy19]:[D_gend_gbv_fy19]]*gend_gbv_T[A_gend_gbv_2024_m_pev]</calculatedColumnFormula>
    </tableColumn>
    <tableColumn id="18" name="gend_gbv_2024_m_sv" dataDxfId="893">
      <calculatedColumnFormula>gend_gbv_T[[D_gend_gbv_fy19]:[D_gend_gbv_fy19]]*gend_gbv_T[A_gend_gbv_2024_m_sv]</calculatedColumnFormula>
    </tableColumn>
    <tableColumn id="19" name="gend_gbv_2529_f_pev" dataDxfId="892">
      <calculatedColumnFormula>gend_gbv_T[[D_gend_gbv_fy19]:[D_gend_gbv_fy19]]*gend_gbv_T[A_gend_gbv_2529_f_pev]</calculatedColumnFormula>
    </tableColumn>
    <tableColumn id="20" name="gend_gbv_2529_f_sv" dataDxfId="891">
      <calculatedColumnFormula>gend_gbv_T[[D_gend_gbv_fy19]:[D_gend_gbv_fy19]]*gend_gbv_T[A_gend_gbv_2529_f_sv]</calculatedColumnFormula>
    </tableColumn>
    <tableColumn id="21" name="gend_gbv_2529_m_pev" dataDxfId="890">
      <calculatedColumnFormula>gend_gbv_T[[D_gend_gbv_fy19]:[D_gend_gbv_fy19]]*gend_gbv_T[A_gend_gbv_2529_m_pev]</calculatedColumnFormula>
    </tableColumn>
    <tableColumn id="26" name="gend_gbv_2529_m_sv" dataDxfId="889">
      <calculatedColumnFormula>gend_gbv_T[[D_gend_gbv_fy19]:[D_gend_gbv_fy19]]*gend_gbv_T[A_gend_gbv_2529_m_sv]</calculatedColumnFormula>
    </tableColumn>
    <tableColumn id="28" name="gend_gbv_3034_f_pev" dataDxfId="888">
      <calculatedColumnFormula>gend_gbv_T[[D_gend_gbv_fy19]:[D_gend_gbv_fy19]]*gend_gbv_T[A_gend_gbv_3034_f_pev]</calculatedColumnFormula>
    </tableColumn>
    <tableColumn id="29" name="gend_gbv_3034_f_sv" dataDxfId="887">
      <calculatedColumnFormula>gend_gbv_T[[D_gend_gbv_fy19]:[D_gend_gbv_fy19]]*gend_gbv_T[A_gend_gbv_3034_f_sv]</calculatedColumnFormula>
    </tableColumn>
    <tableColumn id="30" name="gend_gbv_3034_m_pev" dataDxfId="886">
      <calculatedColumnFormula>gend_gbv_T[[D_gend_gbv_fy19]:[D_gend_gbv_fy19]]*gend_gbv_T[A_gend_gbv_3034_m_pev]</calculatedColumnFormula>
    </tableColumn>
    <tableColumn id="52" name="gend_gbv_3034_m_sv" dataDxfId="885">
      <calculatedColumnFormula>gend_gbv_T[[D_gend_gbv_fy19]:[D_gend_gbv_fy19]]*gend_gbv_T[A_gend_gbv_3034_m_sv]</calculatedColumnFormula>
    </tableColumn>
    <tableColumn id="31" name="gend_gbv_3539_f_pev" dataDxfId="884">
      <calculatedColumnFormula>gend_gbv_T[[D_gend_gbv_fy19]:[D_gend_gbv_fy19]]*gend_gbv_T[A_gend_gbv_3539_f_pev]</calculatedColumnFormula>
    </tableColumn>
    <tableColumn id="32" name="gend_gbv_3539_f_sv" dataDxfId="883">
      <calculatedColumnFormula>gend_gbv_T[[D_gend_gbv_fy19]:[D_gend_gbv_fy19]]*gend_gbv_T[A_gend_gbv_3539_f_sv]</calculatedColumnFormula>
    </tableColumn>
    <tableColumn id="33" name="gend_gbv_3539_m_pev" dataDxfId="882">
      <calculatedColumnFormula>gend_gbv_T[[D_gend_gbv_fy19]:[D_gend_gbv_fy19]]*gend_gbv_T[A_gend_gbv_3539_m_pev]</calculatedColumnFormula>
    </tableColumn>
    <tableColumn id="34" name="gend_gbv_3539_m_sv" dataDxfId="881">
      <calculatedColumnFormula>gend_gbv_T[[D_gend_gbv_fy19]:[D_gend_gbv_fy19]]*gend_gbv_T[A_gend_gbv_3539_m_sv]</calculatedColumnFormula>
    </tableColumn>
    <tableColumn id="35" name="gend_gbv_4049_f_pev" dataDxfId="880">
      <calculatedColumnFormula>gend_gbv_T[[D_gend_gbv_fy19]:[D_gend_gbv_fy19]]*gend_gbv_T[A_gend_gbv_4049_f_pev]</calculatedColumnFormula>
    </tableColumn>
    <tableColumn id="36" name="gend_gbv_4049_f_sv" dataDxfId="879">
      <calculatedColumnFormula>gend_gbv_T[[D_gend_gbv_fy19]:[D_gend_gbv_fy19]]*gend_gbv_T[A_gend_gbv_4049_f_sv]</calculatedColumnFormula>
    </tableColumn>
    <tableColumn id="53" name="gend_gbv_4049_m_pev" dataDxfId="878">
      <calculatedColumnFormula>gend_gbv_T[[D_gend_gbv_fy19]:[D_gend_gbv_fy19]]*gend_gbv_T[A_gend_gbv_4049_m_pev]</calculatedColumnFormula>
    </tableColumn>
    <tableColumn id="37" name="gend_gbv_4049_m_sv" dataDxfId="877">
      <calculatedColumnFormula>gend_gbv_T[[D_gend_gbv_fy19]:[D_gend_gbv_fy19]]*gend_gbv_T[A_gend_gbv_4049_m_sv]</calculatedColumnFormula>
    </tableColumn>
    <tableColumn id="38" name="gend_gbv_o50_f_pev" dataDxfId="876">
      <calculatedColumnFormula>gend_gbv_T[[D_gend_gbv_fy19]:[D_gend_gbv_fy19]]*gend_gbv_T[A_gend_gbv_o50_f_pev]</calculatedColumnFormula>
    </tableColumn>
    <tableColumn id="39" name="gend_gbv_o50_f_sv" dataDxfId="875">
      <calculatedColumnFormula>gend_gbv_T[[D_gend_gbv_fy19]:[D_gend_gbv_fy19]]*gend_gbv_T[A_gend_gbv_o50_f_sv]</calculatedColumnFormula>
    </tableColumn>
    <tableColumn id="40" name="gend_gbv_o50_m_pev" dataDxfId="874">
      <calculatedColumnFormula>gend_gbv_T[[D_gend_gbv_fy19]:[D_gend_gbv_fy19]]*gend_gbv_T[A_gend_gbv_o50_m_pev]</calculatedColumnFormula>
    </tableColumn>
    <tableColumn id="41" name="gend_gbv_o50_m_sv" dataDxfId="873">
      <calculatedColumnFormula>gend_gbv_T[[D_gend_gbv_fy19]:[D_gend_gbv_fy19]]*gend_gbv_T[A_gend_gbv_o50_m_sv]</calculatedColumnFormula>
    </tableColumn>
    <tableColumn id="24" name="gend_gbv_pep" dataDxfId="872">
      <calculatedColumnFormula>gend_gbv_T[gend_gbv_sv]*gend_gbv_T[A_gend_gbv_pep]</calculatedColumnFormula>
    </tableColumn>
    <tableColumn id="3" name="gend_gbv_pev" dataDxfId="871">
      <calculatedColumnFormula>SUMIF($AW$4:$CF$4,"*Violence*",gend_gbv_T[[gend_gbv_u10_f_pev]:[gend_gbv_o50_m_sv]])</calculatedColumnFormula>
    </tableColumn>
    <tableColumn id="23" name="gend_gbv_sv" dataDxfId="870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68" dataDxfId="867">
  <autoFilter ref="C6:DA7"/>
  <tableColumns count="103">
    <tableColumn id="1" name="psnu" dataDxfId="866"/>
    <tableColumn id="58" name="psnuuid" dataDxfId="865"/>
    <tableColumn id="2" name="priority" dataDxfId="864"/>
    <tableColumn id="56" name="mechid" dataDxfId="863"/>
    <tableColumn id="57" name="mechname" dataDxfId="862"/>
    <tableColumn id="4" name="type" dataDxfId="861"/>
    <tableColumn id="59" name="psnu_type" dataDxfId="860"/>
    <tableColumn id="60" name="A_hts_self_1014_f_direct" dataDxfId="859"/>
    <tableColumn id="61" name="A_hts_self_1014_f_unasst" dataDxfId="858"/>
    <tableColumn id="62" name="A_hts_self_1014_m_direct" dataDxfId="857"/>
    <tableColumn id="63" name="A_hts_self_1014_m_unasst" dataDxfId="856"/>
    <tableColumn id="64" name="A_hts_self_1519_f_direct" dataDxfId="855"/>
    <tableColumn id="65" name="A_hts_self_1519_f_unasst" dataDxfId="854"/>
    <tableColumn id="66" name="A_hts_self_1519_m_direct" dataDxfId="853"/>
    <tableColumn id="67" name="A_hts_self_1519_m_unasst" dataDxfId="852"/>
    <tableColumn id="68" name="A_hts_self_2024_f_direct" dataDxfId="851"/>
    <tableColumn id="69" name="A_hts_self_2024_f_unasst" dataDxfId="850"/>
    <tableColumn id="70" name="A_hts_self_2024_m_direct" dataDxfId="849"/>
    <tableColumn id="71" name="A_hts_self_2024_m_unasst" dataDxfId="848"/>
    <tableColumn id="72" name="A_hts_self_2529_f_direct" dataDxfId="847"/>
    <tableColumn id="73" name="A_hts_self_2529_f_unasst" dataDxfId="846"/>
    <tableColumn id="74" name="A_hts_self_2529_m_direct" dataDxfId="845"/>
    <tableColumn id="75" name="A_hts_self_2529_m_unasst" dataDxfId="844"/>
    <tableColumn id="76" name="A_hts_self_3034_f_direct" dataDxfId="843"/>
    <tableColumn id="77" name="A_hts_self_3034_f_unasst" dataDxfId="842"/>
    <tableColumn id="78" name="A_hts_self_3034_m_direct" dataDxfId="841"/>
    <tableColumn id="79" name="A_hts_self_3034_m_unasst" dataDxfId="840"/>
    <tableColumn id="80" name="A_hts_self_3539_f_direct" dataDxfId="839"/>
    <tableColumn id="81" name="A_hts_self_3539_f_unasst" dataDxfId="838"/>
    <tableColumn id="82" name="A_hts_self_3539_m_direct" dataDxfId="837"/>
    <tableColumn id="83" name="A_hts_self_3539_m_unasst" dataDxfId="836"/>
    <tableColumn id="84" name="A_hts_self_4049_f_direct" dataDxfId="835"/>
    <tableColumn id="85" name="A_hts_self_4049_f_unasst" dataDxfId="834"/>
    <tableColumn id="86" name="A_hts_self_4049_m_direct" dataDxfId="833"/>
    <tableColumn id="87" name="A_hts_self_4049_m_unasst" dataDxfId="832"/>
    <tableColumn id="88" name="A_hts_self_o50_f_direct" dataDxfId="831"/>
    <tableColumn id="89" name="A_hts_self_o50_f_unasst" dataDxfId="830"/>
    <tableColumn id="90" name="A_hts_self_o50_m_direct" dataDxfId="829"/>
    <tableColumn id="91" name="A_hts_self_o50_m_unasst" dataDxfId="828"/>
    <tableColumn id="96" name="A_hts_self_unasst_oth" dataDxfId="827"/>
    <tableColumn id="97" name="A_hts_self_unasst_self" dataDxfId="826"/>
    <tableColumn id="98" name="A_hts_self_unasst_partner" dataDxfId="825"/>
    <tableColumn id="99" name="A_hts_self_fsw_direct" dataDxfId="824"/>
    <tableColumn id="100" name="A_hts_self_fsw_unasst" dataDxfId="823"/>
    <tableColumn id="101" name="A_hts_self_msm_direct" dataDxfId="822"/>
    <tableColumn id="102" name="A_hts_self_msm_unasst" dataDxfId="821"/>
    <tableColumn id="103" name="A_hts_self_prison_direct" dataDxfId="820"/>
    <tableColumn id="104" name="A_hts_self_prison_unasst" dataDxfId="819"/>
    <tableColumn id="105" name="A_hts_self_pwid_direct" dataDxfId="818"/>
    <tableColumn id="106" name="A_hts_self_pwid_unasst" dataDxfId="817"/>
    <tableColumn id="107" name="A_hts_self_tg_direct" dataDxfId="816"/>
    <tableColumn id="108" name="A_hts_self_tg_unasst" dataDxfId="815"/>
    <tableColumn id="38" name="A_check1" dataDxfId="814"/>
    <tableColumn id="39" name="A_check2" dataDxfId="813"/>
    <tableColumn id="40" name="A_check3" dataDxfId="812"/>
    <tableColumn id="55" name="D_hts_self_fy19" dataDxfId="811"/>
    <tableColumn id="5" name="hts_self_1014_f_direct" dataDxfId="810">
      <calculatedColumnFormula>hts_self_T[[D_hts_self_fy19]:[D_hts_self_fy19]]*hts_self_T[A_hts_self_1014_f_direct]</calculatedColumnFormula>
    </tableColumn>
    <tableColumn id="6" name="hts_self_1014_f_unasst" dataDxfId="809">
      <calculatedColumnFormula>hts_self_T[[D_hts_self_fy19]:[D_hts_self_fy19]]*hts_self_T[A_hts_self_1014_f_unasst]</calculatedColumnFormula>
    </tableColumn>
    <tableColumn id="22" name="hts_self_1014_m_direct" dataDxfId="808">
      <calculatedColumnFormula>hts_self_T[[D_hts_self_fy19]:[D_hts_self_fy19]]*hts_self_T[A_hts_self_1014_m_direct]</calculatedColumnFormula>
    </tableColumn>
    <tableColumn id="7" name="hts_self_1014_m_unasst" dataDxfId="807">
      <calculatedColumnFormula>hts_self_T[[D_hts_self_fy19]:[D_hts_self_fy19]]*hts_self_T[A_hts_self_1014_m_unasst]</calculatedColumnFormula>
    </tableColumn>
    <tableColumn id="8" name="hts_self_1519_f_direct" dataDxfId="806">
      <calculatedColumnFormula>hts_self_T[[D_hts_self_fy19]:[D_hts_self_fy19]]*hts_self_T[A_hts_self_1519_f_direct]</calculatedColumnFormula>
    </tableColumn>
    <tableColumn id="9" name="hts_self_1519_f_unasst" dataDxfId="805">
      <calculatedColumnFormula>hts_self_T[[D_hts_self_fy19]:[D_hts_self_fy19]]*hts_self_T[A_hts_self_1519_f_unasst]</calculatedColumnFormula>
    </tableColumn>
    <tableColumn id="10" name="hts_self_1519_m_direct" dataDxfId="804">
      <calculatedColumnFormula>hts_self_T[[D_hts_self_fy19]:[D_hts_self_fy19]]*hts_self_T[A_hts_self_1519_m_direct]</calculatedColumnFormula>
    </tableColumn>
    <tableColumn id="11" name="hts_self_1519_m_unasst" dataDxfId="803">
      <calculatedColumnFormula>hts_self_T[[D_hts_self_fy19]:[D_hts_self_fy19]]*hts_self_T[A_hts_self_1519_m_unasst]</calculatedColumnFormula>
    </tableColumn>
    <tableColumn id="12" name="hts_self_2024_f_direct" dataDxfId="802">
      <calculatedColumnFormula>hts_self_T[[D_hts_self_fy19]:[D_hts_self_fy19]]*hts_self_T[A_hts_self_2024_f_direct]</calculatedColumnFormula>
    </tableColumn>
    <tableColumn id="13" name="hts_self_2024_f_unasst" dataDxfId="801">
      <calculatedColumnFormula>hts_self_T[[D_hts_self_fy19]:[D_hts_self_fy19]]*hts_self_T[A_hts_self_2024_f_unasst]</calculatedColumnFormula>
    </tableColumn>
    <tableColumn id="54" name="hts_self_2024_m_direct" dataDxfId="800">
      <calculatedColumnFormula>hts_self_T[[D_hts_self_fy19]:[D_hts_self_fy19]]*hts_self_T[A_hts_self_2024_m_direct]</calculatedColumnFormula>
    </tableColumn>
    <tableColumn id="14" name="hts_self_2024_m_unasst" dataDxfId="799">
      <calculatedColumnFormula>hts_self_T[[D_hts_self_fy19]:[D_hts_self_fy19]]*hts_self_T[A_hts_self_2024_m_unasst]</calculatedColumnFormula>
    </tableColumn>
    <tableColumn id="15" name="hts_self_2529_f_direct" dataDxfId="798">
      <calculatedColumnFormula>hts_self_T[[D_hts_self_fy19]:[D_hts_self_fy19]]*hts_self_T[A_hts_self_2529_f_direct]</calculatedColumnFormula>
    </tableColumn>
    <tableColumn id="16" name="hts_self_2529_f_unasst" dataDxfId="797">
      <calculatedColumnFormula>hts_self_T[[D_hts_self_fy19]:[D_hts_self_fy19]]*hts_self_T[A_hts_self_2529_f_unasst]</calculatedColumnFormula>
    </tableColumn>
    <tableColumn id="17" name="hts_self_2529_m_direct" dataDxfId="796">
      <calculatedColumnFormula>hts_self_T[[D_hts_self_fy19]:[D_hts_self_fy19]]*hts_self_T[A_hts_self_2529_m_direct]</calculatedColumnFormula>
    </tableColumn>
    <tableColumn id="18" name="hts_self_2529_m_unasst" dataDxfId="795">
      <calculatedColumnFormula>hts_self_T[[D_hts_self_fy19]:[D_hts_self_fy19]]*hts_self_T[A_hts_self_2529_m_unasst]</calculatedColumnFormula>
    </tableColumn>
    <tableColumn id="19" name="hts_self_3034_f_direct" dataDxfId="794">
      <calculatedColumnFormula>hts_self_T[[D_hts_self_fy19]:[D_hts_self_fy19]]*hts_self_T[A_hts_self_3034_f_direct]</calculatedColumnFormula>
    </tableColumn>
    <tableColumn id="20" name="hts_self_3034_f_unasst" dataDxfId="793">
      <calculatedColumnFormula>hts_self_T[[D_hts_self_fy19]:[D_hts_self_fy19]]*hts_self_T[A_hts_self_3034_f_unasst]</calculatedColumnFormula>
    </tableColumn>
    <tableColumn id="21" name="hts_self_3034_m_direct" dataDxfId="792">
      <calculatedColumnFormula>hts_self_T[[D_hts_self_fy19]:[D_hts_self_fy19]]*hts_self_T[A_hts_self_3034_m_direct]</calculatedColumnFormula>
    </tableColumn>
    <tableColumn id="26" name="hts_self_3034_m_unasst" dataDxfId="791">
      <calculatedColumnFormula>hts_self_T[[D_hts_self_fy19]:[D_hts_self_fy19]]*hts_self_T[A_hts_self_3034_m_unasst]</calculatedColumnFormula>
    </tableColumn>
    <tableColumn id="28" name="hts_self_3539_f_direct" dataDxfId="790">
      <calculatedColumnFormula>hts_self_T[[D_hts_self_fy19]:[D_hts_self_fy19]]*hts_self_T[A_hts_self_3539_f_direct]</calculatedColumnFormula>
    </tableColumn>
    <tableColumn id="29" name="hts_self_3539_f_unasst" dataDxfId="789">
      <calculatedColumnFormula>hts_self_T[[D_hts_self_fy19]:[D_hts_self_fy19]]*hts_self_T[A_hts_self_3539_f_unasst]</calculatedColumnFormula>
    </tableColumn>
    <tableColumn id="30" name="hts_self_3539_m_direct" dataDxfId="788">
      <calculatedColumnFormula>hts_self_T[[D_hts_self_fy19]:[D_hts_self_fy19]]*hts_self_T[A_hts_self_3539_m_direct]</calculatedColumnFormula>
    </tableColumn>
    <tableColumn id="52" name="hts_self_3539_m_unasst" dataDxfId="787">
      <calculatedColumnFormula>hts_self_T[[D_hts_self_fy19]:[D_hts_self_fy19]]*hts_self_T[A_hts_self_3539_m_unasst]</calculatedColumnFormula>
    </tableColumn>
    <tableColumn id="31" name="hts_self_4049_f_direct" dataDxfId="786">
      <calculatedColumnFormula>hts_self_T[[D_hts_self_fy19]:[D_hts_self_fy19]]*hts_self_T[A_hts_self_4049_f_direct]</calculatedColumnFormula>
    </tableColumn>
    <tableColumn id="32" name="hts_self_4049_f_unasst" dataDxfId="785">
      <calculatedColumnFormula>hts_self_T[[D_hts_self_fy19]:[D_hts_self_fy19]]*hts_self_T[A_hts_self_4049_f_unasst]</calculatedColumnFormula>
    </tableColumn>
    <tableColumn id="33" name="hts_self_4049_m_direct" dataDxfId="784">
      <calculatedColumnFormula>hts_self_T[[D_hts_self_fy19]:[D_hts_self_fy19]]*hts_self_T[A_hts_self_4049_m_direct]</calculatedColumnFormula>
    </tableColumn>
    <tableColumn id="34" name="hts_self_4049_m_unasst" dataDxfId="783">
      <calculatedColumnFormula>hts_self_T[[D_hts_self_fy19]:[D_hts_self_fy19]]*hts_self_T[A_hts_self_4049_m_unasst]</calculatedColumnFormula>
    </tableColumn>
    <tableColumn id="35" name="hts_self_o50_f_direct" dataDxfId="782">
      <calculatedColumnFormula>hts_self_T[[D_hts_self_fy19]:[D_hts_self_fy19]]*hts_self_T[A_hts_self_o50_f_direct]</calculatedColumnFormula>
    </tableColumn>
    <tableColumn id="36" name="hts_self_o50_f_unasst" dataDxfId="781">
      <calculatedColumnFormula>hts_self_T[[D_hts_self_fy19]:[D_hts_self_fy19]]*hts_self_T[A_hts_self_o50_f_unasst]</calculatedColumnFormula>
    </tableColumn>
    <tableColumn id="53" name="hts_self_o50_m_direct" dataDxfId="780">
      <calculatedColumnFormula>hts_self_T[[D_hts_self_fy19]:[D_hts_self_fy19]]*hts_self_T[A_hts_self_o50_m_direct]</calculatedColumnFormula>
    </tableColumn>
    <tableColumn id="37" name="hts_self_o50_m_unasst" dataDxfId="779">
      <calculatedColumnFormula>hts_self_T[[D_hts_self_fy19]:[D_hts_self_fy19]]*hts_self_T[A_hts_self_o50_m_unasst]</calculatedColumnFormula>
    </tableColumn>
    <tableColumn id="42" name="hts_self_direct" dataDxfId="778">
      <calculatedColumnFormula>SUMIF($BG$4:$CL$5,"*Directly*",hts_self_T[[hts_self_1014_f_direct]:[hts_self_o50_m_unasst]])</calculatedColumnFormula>
    </tableColumn>
    <tableColumn id="43" name="hts_self_unasst" dataDxfId="777">
      <calculatedColumnFormula>SUMIF($BG$4:$CL$4,"*Unassisted*",hts_self_T[[hts_self_1014_f_direct]:[hts_self_o50_m_unasst]])</calculatedColumnFormula>
    </tableColumn>
    <tableColumn id="44" name="hts_self_unasst_oth" dataDxfId="776">
      <calculatedColumnFormula>hts_self_T[[D_hts_self_fy19]:[D_hts_self_fy19]]*hts_self_T[A_hts_self_unasst_oth]</calculatedColumnFormula>
    </tableColumn>
    <tableColumn id="49" name="hts_self_unasst_self" dataDxfId="775">
      <calculatedColumnFormula>hts_self_T[[D_hts_self_fy19]:[D_hts_self_fy19]]*hts_self_T[A_hts_self_unasst_self]</calculatedColumnFormula>
    </tableColumn>
    <tableColumn id="3" name="hts_self_unasst_partner" dataDxfId="774">
      <calculatedColumnFormula>hts_self_T[[D_hts_self_fy19]:[D_hts_self_fy19]]*hts_self_T[A_hts_self_unasst_partner]</calculatedColumnFormula>
    </tableColumn>
    <tableColumn id="23" name="hts_self_fsw_direct" dataDxfId="773">
      <calculatedColumnFormula>hts_self_T[[D_hts_self_fy19]:[D_hts_self_fy19]]*hts_self_T[A_hts_self_fsw_direct]</calculatedColumnFormula>
    </tableColumn>
    <tableColumn id="24" name="hts_self_fsw_unasst" dataDxfId="772">
      <calculatedColumnFormula>hts_self_T[[D_hts_self_fy19]:[D_hts_self_fy19]]*hts_self_T[A_hts_self_fsw_unasst]</calculatedColumnFormula>
    </tableColumn>
    <tableColumn id="25" name="hts_self_msm_direct" dataDxfId="771">
      <calculatedColumnFormula>hts_self_T[[D_hts_self_fy19]:[D_hts_self_fy19]]*hts_self_T[A_hts_self_msm_direct]</calculatedColumnFormula>
    </tableColumn>
    <tableColumn id="27" name="hts_self_msm_unasst" dataDxfId="770">
      <calculatedColumnFormula>hts_self_T[[D_hts_self_fy19]:[D_hts_self_fy19]]*hts_self_T[A_hts_self_msm_unasst]</calculatedColumnFormula>
    </tableColumn>
    <tableColumn id="45" name="hts_self_prison_direct" dataDxfId="769">
      <calculatedColumnFormula>hts_self_T[[D_hts_self_fy19]:[D_hts_self_fy19]]*hts_self_T[A_hts_self_prison_direct]</calculatedColumnFormula>
    </tableColumn>
    <tableColumn id="46" name="hts_self_prison_unasst" dataDxfId="768">
      <calculatedColumnFormula>hts_self_T[[D_hts_self_fy19]:[D_hts_self_fy19]]*hts_self_T[A_hts_self_prison_unasst]</calculatedColumnFormula>
    </tableColumn>
    <tableColumn id="47" name="hts_self_pwid_direct" dataDxfId="767">
      <calculatedColumnFormula>hts_self_T[[D_hts_self_fy19]:[D_hts_self_fy19]]*hts_self_T[A_hts_self_pwid_direct]</calculatedColumnFormula>
    </tableColumn>
    <tableColumn id="48" name="hts_self_pwid_unasst" dataDxfId="766">
      <calculatedColumnFormula>hts_self_T[[D_hts_self_fy19]:[D_hts_self_fy19]]*hts_self_T[A_hts_self_pwid_unasst]</calculatedColumnFormula>
    </tableColumn>
    <tableColumn id="50" name="hts_self_tg_direct" dataDxfId="765">
      <calculatedColumnFormula>hts_self_T[[D_hts_self_fy19]:[D_hts_self_fy19]]*hts_self_T[A_hts_self_tg_direct]</calculatedColumnFormula>
    </tableColumn>
    <tableColumn id="51" name="hts_self_tg_unasst" dataDxfId="764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2" dataDxfId="761">
  <autoFilter ref="C6:ER7"/>
  <tableColumns count="146">
    <tableColumn id="1" name="psnu" dataDxfId="760"/>
    <tableColumn id="82" name="psnuuid" dataDxfId="759"/>
    <tableColumn id="2" name="priority" dataDxfId="758"/>
    <tableColumn id="55" name="mechid" dataDxfId="757"/>
    <tableColumn id="69" name="mechname" dataDxfId="756"/>
    <tableColumn id="4" name="type" dataDxfId="755"/>
    <tableColumn id="65" name="psnu_type" dataDxfId="754"/>
    <tableColumn id="66" name="A_ovc_serv_u1_unk" dataDxfId="753"/>
    <tableColumn id="67" name="A_ovc_serv_0109_unk" dataDxfId="752"/>
    <tableColumn id="68" name="A_ovc_serv_1014_f" dataDxfId="751"/>
    <tableColumn id="83" name="A_ovc_serv_1014_m" dataDxfId="750"/>
    <tableColumn id="84" name="A_ovc_serv_1517_f" dataDxfId="749"/>
    <tableColumn id="85" name="A_ovc_serv_1517_m" dataDxfId="748"/>
    <tableColumn id="86" name="A_ovc_serv_1824_f" dataDxfId="747"/>
    <tableColumn id="87" name="A_ovc_serv_1824_m" dataDxfId="746"/>
    <tableColumn id="88" name="A_ovc_serv_o25_f" dataDxfId="745"/>
    <tableColumn id="89" name="A_ovc_serv_o25_m" dataDxfId="744"/>
    <tableColumn id="90" name="A_ovc_serv_u1_unk_econ" dataDxfId="743"/>
    <tableColumn id="91" name="A_ovc_serv_0109_unk_econ" dataDxfId="742"/>
    <tableColumn id="92" name="A_ovc_serv_1014_f_econ" dataDxfId="741"/>
    <tableColumn id="93" name="A_ovc_serv_1014_m_econ" dataDxfId="740"/>
    <tableColumn id="94" name="A_ovc_serv_1517_f_econ" dataDxfId="739"/>
    <tableColumn id="95" name="A_ovc_serv_1517_m_econ" dataDxfId="738"/>
    <tableColumn id="96" name="A_ovc_serv_1824_f_econ" dataDxfId="737"/>
    <tableColumn id="97" name="A_ovc_serv_1824_m_econ" dataDxfId="736"/>
    <tableColumn id="98" name="A_ovc_serv_o25_f_econ" dataDxfId="735"/>
    <tableColumn id="99" name="A_ovc_serv_o25_m_econ" dataDxfId="734"/>
    <tableColumn id="100" name="A_ovc_serv_u1_unk_edu" dataDxfId="733"/>
    <tableColumn id="101" name="A_ovc_serv_0109_unk_edu" dataDxfId="732"/>
    <tableColumn id="102" name="A_ovc_serv_1014_f_edu" dataDxfId="731"/>
    <tableColumn id="103" name="A_ovc_serv_1014_m_edu" dataDxfId="730"/>
    <tableColumn id="104" name="A_ovc_serv_1517_f_edu" dataDxfId="729"/>
    <tableColumn id="105" name="A_ovc_serv_1517_m_edu" dataDxfId="728"/>
    <tableColumn id="106" name="A_ovc_serv_1824_f_edu" dataDxfId="727"/>
    <tableColumn id="107" name="A_ovc_serv_1824_m_edu" dataDxfId="726"/>
    <tableColumn id="108" name="A_ovc_serv_o25_f_edu" dataDxfId="725"/>
    <tableColumn id="109" name="A_ovc_serv_o25_m_edu" dataDxfId="724"/>
    <tableColumn id="110" name="A_ovc_serv_u1_unk_oth" dataDxfId="723"/>
    <tableColumn id="111" name="A_ovc_serv_0109_unk_oth" dataDxfId="722"/>
    <tableColumn id="112" name="A_ovc_serv_1014_f_oth" dataDxfId="721"/>
    <tableColumn id="113" name="A_ovc_serv_1014_m_oth" dataDxfId="720"/>
    <tableColumn id="114" name="A_ovc_serv_1517_f_oth" dataDxfId="719"/>
    <tableColumn id="115" name="A_ovc_serv_1517_m_oth" dataDxfId="718"/>
    <tableColumn id="116" name="A_ovc_serv_1824_f_oth" dataDxfId="717"/>
    <tableColumn id="117" name="A_ovc_serv_1824_m_oth" dataDxfId="716"/>
    <tableColumn id="118" name="A_ovc_serv_o25_f_oth" dataDxfId="715"/>
    <tableColumn id="119" name="A_ovc_serv_o25_m_oth" dataDxfId="714"/>
    <tableColumn id="120" name="A_ovc_serv_u1_unk_care" dataDxfId="713"/>
    <tableColumn id="121" name="A_ovc_serv_0109_unk_care" dataDxfId="712"/>
    <tableColumn id="122" name="A_ovc_serv_1014_f_care" dataDxfId="711"/>
    <tableColumn id="123" name="A_ovc_serv_1014_m_care" dataDxfId="710"/>
    <tableColumn id="124" name="A_ovc_serv_1517_f_care" dataDxfId="709"/>
    <tableColumn id="125" name="A_ovc_serv_1517_m_care" dataDxfId="708"/>
    <tableColumn id="126" name="A_ovc_serv_1824_f_care" dataDxfId="707"/>
    <tableColumn id="127" name="A_ovc_serv_1824_m_care" dataDxfId="706"/>
    <tableColumn id="128" name="A_ovc_serv_o25_f_care" dataDxfId="705"/>
    <tableColumn id="129" name="A_ovc_serv_o25_m_care" dataDxfId="704"/>
    <tableColumn id="130" name="A_ovc_serv_u1_unk_sp" dataDxfId="703"/>
    <tableColumn id="131" name="A_ovc_serv_0109_unk_sp" dataDxfId="702"/>
    <tableColumn id="132" name="A_ovc_serv_1014_f_sp" dataDxfId="701"/>
    <tableColumn id="133" name="A_ovc_serv_1014_m_sp" dataDxfId="700"/>
    <tableColumn id="134" name="A_ovc_serv_1517_f_sp" dataDxfId="699"/>
    <tableColumn id="135" name="A_ovc_serv_1517_m_sp" dataDxfId="698"/>
    <tableColumn id="136" name="A_ovc_serv_1824_f_sp" dataDxfId="697"/>
    <tableColumn id="137" name="A_ovc_serv_1824_m_sp" dataDxfId="696"/>
    <tableColumn id="138" name="A_ovc_serv_o25_f_sp" dataDxfId="695"/>
    <tableColumn id="139" name="A_ovc_serv_o25_m_sp" dataDxfId="694"/>
    <tableColumn id="140" name="A_check1" dataDxfId="693"/>
    <tableColumn id="141" name="A_check2" dataDxfId="692"/>
    <tableColumn id="142" name="A_check3" dataDxfId="691"/>
    <tableColumn id="143" name="A_check4" dataDxfId="690"/>
    <tableColumn id="144" name="A_check5" dataDxfId="689"/>
    <tableColumn id="145" name="A_check6" dataDxfId="688"/>
    <tableColumn id="146" name="A_check7" dataDxfId="687"/>
    <tableColumn id="5" name="D_ovc_serv_fy19" dataDxfId="686"/>
    <tableColumn id="80" name="D_ovc_serv_u18_fy19" dataDxfId="685"/>
    <tableColumn id="81" name="D_ovc_serv_o18_fy19" dataDxfId="684"/>
    <tableColumn id="71" name="D_ovc_serv_edu_fy19" dataDxfId="683"/>
    <tableColumn id="72" name="D_ovc_serv_care_fy19" dataDxfId="682"/>
    <tableColumn id="73" name="D_ovc_serv_sp_fy19" dataDxfId="681"/>
    <tableColumn id="75" name="D_ovc_serv_econ_fy19" dataDxfId="680"/>
    <tableColumn id="76" name="D_ovc_serv_oth_fy19" dataDxfId="679"/>
    <tableColumn id="77" name="D_ovc_serv_grad_fy19" dataDxfId="678"/>
    <tableColumn id="78" name="D_ovc_serv_trans_fy19" dataDxfId="677"/>
    <tableColumn id="79" name="D_ovc_serv_exited_fy19" dataDxfId="676"/>
    <tableColumn id="74" name="D_ovc_serv_active_fy19" dataDxfId="675"/>
    <tableColumn id="70" name="ovc_serv_u1_unk" dataDxfId="674">
      <calculatedColumnFormula>ovc_serv_T[[D_ovc_serv_u18_fy19]:[D_ovc_serv_u18_fy19]]*ovc_serv_T[A_ovc_serv_u1_unk]</calculatedColumnFormula>
    </tableColumn>
    <tableColumn id="11" name="ovc_serv_0109_unk" dataDxfId="673">
      <calculatedColumnFormula>ovc_serv_T[[D_ovc_serv_u18_fy19]:[D_ovc_serv_u18_fy19]]*ovc_serv_T[A_ovc_serv_0109_unk]</calculatedColumnFormula>
    </tableColumn>
    <tableColumn id="6" name="ovc_serv_1014_f" dataDxfId="672">
      <calculatedColumnFormula>ovc_serv_T[[D_ovc_serv_u18_fy19]:[D_ovc_serv_u18_fy19]]*ovc_serv_T[A_ovc_serv_1014_f]</calculatedColumnFormula>
    </tableColumn>
    <tableColumn id="22" name="ovc_serv_1014_m" dataDxfId="671">
      <calculatedColumnFormula>ovc_serv_T[[D_ovc_serv_u18_fy19]:[D_ovc_serv_u18_fy19]]*ovc_serv_T[A_ovc_serv_1014_m]</calculatedColumnFormula>
    </tableColumn>
    <tableColumn id="7" name="ovc_serv_1517_f" dataDxfId="670">
      <calculatedColumnFormula>ovc_serv_T[[D_ovc_serv_u18_fy19]:[D_ovc_serv_u18_fy19]]*ovc_serv_T[A_ovc_serv_1517_f]</calculatedColumnFormula>
    </tableColumn>
    <tableColumn id="8" name="ovc_serv_1517_m" dataDxfId="669">
      <calculatedColumnFormula>ovc_serv_T[[D_ovc_serv_u18_fy19]:[D_ovc_serv_u18_fy19]]*ovc_serv_T[A_ovc_serv_1517_m]</calculatedColumnFormula>
    </tableColumn>
    <tableColumn id="9" name="ovc_serv_1824_f" dataDxfId="668">
      <calculatedColumnFormula>ovc_serv_T[[D_ovc_serv_o18_fy19]:[D_ovc_serv_o18_fy19]]*ovc_serv_T[A_ovc_serv_1824_f]</calculatedColumnFormula>
    </tableColumn>
    <tableColumn id="10" name="ovc_serv_1824_m" dataDxfId="667">
      <calculatedColumnFormula>ovc_serv_T[[D_ovc_serv_o18_fy19]:[D_ovc_serv_o18_fy19]]*ovc_serv_T[A_ovc_serv_1824_m]</calculatedColumnFormula>
    </tableColumn>
    <tableColumn id="12" name="ovc_serv_o25_f" dataDxfId="666">
      <calculatedColumnFormula>ovc_serv_T[[D_ovc_serv_o18_fy19]:[D_ovc_serv_o18_fy19]]*ovc_serv_T[A_ovc_serv_o25_f]</calculatedColumnFormula>
    </tableColumn>
    <tableColumn id="13" name="ovc_serv_o25_m" dataDxfId="665">
      <calculatedColumnFormula>ovc_serv_T[[D_ovc_serv_o18_fy19]:[D_ovc_serv_o18_fy19]]*ovc_serv_T[A_ovc_serv_o25_m]</calculatedColumnFormula>
    </tableColumn>
    <tableColumn id="54" name="ovc_serv_u1_unk_econ" dataDxfId="664">
      <calculatedColumnFormula>ovc_serv_T[[D_ovc_serv_econ_fy19]:[D_ovc_serv_econ_fy19]]*ovc_serv_T[A_ovc_serv_u1_unk_econ]</calculatedColumnFormula>
    </tableColumn>
    <tableColumn id="14" name="ovc_serv_0109_unk_econ" dataDxfId="663">
      <calculatedColumnFormula>ovc_serv_T[[D_ovc_serv_econ_fy19]:[D_ovc_serv_econ_fy19]]*ovc_serv_T[A_ovc_serv_0109_unk_econ]</calculatedColumnFormula>
    </tableColumn>
    <tableColumn id="15" name="ovc_serv_1014_f_econ" dataDxfId="662">
      <calculatedColumnFormula>ovc_serv_T[[D_ovc_serv_econ_fy19]:[D_ovc_serv_econ_fy19]]*ovc_serv_T[A_ovc_serv_1014_f_econ]</calculatedColumnFormula>
    </tableColumn>
    <tableColumn id="16" name="ovc_serv_1014_m_econ" dataDxfId="661">
      <calculatedColumnFormula>ovc_serv_T[[D_ovc_serv_econ_fy19]:[D_ovc_serv_econ_fy19]]*ovc_serv_T[A_ovc_serv_1014_m_econ]</calculatedColumnFormula>
    </tableColumn>
    <tableColumn id="17" name="ovc_serv_1517_f_econ" dataDxfId="660">
      <calculatedColumnFormula>ovc_serv_T[[D_ovc_serv_econ_fy19]:[D_ovc_serv_econ_fy19]]*ovc_serv_T[A_ovc_serv_1517_f_econ]</calculatedColumnFormula>
    </tableColumn>
    <tableColumn id="18" name="ovc_serv_1517_m_econ" dataDxfId="659">
      <calculatedColumnFormula>ovc_serv_T[[D_ovc_serv_econ_fy19]:[D_ovc_serv_econ_fy19]]*ovc_serv_T[A_ovc_serv_1517_m_econ]</calculatedColumnFormula>
    </tableColumn>
    <tableColumn id="19" name="ovc_serv_1824_f_econ" dataDxfId="658">
      <calculatedColumnFormula>ovc_serv_T[[D_ovc_serv_econ_fy19]:[D_ovc_serv_econ_fy19]]*ovc_serv_T[A_ovc_serv_1824_f_econ]</calculatedColumnFormula>
    </tableColumn>
    <tableColumn id="20" name="ovc_serv_1824_m_econ" dataDxfId="657">
      <calculatedColumnFormula>ovc_serv_T[[D_ovc_serv_econ_fy19]:[D_ovc_serv_econ_fy19]]*ovc_serv_T[A_ovc_serv_1824_m_econ]</calculatedColumnFormula>
    </tableColumn>
    <tableColumn id="21" name="ovc_serv_o25_f_econ" dataDxfId="656">
      <calculatedColumnFormula>ovc_serv_T[[D_ovc_serv_econ_fy19]:[D_ovc_serv_econ_fy19]]*ovc_serv_T[A_ovc_serv_o25_f_econ]</calculatedColumnFormula>
    </tableColumn>
    <tableColumn id="26" name="ovc_serv_o25_m_econ" dataDxfId="655">
      <calculatedColumnFormula>ovc_serv_T[[D_ovc_serv_econ_fy19]:[D_ovc_serv_econ_fy19]]*ovc_serv_T[A_ovc_serv_o25_m_econ]</calculatedColumnFormula>
    </tableColumn>
    <tableColumn id="28" name="ovc_serv_u1_unk_edu" dataDxfId="654">
      <calculatedColumnFormula>ovc_serv_T[[D_ovc_serv_edu_fy19]:[D_ovc_serv_edu_fy19]]*ovc_serv_T[A_ovc_serv_u1_unk_edu]</calculatedColumnFormula>
    </tableColumn>
    <tableColumn id="29" name="ovc_serv_0109_unk_edu" dataDxfId="653">
      <calculatedColumnFormula>ovc_serv_T[[D_ovc_serv_edu_fy19]:[D_ovc_serv_edu_fy19]]*ovc_serv_T[A_ovc_serv_0109_unk_edu]</calculatedColumnFormula>
    </tableColumn>
    <tableColumn id="30" name="ovc_serv_1014_f_edu" dataDxfId="652">
      <calculatedColumnFormula>ovc_serv_T[[D_ovc_serv_edu_fy19]:[D_ovc_serv_edu_fy19]]*ovc_serv_T[A_ovc_serv_1014_f_edu]</calculatedColumnFormula>
    </tableColumn>
    <tableColumn id="52" name="ovc_serv_1014_m_edu" dataDxfId="651">
      <calculatedColumnFormula>ovc_serv_T[[D_ovc_serv_edu_fy19]:[D_ovc_serv_edu_fy19]]*ovc_serv_T[A_ovc_serv_1014_m_edu]</calculatedColumnFormula>
    </tableColumn>
    <tableColumn id="31" name="ovc_serv_1517_f_edu" dataDxfId="650">
      <calculatedColumnFormula>ovc_serv_T[[D_ovc_serv_edu_fy19]:[D_ovc_serv_edu_fy19]]*ovc_serv_T[A_ovc_serv_1517_f_edu]</calculatedColumnFormula>
    </tableColumn>
    <tableColumn id="32" name="ovc_serv_1517_m_edu" dataDxfId="649">
      <calculatedColumnFormula>ovc_serv_T[[D_ovc_serv_edu_fy19]:[D_ovc_serv_edu_fy19]]*ovc_serv_T[A_ovc_serv_1517_m_edu]</calculatedColumnFormula>
    </tableColumn>
    <tableColumn id="33" name="ovc_serv_1824_f_edu" dataDxfId="648">
      <calculatedColumnFormula>ovc_serv_T[[D_ovc_serv_edu_fy19]:[D_ovc_serv_edu_fy19]]*ovc_serv_T[A_ovc_serv_1824_f_edu]</calculatedColumnFormula>
    </tableColumn>
    <tableColumn id="34" name="ovc_serv_1824_m_edu" dataDxfId="647">
      <calculatedColumnFormula>ovc_serv_T[[D_ovc_serv_edu_fy19]:[D_ovc_serv_edu_fy19]]*ovc_serv_T[A_ovc_serv_1824_m_edu]</calculatedColumnFormula>
    </tableColumn>
    <tableColumn id="35" name="ovc_serv_o25_f_edu" dataDxfId="646">
      <calculatedColumnFormula>ovc_serv_T[[D_ovc_serv_edu_fy19]:[D_ovc_serv_edu_fy19]]*ovc_serv_T[A_ovc_serv_o25_f_edu]</calculatedColumnFormula>
    </tableColumn>
    <tableColumn id="36" name="ovc_serv_o25_m_edu" dataDxfId="645">
      <calculatedColumnFormula>ovc_serv_T[[D_ovc_serv_edu_fy19]:[D_ovc_serv_edu_fy19]]*ovc_serv_T[A_ovc_serv_o25_m_edu]</calculatedColumnFormula>
    </tableColumn>
    <tableColumn id="53" name="ovc_serv_u1_unk_oth" dataDxfId="644">
      <calculatedColumnFormula>ovc_serv_T[[D_ovc_serv_oth_fy19]:[D_ovc_serv_oth_fy19]]*ovc_serv_T[A_ovc_serv_u1_unk_oth]</calculatedColumnFormula>
    </tableColumn>
    <tableColumn id="37" name="ovc_serv_0109_unk_oth" dataDxfId="643">
      <calculatedColumnFormula>ovc_serv_T[[D_ovc_serv_oth_fy19]:[D_ovc_serv_oth_fy19]]*ovc_serv_T[A_ovc_serv_0109_unk_oth]</calculatedColumnFormula>
    </tableColumn>
    <tableColumn id="38" name="ovc_serv_1014_f_oth" dataDxfId="642">
      <calculatedColumnFormula>ovc_serv_T[[D_ovc_serv_oth_fy19]:[D_ovc_serv_oth_fy19]]*ovc_serv_T[A_ovc_serv_1014_f_oth]</calculatedColumnFormula>
    </tableColumn>
    <tableColumn id="39" name="ovc_serv_1014_m_oth" dataDxfId="641">
      <calculatedColumnFormula>ovc_serv_T[[D_ovc_serv_oth_fy19]:[D_ovc_serv_oth_fy19]]*ovc_serv_T[A_ovc_serv_1014_m_oth]</calculatedColumnFormula>
    </tableColumn>
    <tableColumn id="40" name="ovc_serv_1517_f_oth" dataDxfId="640">
      <calculatedColumnFormula>ovc_serv_T[[D_ovc_serv_oth_fy19]:[D_ovc_serv_oth_fy19]]*ovc_serv_T[A_ovc_serv_1517_f_oth]</calculatedColumnFormula>
    </tableColumn>
    <tableColumn id="41" name="ovc_serv_1517_m_oth" dataDxfId="639">
      <calculatedColumnFormula>ovc_serv_T[[D_ovc_serv_oth_fy19]:[D_ovc_serv_oth_fy19]]*ovc_serv_T[A_ovc_serv_1517_m_oth]</calculatedColumnFormula>
    </tableColumn>
    <tableColumn id="42" name="ovc_serv_1824_f_oth" dataDxfId="638">
      <calculatedColumnFormula>ovc_serv_T[[D_ovc_serv_oth_fy19]:[D_ovc_serv_oth_fy19]]*ovc_serv_T[A_ovc_serv_1824_f_oth]</calculatedColumnFormula>
    </tableColumn>
    <tableColumn id="43" name="ovc_serv_1824_m_oth" dataDxfId="637">
      <calculatedColumnFormula>ovc_serv_T[[D_ovc_serv_oth_fy19]:[D_ovc_serv_oth_fy19]]*ovc_serv_T[A_ovc_serv_1824_m_oth]</calculatedColumnFormula>
    </tableColumn>
    <tableColumn id="44" name="ovc_serv_o25_f_oth" dataDxfId="636">
      <calculatedColumnFormula>ovc_serv_T[[D_ovc_serv_oth_fy19]:[D_ovc_serv_oth_fy19]]*ovc_serv_T[A_ovc_serv_o25_f_oth]</calculatedColumnFormula>
    </tableColumn>
    <tableColumn id="49" name="ovc_serv_o25_m_oth" dataDxfId="635">
      <calculatedColumnFormula>ovc_serv_T[[D_ovc_serv_oth_fy19]:[D_ovc_serv_oth_fy19]]*ovc_serv_T[A_ovc_serv_o25_m_oth]</calculatedColumnFormula>
    </tableColumn>
    <tableColumn id="3" name="ovc_serv_u1_unk_care" dataDxfId="634">
      <calculatedColumnFormula>ovc_serv_T[[D_ovc_serv_care_fy19]:[D_ovc_serv_care_fy19]]*ovc_serv_T[A_ovc_serv_u1_unk_care]</calculatedColumnFormula>
    </tableColumn>
    <tableColumn id="23" name="ovc_serv_0109_unk_care" dataDxfId="633">
      <calculatedColumnFormula>ovc_serv_T[[D_ovc_serv_care_fy19]:[D_ovc_serv_care_fy19]]*ovc_serv_T[A_ovc_serv_0109_unk_care]</calculatedColumnFormula>
    </tableColumn>
    <tableColumn id="24" name="ovc_serv_1014_f_care" dataDxfId="632">
      <calculatedColumnFormula>ovc_serv_T[[D_ovc_serv_care_fy19]:[D_ovc_serv_care_fy19]]*ovc_serv_T[A_ovc_serv_1014_f_care]</calculatedColumnFormula>
    </tableColumn>
    <tableColumn id="25" name="ovc_serv_1014_m_care" dataDxfId="631">
      <calculatedColumnFormula>ovc_serv_T[[D_ovc_serv_care_fy19]:[D_ovc_serv_care_fy19]]*ovc_serv_T[A_ovc_serv_1014_m_care]</calculatedColumnFormula>
    </tableColumn>
    <tableColumn id="27" name="ovc_serv_1517_f_care" dataDxfId="630">
      <calculatedColumnFormula>ovc_serv_T[[D_ovc_serv_care_fy19]:[D_ovc_serv_care_fy19]]*ovc_serv_T[A_ovc_serv_1517_f_care]</calculatedColumnFormula>
    </tableColumn>
    <tableColumn id="45" name="ovc_serv_1517_m_care" dataDxfId="629">
      <calculatedColumnFormula>ovc_serv_T[[D_ovc_serv_care_fy19]:[D_ovc_serv_care_fy19]]*ovc_serv_T[A_ovc_serv_1517_m_care]</calculatedColumnFormula>
    </tableColumn>
    <tableColumn id="46" name="ovc_serv_1824_f_care" dataDxfId="628">
      <calculatedColumnFormula>ovc_serv_T[[D_ovc_serv_care_fy19]:[D_ovc_serv_care_fy19]]*ovc_serv_T[A_ovc_serv_1824_f_care]</calculatedColumnFormula>
    </tableColumn>
    <tableColumn id="47" name="ovc_serv_1824_m_care" dataDxfId="627">
      <calculatedColumnFormula>ovc_serv_T[[D_ovc_serv_care_fy19]:[D_ovc_serv_care_fy19]]*ovc_serv_T[A_ovc_serv_1824_m_care]</calculatedColumnFormula>
    </tableColumn>
    <tableColumn id="48" name="ovc_serv_o25_f_care" dataDxfId="626">
      <calculatedColumnFormula>ovc_serv_T[[D_ovc_serv_care_fy19]:[D_ovc_serv_care_fy19]]*ovc_serv_T[A_ovc_serv_o25_f_care]</calculatedColumnFormula>
    </tableColumn>
    <tableColumn id="50" name="ovc_serv_o25_m_care" dataDxfId="625">
      <calculatedColumnFormula>ovc_serv_T[[D_ovc_serv_care_fy19]:[D_ovc_serv_care_fy19]]*ovc_serv_T[A_ovc_serv_o25_m_care]</calculatedColumnFormula>
    </tableColumn>
    <tableColumn id="51" name="ovc_serv_u1_unk_sp" dataDxfId="624">
      <calculatedColumnFormula>ovc_serv_T[[D_ovc_serv_sp_fy19]:[D_ovc_serv_sp_fy19]]*ovc_serv_T[A_ovc_serv_u1_unk_sp]</calculatedColumnFormula>
    </tableColumn>
    <tableColumn id="56" name="ovc_serv_0109_unk_sp" dataDxfId="623">
      <calculatedColumnFormula>ovc_serv_T[[D_ovc_serv_sp_fy19]:[D_ovc_serv_sp_fy19]]*ovc_serv_T[A_ovc_serv_0109_unk_sp]</calculatedColumnFormula>
    </tableColumn>
    <tableColumn id="57" name="ovc_serv_1014_f_sp" dataDxfId="622">
      <calculatedColumnFormula>ovc_serv_T[[D_ovc_serv_sp_fy19]:[D_ovc_serv_sp_fy19]]*ovc_serv_T[A_ovc_serv_1014_f_sp]</calculatedColumnFormula>
    </tableColumn>
    <tableColumn id="58" name="ovc_serv_1014_m_sp" dataDxfId="621">
      <calculatedColumnFormula>ovc_serv_T[[D_ovc_serv_sp_fy19]:[D_ovc_serv_sp_fy19]]*ovc_serv_T[A_ovc_serv_1014_m_sp]</calculatedColumnFormula>
    </tableColumn>
    <tableColumn id="59" name="ovc_serv_1517_f_sp" dataDxfId="620">
      <calculatedColumnFormula>ovc_serv_T[[D_ovc_serv_sp_fy19]:[D_ovc_serv_sp_fy19]]*ovc_serv_T[A_ovc_serv_1517_f_sp]</calculatedColumnFormula>
    </tableColumn>
    <tableColumn id="60" name="ovc_serv_1517_m_sp" dataDxfId="619">
      <calculatedColumnFormula>ovc_serv_T[[D_ovc_serv_sp_fy19]:[D_ovc_serv_sp_fy19]]*ovc_serv_T[A_ovc_serv_1517_m_sp]</calculatedColumnFormula>
    </tableColumn>
    <tableColumn id="61" name="ovc_serv_1824_f_sp" dataDxfId="618">
      <calculatedColumnFormula>ovc_serv_T[[D_ovc_serv_sp_fy19]:[D_ovc_serv_sp_fy19]]*ovc_serv_T[A_ovc_serv_1824_f_sp]</calculatedColumnFormula>
    </tableColumn>
    <tableColumn id="62" name="ovc_serv_1824_m_sp" dataDxfId="617">
      <calculatedColumnFormula>ovc_serv_T[[D_ovc_serv_sp_fy19]:[D_ovc_serv_sp_fy19]]*ovc_serv_T[A_ovc_serv_1824_m_sp]</calculatedColumnFormula>
    </tableColumn>
    <tableColumn id="63" name="ovc_serv_o25_f_sp" dataDxfId="616">
      <calculatedColumnFormula>ovc_serv_T[[D_ovc_serv_sp_fy19]:[D_ovc_serv_sp_fy19]]*ovc_serv_T[A_ovc_serv_o25_f_sp]</calculatedColumnFormula>
    </tableColumn>
    <tableColumn id="64" name="ovc_serv_o25_m_sp" dataDxfId="615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2" dataDxfId="611">
  <autoFilter ref="C6:CU7"/>
  <tableColumns count="97">
    <tableColumn id="1" name="psnu" dataDxfId="610"/>
    <tableColumn id="62" name="psnuuid" dataDxfId="609"/>
    <tableColumn id="2" name="priority" dataDxfId="608"/>
    <tableColumn id="55" name="mechid" dataDxfId="607"/>
    <tableColumn id="56" name="mechname" dataDxfId="606"/>
    <tableColumn id="4" name="type" dataDxfId="605"/>
    <tableColumn id="5" name="psnu_type" dataDxfId="604"/>
    <tableColumn id="64" name="A_pmtct_stat_D_u10_f" dataDxfId="603"/>
    <tableColumn id="65" name="A_pmtct_stat_D_1014_f" dataDxfId="602"/>
    <tableColumn id="66" name="A_pmtct_stat_D_1519_f" dataDxfId="601"/>
    <tableColumn id="67" name="A_pmtct_stat_D_2024_f" dataDxfId="600"/>
    <tableColumn id="68" name="A_pmtct_stat_D_2529_f" dataDxfId="599"/>
    <tableColumn id="69" name="A_pmtct_stat_D_3034_f" dataDxfId="598"/>
    <tableColumn id="70" name="A_pmtct_stat_D_3539_f" dataDxfId="597"/>
    <tableColumn id="71" name="A_pmtct_stat_D_4049_f" dataDxfId="596"/>
    <tableColumn id="72" name="A_pmtct_stat_D_o50_f" dataDxfId="595"/>
    <tableColumn id="74" name="A_pmtct_stat_u10_f_known" dataDxfId="594"/>
    <tableColumn id="75" name="A_pmtct_stat_1014_f_known" dataDxfId="593"/>
    <tableColumn id="76" name="A_pmtct_stat_1519_f_known" dataDxfId="592"/>
    <tableColumn id="77" name="A_pmtct_stat_2024_f_known" dataDxfId="591"/>
    <tableColumn id="78" name="A_pmtct_stat_2529_f_known" dataDxfId="590"/>
    <tableColumn id="79" name="A_pmtct_stat_3034_f_known" dataDxfId="589"/>
    <tableColumn id="80" name="A_pmtct_stat_3539_f_known" dataDxfId="588"/>
    <tableColumn id="81" name="A_pmtct_stat_4049_f_known" dataDxfId="587"/>
    <tableColumn id="82" name="A_pmtct_stat_o50_f_known" dataDxfId="586"/>
    <tableColumn id="84" name="A_pmtct_stat_u10_f_newneg" dataDxfId="585"/>
    <tableColumn id="85" name="A_pmtct_stat_1014_f_newneg" dataDxfId="584"/>
    <tableColumn id="86" name="A_pmtct_stat_1519_f_newneg" dataDxfId="583"/>
    <tableColumn id="87" name="A_pmtct_stat_2024_f_newneg" dataDxfId="582"/>
    <tableColumn id="88" name="A_pmtct_stat_2529_f_newneg" dataDxfId="581"/>
    <tableColumn id="89" name="A_pmtct_stat_3034_f_newneg" dataDxfId="580"/>
    <tableColumn id="90" name="A_pmtct_stat_3539_f_newneg" dataDxfId="579"/>
    <tableColumn id="91" name="A_pmtct_stat_4049_f_newneg" dataDxfId="578"/>
    <tableColumn id="92" name="A_pmtct_stat_o50_f_newneg" dataDxfId="577"/>
    <tableColumn id="94" name="A_pmtct_stat_u10_f_newpos" dataDxfId="576"/>
    <tableColumn id="95" name="A_pmtct_stat_1014_f_newpos" dataDxfId="575"/>
    <tableColumn id="96" name="A_pmtct_stat_1519_f_newpos" dataDxfId="574"/>
    <tableColumn id="97" name="A_pmtct_stat_2024_f_newpos" dataDxfId="573"/>
    <tableColumn id="98" name="A_pmtct_stat_2529_f_newpos" dataDxfId="572"/>
    <tableColumn id="99" name="A_pmtct_stat_3034_f_newpos" dataDxfId="571"/>
    <tableColumn id="100" name="A_pmtct_stat_3539_f_newpos" dataDxfId="570"/>
    <tableColumn id="101" name="A_pmtct_stat_4049_f_newpos" dataDxfId="569"/>
    <tableColumn id="102" name="A_pmtct_stat_o50_f_newpos" dataDxfId="568"/>
    <tableColumn id="13" name="A_check1" dataDxfId="567"/>
    <tableColumn id="26" name="A_check2" dataDxfId="566"/>
    <tableColumn id="36" name="A_check3" dataDxfId="565"/>
    <tableColumn id="49" name="A_check4" dataDxfId="564"/>
    <tableColumn id="63" name="D_pmtct_stat_D_fy19" dataDxfId="563"/>
    <tableColumn id="57" name="D_pmtct_stat_fy19" dataDxfId="562"/>
    <tableColumn id="58" name="D_pmtct_stat_known_fy19" dataDxfId="561"/>
    <tableColumn id="61" name="D_pmtct_stat_newneg_fy19" dataDxfId="560"/>
    <tableColumn id="59" name="D_pmtct_stat_newpos_fy19" dataDxfId="559"/>
    <tableColumn id="60" name="pmtct_stat_D_u10_f" dataDxfId="558">
      <calculatedColumnFormula>pmtct_stat_T[[D_pmtct_stat_D_fy19]:[D_pmtct_stat_D_fy19]]*pmtct_stat_T[A_pmtct_stat_D_u10_f]</calculatedColumnFormula>
    </tableColumn>
    <tableColumn id="6" name="pmtct_stat_D_1014_f" dataDxfId="557">
      <calculatedColumnFormula>pmtct_stat_T[[D_pmtct_stat_D_fy19]:[D_pmtct_stat_D_fy19]]*pmtct_stat_T[A_pmtct_stat_D_1014_f]</calculatedColumnFormula>
    </tableColumn>
    <tableColumn id="22" name="pmtct_stat_D_1519_f" dataDxfId="556">
      <calculatedColumnFormula>pmtct_stat_T[[D_pmtct_stat_D_fy19]:[D_pmtct_stat_D_fy19]]*pmtct_stat_T[A_pmtct_stat_D_1519_f]</calculatedColumnFormula>
    </tableColumn>
    <tableColumn id="7" name="pmtct_stat_D_2024_f" dataDxfId="555">
      <calculatedColumnFormula>pmtct_stat_T[[D_pmtct_stat_D_fy19]:[D_pmtct_stat_D_fy19]]*pmtct_stat_T[A_pmtct_stat_D_2024_f]</calculatedColumnFormula>
    </tableColumn>
    <tableColumn id="8" name="pmtct_stat_D_2529_f" dataDxfId="554">
      <calculatedColumnFormula>pmtct_stat_T[[D_pmtct_stat_D_fy19]:[D_pmtct_stat_D_fy19]]*pmtct_stat_T[A_pmtct_stat_D_2529_f]</calculatedColumnFormula>
    </tableColumn>
    <tableColumn id="9" name="pmtct_stat_D_3034_f" dataDxfId="553">
      <calculatedColumnFormula>pmtct_stat_T[[D_pmtct_stat_D_fy19]:[D_pmtct_stat_D_fy19]]*pmtct_stat_T[A_pmtct_stat_D_3034_f]</calculatedColumnFormula>
    </tableColumn>
    <tableColumn id="10" name="pmtct_stat_D_3539_f" dataDxfId="552">
      <calculatedColumnFormula>pmtct_stat_T[[D_pmtct_stat_D_fy19]:[D_pmtct_stat_D_fy19]]*pmtct_stat_T[A_pmtct_stat_D_3539_f]</calculatedColumnFormula>
    </tableColumn>
    <tableColumn id="11" name="pmtct_stat_D_4049_f" dataDxfId="551">
      <calculatedColumnFormula>pmtct_stat_T[[D_pmtct_stat_D_fy19]:[D_pmtct_stat_D_fy19]]*pmtct_stat_T[A_pmtct_stat_D_4049_f]</calculatedColumnFormula>
    </tableColumn>
    <tableColumn id="12" name="pmtct_stat_D_o50_f" dataDxfId="550">
      <calculatedColumnFormula>pmtct_stat_T[[D_pmtct_stat_D_fy19]:[D_pmtct_stat_D_fy19]]*pmtct_stat_T[A_pmtct_stat_D_o50_f]</calculatedColumnFormula>
    </tableColumn>
    <tableColumn id="3" name="pmtct_stat_u10_f" dataDxfId="549">
      <calculatedColumnFormula>SUMIF($BU$4:$CU$4,"*&lt;10",$BU7:$CU7)</calculatedColumnFormula>
    </tableColumn>
    <tableColumn id="23" name="pmtct_stat_1014_f" dataDxfId="548">
      <calculatedColumnFormula>SUMIF($BU$4:$CU$4,"*10-14",$BU7:$CU7)</calculatedColumnFormula>
    </tableColumn>
    <tableColumn id="24" name="pmtct_stat_1519_f" dataDxfId="547">
      <calculatedColumnFormula>SUMIF($BU$4:$CU$4,"*15-19",$BU7:$CU7)</calculatedColumnFormula>
    </tableColumn>
    <tableColumn id="25" name="pmtct_stat_2024_f" dataDxfId="546">
      <calculatedColumnFormula>SUMIF($BU$4:$CU$4,"*20-24",$BU7:$CU7)</calculatedColumnFormula>
    </tableColumn>
    <tableColumn id="27" name="pmtct_stat_2529_f" dataDxfId="545">
      <calculatedColumnFormula>SUMIF($BU$4:$CU$4,"*25-29",$BU7:$CU7)</calculatedColumnFormula>
    </tableColumn>
    <tableColumn id="45" name="pmtct_stat_3034_f" dataDxfId="544">
      <calculatedColumnFormula>SUMIF($BU$4:$CU$4,"*30-34",$BU7:$CU7)</calculatedColumnFormula>
    </tableColumn>
    <tableColumn id="46" name="pmtct_stat_3539_f" dataDxfId="543">
      <calculatedColumnFormula>SUMIF($BU$4:$CU$4,"*35-39",$BU7:$CU7)</calculatedColumnFormula>
    </tableColumn>
    <tableColumn id="47" name="pmtct_stat_4049_f" dataDxfId="542">
      <calculatedColumnFormula>SUMIF($BU$4:$CU$4,"*40-49",$BU7:$CU7)</calculatedColumnFormula>
    </tableColumn>
    <tableColumn id="48" name="pmtct_stat_o50_f" dataDxfId="541">
      <calculatedColumnFormula>SUMIF($BU$4:$CU$4,"*50+",$BU7:$CU7)</calculatedColumnFormula>
    </tableColumn>
    <tableColumn id="54" name="pmtct_stat_u10_f_known" dataDxfId="540">
      <calculatedColumnFormula>pmtct_stat_T[[D_pmtct_stat_known_fy19]:[D_pmtct_stat_known_fy19]]*pmtct_stat_T[A_pmtct_stat_u10_f_known]</calculatedColumnFormula>
    </tableColumn>
    <tableColumn id="14" name="pmtct_stat_1014_f_known" dataDxfId="539">
      <calculatedColumnFormula>pmtct_stat_T[[D_pmtct_stat_known_fy19]:[D_pmtct_stat_known_fy19]]*pmtct_stat_T[A_pmtct_stat_1014_f_known]</calculatedColumnFormula>
    </tableColumn>
    <tableColumn id="15" name="pmtct_stat_1519_f_known" dataDxfId="538">
      <calculatedColumnFormula>pmtct_stat_T[[D_pmtct_stat_known_fy19]:[D_pmtct_stat_known_fy19]]*pmtct_stat_T[A_pmtct_stat_1519_f_known]</calculatedColumnFormula>
    </tableColumn>
    <tableColumn id="16" name="pmtct_stat_2024_f_known" dataDxfId="537">
      <calculatedColumnFormula>pmtct_stat_T[[D_pmtct_stat_known_fy19]:[D_pmtct_stat_known_fy19]]*pmtct_stat_T[A_pmtct_stat_2024_f_known]</calculatedColumnFormula>
    </tableColumn>
    <tableColumn id="17" name="pmtct_stat_2529_f_known" dataDxfId="536">
      <calculatedColumnFormula>pmtct_stat_T[[D_pmtct_stat_known_fy19]:[D_pmtct_stat_known_fy19]]*pmtct_stat_T[A_pmtct_stat_2529_f_known]</calculatedColumnFormula>
    </tableColumn>
    <tableColumn id="18" name="pmtct_stat_3034_f_known" dataDxfId="535">
      <calculatedColumnFormula>pmtct_stat_T[[D_pmtct_stat_known_fy19]:[D_pmtct_stat_known_fy19]]*pmtct_stat_T[A_pmtct_stat_3034_f_known]</calculatedColumnFormula>
    </tableColumn>
    <tableColumn id="19" name="pmtct_stat_3539_f_known" dataDxfId="534">
      <calculatedColumnFormula>pmtct_stat_T[[D_pmtct_stat_known_fy19]:[D_pmtct_stat_known_fy19]]*pmtct_stat_T[A_pmtct_stat_3539_f_known]</calculatedColumnFormula>
    </tableColumn>
    <tableColumn id="20" name="pmtct_stat_4049_f_known" dataDxfId="533">
      <calculatedColumnFormula>pmtct_stat_T[[D_pmtct_stat_known_fy19]:[D_pmtct_stat_known_fy19]]*pmtct_stat_T[A_pmtct_stat_4049_f_known]</calculatedColumnFormula>
    </tableColumn>
    <tableColumn id="21" name="pmtct_stat_o50_f_known" dataDxfId="532">
      <calculatedColumnFormula>pmtct_stat_T[[D_pmtct_stat_known_fy19]:[D_pmtct_stat_known_fy19]]*pmtct_stat_T[A_pmtct_stat_o50_f_known]</calculatedColumnFormula>
    </tableColumn>
    <tableColumn id="28" name="pmtct_stat_u10_f_newneg" dataDxfId="531">
      <calculatedColumnFormula>pmtct_stat_T[[D_pmtct_stat_newneg_fy19]:[D_pmtct_stat_newneg_fy19]]*pmtct_stat_T[A_pmtct_stat_u10_f_newneg]</calculatedColumnFormula>
    </tableColumn>
    <tableColumn id="29" name="pmtct_stat_1014_f_newneg" dataDxfId="530">
      <calculatedColumnFormula>pmtct_stat_T[[D_pmtct_stat_newneg_fy19]:[D_pmtct_stat_newneg_fy19]]*pmtct_stat_T[A_pmtct_stat_1014_f_newneg]</calculatedColumnFormula>
    </tableColumn>
    <tableColumn id="30" name="pmtct_stat_1519_f_newneg" dataDxfId="529">
      <calculatedColumnFormula>pmtct_stat_T[[D_pmtct_stat_newneg_fy19]:[D_pmtct_stat_newneg_fy19]]*pmtct_stat_T[A_pmtct_stat_1519_f_newneg]</calculatedColumnFormula>
    </tableColumn>
    <tableColumn id="52" name="pmtct_stat_2024_f_newneg" dataDxfId="528">
      <calculatedColumnFormula>pmtct_stat_T[[D_pmtct_stat_newneg_fy19]:[D_pmtct_stat_newneg_fy19]]*pmtct_stat_T[A_pmtct_stat_2024_f_newneg]</calculatedColumnFormula>
    </tableColumn>
    <tableColumn id="31" name="pmtct_stat_2529_f_newneg" dataDxfId="527">
      <calculatedColumnFormula>pmtct_stat_T[[D_pmtct_stat_newneg_fy19]:[D_pmtct_stat_newneg_fy19]]*pmtct_stat_T[A_pmtct_stat_2529_f_newneg]</calculatedColumnFormula>
    </tableColumn>
    <tableColumn id="32" name="pmtct_stat_3034_f_newneg" dataDxfId="526">
      <calculatedColumnFormula>pmtct_stat_T[[D_pmtct_stat_newneg_fy19]:[D_pmtct_stat_newneg_fy19]]*pmtct_stat_T[A_pmtct_stat_3034_f_newneg]</calculatedColumnFormula>
    </tableColumn>
    <tableColumn id="33" name="pmtct_stat_3539_f_newneg" dataDxfId="525">
      <calculatedColumnFormula>pmtct_stat_T[[D_pmtct_stat_newneg_fy19]:[D_pmtct_stat_newneg_fy19]]*pmtct_stat_T[A_pmtct_stat_3539_f_newneg]</calculatedColumnFormula>
    </tableColumn>
    <tableColumn id="34" name="pmtct_stat_4049_f_newneg" dataDxfId="524">
      <calculatedColumnFormula>pmtct_stat_T[[D_pmtct_stat_newneg_fy19]:[D_pmtct_stat_newneg_fy19]]*pmtct_stat_T[A_pmtct_stat_4049_f_newneg]</calculatedColumnFormula>
    </tableColumn>
    <tableColumn id="35" name="pmtct_stat_o50_f_newneg" dataDxfId="523">
      <calculatedColumnFormula>pmtct_stat_T[[D_pmtct_stat_newneg_fy19]:[D_pmtct_stat_newneg_fy19]]*pmtct_stat_T[A_pmtct_stat_o50_f_newneg]</calculatedColumnFormula>
    </tableColumn>
    <tableColumn id="53" name="pmtct_stat_u10_f_newpos" dataDxfId="522">
      <calculatedColumnFormula>pmtct_stat_T[[D_pmtct_stat_newpos_fy19]:[D_pmtct_stat_newpos_fy19]]*pmtct_stat_T[A_pmtct_stat_u10_f_newpos]</calculatedColumnFormula>
    </tableColumn>
    <tableColumn id="37" name="pmtct_stat_1014_f_newpos" dataDxfId="521">
      <calculatedColumnFormula>pmtct_stat_T[[D_pmtct_stat_newpos_fy19]:[D_pmtct_stat_newpos_fy19]]*pmtct_stat_T[A_pmtct_stat_1014_f_newpos]</calculatedColumnFormula>
    </tableColumn>
    <tableColumn id="38" name="pmtct_stat_1519_f_newpos" dataDxfId="520">
      <calculatedColumnFormula>pmtct_stat_T[[D_pmtct_stat_newpos_fy19]:[D_pmtct_stat_newpos_fy19]]*pmtct_stat_T[A_pmtct_stat_1519_f_newpos]</calculatedColumnFormula>
    </tableColumn>
    <tableColumn id="39" name="pmtct_stat_2024_f_newpos" dataDxfId="519">
      <calculatedColumnFormula>pmtct_stat_T[[D_pmtct_stat_newpos_fy19]:[D_pmtct_stat_newpos_fy19]]*pmtct_stat_T[A_pmtct_stat_2024_f_newpos]</calculatedColumnFormula>
    </tableColumn>
    <tableColumn id="40" name="pmtct_stat_2529_f_newpos" dataDxfId="518">
      <calculatedColumnFormula>pmtct_stat_T[[D_pmtct_stat_newpos_fy19]:[D_pmtct_stat_newpos_fy19]]*pmtct_stat_T[A_pmtct_stat_2529_f_newpos]</calculatedColumnFormula>
    </tableColumn>
    <tableColumn id="41" name="pmtct_stat_3034_f_newpos" dataDxfId="517">
      <calculatedColumnFormula>pmtct_stat_T[[D_pmtct_stat_newpos_fy19]:[D_pmtct_stat_newpos_fy19]]*pmtct_stat_T[A_pmtct_stat_3034_f_newpos]</calculatedColumnFormula>
    </tableColumn>
    <tableColumn id="42" name="pmtct_stat_3539_f_newpos" dataDxfId="516">
      <calculatedColumnFormula>pmtct_stat_T[[D_pmtct_stat_newpos_fy19]:[D_pmtct_stat_newpos_fy19]]*pmtct_stat_T[A_pmtct_stat_3539_f_newpos]</calculatedColumnFormula>
    </tableColumn>
    <tableColumn id="43" name="pmtct_stat_4049_f_newpos" dataDxfId="515">
      <calculatedColumnFormula>pmtct_stat_T[[D_pmtct_stat_newpos_fy19]:[D_pmtct_stat_newpos_fy19]]*pmtct_stat_T[A_pmtct_stat_4049_f_newpos]</calculatedColumnFormula>
    </tableColumn>
    <tableColumn id="44" name="pmtct_stat_o50_f_newpos" dataDxfId="514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2" dataDxfId="511">
  <autoFilter ref="C6:AQ7"/>
  <tableColumns count="41">
    <tableColumn id="1" name="psnu" dataDxfId="510"/>
    <tableColumn id="25" name="psnuuid" dataDxfId="509"/>
    <tableColumn id="2" name="priority" dataDxfId="508"/>
    <tableColumn id="3" name="mechid" dataDxfId="507"/>
    <tableColumn id="19" name="mechname" dataDxfId="506"/>
    <tableColumn id="4" name="type" dataDxfId="505"/>
    <tableColumn id="26" name="psnu_type" dataDxfId="504"/>
    <tableColumn id="27" name="A_pp_prev_1014_f" dataDxfId="503"/>
    <tableColumn id="28" name="A_pp_prev_1014_m" dataDxfId="502"/>
    <tableColumn id="29" name="A_pp_prev_1519_f" dataDxfId="501"/>
    <tableColumn id="30" name="A_pp_prev_1519_m" dataDxfId="500"/>
    <tableColumn id="31" name="A_pp_prev_2024_f" dataDxfId="499"/>
    <tableColumn id="32" name="A_pp_prev_2024_m" dataDxfId="498"/>
    <tableColumn id="33" name="A_pp_prev_2529_f" dataDxfId="497"/>
    <tableColumn id="34" name="A_pp_prev_2529_m" dataDxfId="496"/>
    <tableColumn id="35" name="A_pp_prev_3034_f" dataDxfId="495"/>
    <tableColumn id="36" name="A_pp_prev_3034_m" dataDxfId="494"/>
    <tableColumn id="37" name="A_pp_prev_3539_f" dataDxfId="493"/>
    <tableColumn id="38" name="A_pp_prev_3539_m" dataDxfId="492"/>
    <tableColumn id="39" name="A_pp_prev_4049_f" dataDxfId="491"/>
    <tableColumn id="40" name="A_pp_prev_4049_m" dataDxfId="490"/>
    <tableColumn id="41" name="A_pp_prev_o50_f" dataDxfId="489"/>
    <tableColumn id="42" name="A_pp_prev_o50_m" dataDxfId="488"/>
    <tableColumn id="21" name="A_check1" dataDxfId="487"/>
    <tableColumn id="20" name="D_pp_prev_fy19" dataDxfId="486"/>
    <tableColumn id="5" name="pp_prev_1014_f" dataDxfId="485">
      <calculatedColumnFormula>pp_prev_T[[D_pp_prev_fy19]:[D_pp_prev_fy19]]*pp_prev_T[A_pp_prev_1014_f]</calculatedColumnFormula>
    </tableColumn>
    <tableColumn id="6" name="pp_prev_1014_m" dataDxfId="484">
      <calculatedColumnFormula>pp_prev_T[[D_pp_prev_fy19]:[D_pp_prev_fy19]]*pp_prev_T[A_pp_prev_1014_m]</calculatedColumnFormula>
    </tableColumn>
    <tableColumn id="22" name="pp_prev_1519_f" dataDxfId="483">
      <calculatedColumnFormula>pp_prev_T[[D_pp_prev_fy19]:[D_pp_prev_fy19]]*pp_prev_T[A_pp_prev_1519_f]</calculatedColumnFormula>
    </tableColumn>
    <tableColumn id="7" name="pp_prev_1519_m" dataDxfId="482">
      <calculatedColumnFormula>pp_prev_T[[D_pp_prev_fy19]:[D_pp_prev_fy19]]*pp_prev_T[A_pp_prev_1519_m]</calculatedColumnFormula>
    </tableColumn>
    <tableColumn id="8" name="pp_prev_2024_f" dataDxfId="481">
      <calculatedColumnFormula>pp_prev_T[[D_pp_prev_fy19]:[D_pp_prev_fy19]]*pp_prev_T[A_pp_prev_2024_f]</calculatedColumnFormula>
    </tableColumn>
    <tableColumn id="9" name="pp_prev_2024_m" dataDxfId="480">
      <calculatedColumnFormula>pp_prev_T[[D_pp_prev_fy19]:[D_pp_prev_fy19]]*pp_prev_T[A_pp_prev_2024_m]</calculatedColumnFormula>
    </tableColumn>
    <tableColumn id="10" name="pp_prev_2529_f" dataDxfId="479">
      <calculatedColumnFormula>pp_prev_T[[D_pp_prev_fy19]:[D_pp_prev_fy19]]*pp_prev_T[A_pp_prev_2529_f]</calculatedColumnFormula>
    </tableColumn>
    <tableColumn id="11" name="pp_prev_2529_m" dataDxfId="478">
      <calculatedColumnFormula>pp_prev_T[[D_pp_prev_fy19]:[D_pp_prev_fy19]]*pp_prev_T[A_pp_prev_2529_m]</calculatedColumnFormula>
    </tableColumn>
    <tableColumn id="12" name="pp_prev_3034_f" dataDxfId="477">
      <calculatedColumnFormula>pp_prev_T[[D_pp_prev_fy19]:[D_pp_prev_fy19]]*pp_prev_T[A_pp_prev_3034_f]</calculatedColumnFormula>
    </tableColumn>
    <tableColumn id="13" name="pp_prev_3034_m" dataDxfId="476">
      <calculatedColumnFormula>pp_prev_T[[D_pp_prev_fy19]:[D_pp_prev_fy19]]*pp_prev_T[A_pp_prev_3034_m]</calculatedColumnFormula>
    </tableColumn>
    <tableColumn id="54" name="pp_prev_3539_f" dataDxfId="475">
      <calculatedColumnFormula>pp_prev_T[[D_pp_prev_fy19]:[D_pp_prev_fy19]]*pp_prev_T[A_pp_prev_3539_f]</calculatedColumnFormula>
    </tableColumn>
    <tableColumn id="14" name="pp_prev_3539_m" dataDxfId="474">
      <calculatedColumnFormula>pp_prev_T[[D_pp_prev_fy19]:[D_pp_prev_fy19]]*pp_prev_T[A_pp_prev_3539_m]</calculatedColumnFormula>
    </tableColumn>
    <tableColumn id="15" name="pp_prev_4049_f" dataDxfId="473">
      <calculatedColumnFormula>pp_prev_T[[D_pp_prev_fy19]:[D_pp_prev_fy19]]*pp_prev_T[A_pp_prev_4049_f]</calculatedColumnFormula>
    </tableColumn>
    <tableColumn id="16" name="pp_prev_4049_m" dataDxfId="472">
      <calculatedColumnFormula>pp_prev_T[[D_pp_prev_fy19]:[D_pp_prev_fy19]]*pp_prev_T[A_pp_prev_4049_m]</calculatedColumnFormula>
    </tableColumn>
    <tableColumn id="17" name="pp_prev_o50_f" dataDxfId="471">
      <calculatedColumnFormula>pp_prev_T[[D_pp_prev_fy19]:[D_pp_prev_fy19]]*pp_prev_T[A_pp_prev_o50_f]</calculatedColumnFormula>
    </tableColumn>
    <tableColumn id="18" name="pp_prev_o50_m" dataDxfId="470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68" dataDxfId="467">
  <autoFilter ref="C6:AV7"/>
  <tableColumns count="46">
    <tableColumn id="1" name="psnu" dataDxfId="466"/>
    <tableColumn id="24" name="psnuuid" dataDxfId="465"/>
    <tableColumn id="2" name="priority" dataDxfId="464"/>
    <tableColumn id="21" name="mechid" dataDxfId="463"/>
    <tableColumn id="23" name="mechname" dataDxfId="462"/>
    <tableColumn id="4" name="type" dataDxfId="461"/>
    <tableColumn id="25" name="psnu_type" dataDxfId="460"/>
    <tableColumn id="26" name="A_prep_new_1519_f" dataDxfId="459"/>
    <tableColumn id="27" name="A_prep_new_1519_m" dataDxfId="458"/>
    <tableColumn id="28" name="A_prep_new_2024_f" dataDxfId="457"/>
    <tableColumn id="29" name="A_prep_new_2024_m" dataDxfId="456"/>
    <tableColumn id="30" name="A_prep_new_2529_f" dataDxfId="455"/>
    <tableColumn id="31" name="A_prep_new_2529_m" dataDxfId="454"/>
    <tableColumn id="32" name="A_prep_new_3034_f" dataDxfId="453"/>
    <tableColumn id="33" name="A_prep_new_3034_m" dataDxfId="452"/>
    <tableColumn id="34" name="A_prep_new_3539_f" dataDxfId="451"/>
    <tableColumn id="35" name="A_prep_new_3539_m" dataDxfId="450"/>
    <tableColumn id="36" name="A_prep_new_4049_f" dataDxfId="449"/>
    <tableColumn id="37" name="A_prep_new_4049_m" dataDxfId="448"/>
    <tableColumn id="38" name="A_prep_new_o50_f" dataDxfId="447"/>
    <tableColumn id="39" name="A_prep_new_o50_m" dataDxfId="446"/>
    <tableColumn id="40" name="A_prep_new_fsw" dataDxfId="445"/>
    <tableColumn id="41" name="A_prep_new_msm" dataDxfId="444"/>
    <tableColumn id="42" name="A_prep_new_oth_kp" dataDxfId="443"/>
    <tableColumn id="43" name="A_prep_new_tg" dataDxfId="442"/>
    <tableColumn id="44" name="A_check1" dataDxfId="441"/>
    <tableColumn id="45" name="A_check2" dataDxfId="440"/>
    <tableColumn id="5" name="D_prep_new_fy19" dataDxfId="439"/>
    <tableColumn id="20" name="prep_new_1519_f" dataDxfId="438">
      <calculatedColumnFormula>prep_new_T[[D_prep_new_fy19]:[D_prep_new_fy19]]*prep_new_T[A_prep_new_1519_f]</calculatedColumnFormula>
    </tableColumn>
    <tableColumn id="6" name="prep_new_1519_m" dataDxfId="437">
      <calculatedColumnFormula>prep_new_T[[D_prep_new_fy19]:[D_prep_new_fy19]]*prep_new_T[A_prep_new_1519_m]</calculatedColumnFormula>
    </tableColumn>
    <tableColumn id="22" name="prep_new_2024_f" dataDxfId="436">
      <calculatedColumnFormula>prep_new_T[[D_prep_new_fy19]:[D_prep_new_fy19]]*prep_new_T[A_prep_new_2024_f]</calculatedColumnFormula>
    </tableColumn>
    <tableColumn id="7" name="prep_new_2024_m" dataDxfId="435">
      <calculatedColumnFormula>prep_new_T[[D_prep_new_fy19]:[D_prep_new_fy19]]*prep_new_T[A_prep_new_2024_m]</calculatedColumnFormula>
    </tableColumn>
    <tableColumn id="8" name="prep_new_2529_f" dataDxfId="434">
      <calculatedColumnFormula>prep_new_T[[D_prep_new_fy19]:[D_prep_new_fy19]]*prep_new_T[A_prep_new_2529_f]</calculatedColumnFormula>
    </tableColumn>
    <tableColumn id="9" name="prep_new_2529_m" dataDxfId="433">
      <calculatedColumnFormula>prep_new_T[[D_prep_new_fy19]:[D_prep_new_fy19]]*prep_new_T[A_prep_new_2529_m]</calculatedColumnFormula>
    </tableColumn>
    <tableColumn id="10" name="prep_new_3034_f" dataDxfId="432">
      <calculatedColumnFormula>prep_new_T[[D_prep_new_fy19]:[D_prep_new_fy19]]*prep_new_T[A_prep_new_3034_f]</calculatedColumnFormula>
    </tableColumn>
    <tableColumn id="11" name="prep_new_3034_m" dataDxfId="431">
      <calculatedColumnFormula>prep_new_T[[D_prep_new_fy19]:[D_prep_new_fy19]]*prep_new_T[A_prep_new_3034_m]</calculatedColumnFormula>
    </tableColumn>
    <tableColumn id="12" name="prep_new_3539_f" dataDxfId="430">
      <calculatedColumnFormula>prep_new_T[[D_prep_new_fy19]:[D_prep_new_fy19]]*prep_new_T[A_prep_new_3539_f]</calculatedColumnFormula>
    </tableColumn>
    <tableColumn id="13" name="prep_new_3539_m" dataDxfId="429">
      <calculatedColumnFormula>prep_new_T[[D_prep_new_fy19]:[D_prep_new_fy19]]*prep_new_T[A_prep_new_3539_m]</calculatedColumnFormula>
    </tableColumn>
    <tableColumn id="54" name="prep_new_4049_f" dataDxfId="428">
      <calculatedColumnFormula>prep_new_T[[D_prep_new_fy19]:[D_prep_new_fy19]]*prep_new_T[A_prep_new_4049_f]</calculatedColumnFormula>
    </tableColumn>
    <tableColumn id="14" name="prep_new_4049_m" dataDxfId="427">
      <calculatedColumnFormula>prep_new_T[[D_prep_new_fy19]:[D_prep_new_fy19]]*prep_new_T[A_prep_new_4049_m]</calculatedColumnFormula>
    </tableColumn>
    <tableColumn id="15" name="prep_new_o50_f" dataDxfId="426">
      <calculatedColumnFormula>prep_new_T[[D_prep_new_fy19]:[D_prep_new_fy19]]*prep_new_T[A_prep_new_o50_f]</calculatedColumnFormula>
    </tableColumn>
    <tableColumn id="16" name="prep_new_o50_m" dataDxfId="425">
      <calculatedColumnFormula>prep_new_T[[D_prep_new_fy19]:[D_prep_new_fy19]]*prep_new_T[A_prep_new_o50_m]</calculatedColumnFormula>
    </tableColumn>
    <tableColumn id="3" name="prep_new_fsw" dataDxfId="424">
      <calculatedColumnFormula>prep_new_T[[D_prep_new_fy19]:[D_prep_new_fy19]]*prep_new_T[A_prep_new_fsw]</calculatedColumnFormula>
    </tableColumn>
    <tableColumn id="19" name="prep_new_msm" dataDxfId="423">
      <calculatedColumnFormula>prep_new_T[[D_prep_new_fy19]:[D_prep_new_fy19]]*prep_new_T[A_prep_new_msm]</calculatedColumnFormula>
    </tableColumn>
    <tableColumn id="17" name="prep_new_oth_kp" dataDxfId="422">
      <calculatedColumnFormula>prep_new_T[[D_prep_new_fy19]:[D_prep_new_fy19]]*prep_new_T[A_prep_new_oth_kp]</calculatedColumnFormula>
    </tableColumn>
    <tableColumn id="18" name="prep_new_tg" dataDxfId="421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18" dataDxfId="417">
  <autoFilter ref="C6:AC7"/>
  <tableColumns count="27">
    <tableColumn id="1" name="psnu" dataDxfId="416"/>
    <tableColumn id="52" name="psnuuid" dataDxfId="415"/>
    <tableColumn id="2" name="priority" dataDxfId="414"/>
    <tableColumn id="35" name="mechid" dataDxfId="413"/>
    <tableColumn id="36" name="mechname" dataDxfId="412"/>
    <tableColumn id="4" name="type" dataDxfId="411"/>
    <tableColumn id="53" name="psnu_type" dataDxfId="410"/>
    <tableColumn id="61" name="A_tb_stat_D_u15_f" dataDxfId="409"/>
    <tableColumn id="62" name="A_tb_stat_D_u15_m" dataDxfId="408"/>
    <tableColumn id="63" name="A_tb_stat_D_o15_f" dataDxfId="407"/>
    <tableColumn id="64" name="A_tb_stat_D_o15_m" dataDxfId="406"/>
    <tableColumn id="76" name="A_tb_stat_u15_f" dataDxfId="405"/>
    <tableColumn id="77" name="A_tb_stat_u15_m" dataDxfId="404"/>
    <tableColumn id="78" name="A_tb_stat_o15_f" dataDxfId="403"/>
    <tableColumn id="79" name="A_tb_stat_o15_m" dataDxfId="402"/>
    <tableColumn id="3" name="A_check1" dataDxfId="401">
      <calculatedColumnFormula>SUM(tb_stat_T[[#This Row],[A_tb_stat_D_u15_f]:[A_tb_stat_D_o15_m]])</calculatedColumnFormula>
    </tableColumn>
    <tableColumn id="5" name="A_check2" dataDxfId="400"/>
    <tableColumn id="56" name="D_tb_stat_D_fy19" dataDxfId="399"/>
    <tableColumn id="39" name="D_tb_stat_fy19" dataDxfId="398"/>
    <tableColumn id="27" name="tb_stat_D_u15_f" dataDxfId="397">
      <calculatedColumnFormula>tb_stat_T[[D_tb_stat_D_fy19]:[D_tb_stat_D_fy19]]*tb_stat_T[A_tb_stat_D_u15_f]</calculatedColumnFormula>
    </tableColumn>
    <tableColumn id="28" name="tb_stat_D_u15_m" dataDxfId="396">
      <calculatedColumnFormula>tb_stat_T[[D_tb_stat_D_fy19]:[D_tb_stat_D_fy19]]*tb_stat_T[A_tb_stat_D_u15_m]</calculatedColumnFormula>
    </tableColumn>
    <tableColumn id="29" name="tb_stat_D_o15_f" dataDxfId="395">
      <calculatedColumnFormula>tb_stat_T[[D_tb_stat_D_fy19]:[D_tb_stat_D_fy19]]*tb_stat_T[A_tb_stat_D_o15_f]</calculatedColumnFormula>
    </tableColumn>
    <tableColumn id="30" name="tb_stat_D_o15_m" dataDxfId="394">
      <calculatedColumnFormula>tb_stat_T[[D_tb_stat_D_fy19]:[D_tb_stat_D_fy19]]*tb_stat_T[A_tb_stat_D_o15_m]</calculatedColumnFormula>
    </tableColumn>
    <tableColumn id="48" name="tb_stat_u15_f_newneg" dataDxfId="393">
      <calculatedColumnFormula>tb_stat_T[[D_tb_stat_fy19]:[D_tb_stat_fy19]]*tb_stat_T[A_tb_stat_u15_f]</calculatedColumnFormula>
    </tableColumn>
    <tableColumn id="49" name="tb_stat_u15_m_newneg" dataDxfId="392">
      <calculatedColumnFormula>tb_stat_T[[D_tb_stat_fy19]:[D_tb_stat_fy19]]*tb_stat_T[A_tb_stat_u15_m]</calculatedColumnFormula>
    </tableColumn>
    <tableColumn id="50" name="tb_stat_o15_f_newneg" dataDxfId="391">
      <calculatedColumnFormula>tb_stat_T[[D_tb_stat_fy19]:[D_tb_stat_fy19]]*tb_stat_T[A_tb_stat_o15_f]</calculatedColumnFormula>
    </tableColumn>
    <tableColumn id="51" name="tb_stat_o15_m_newneg" dataDxfId="390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88" dataDxfId="387">
  <autoFilter ref="C6:U7"/>
  <tableColumns count="19">
    <tableColumn id="1" name="psnu" dataDxfId="386"/>
    <tableColumn id="52" name="psnuuid" dataDxfId="385"/>
    <tableColumn id="2" name="priority" dataDxfId="384"/>
    <tableColumn id="35" name="mechid" dataDxfId="383"/>
    <tableColumn id="36" name="mechname" dataDxfId="382"/>
    <tableColumn id="4" name="type" dataDxfId="381"/>
    <tableColumn id="53" name="psnu_type" dataDxfId="380"/>
    <tableColumn id="86" name="A_tb_art_u15_f_pos" dataDxfId="379"/>
    <tableColumn id="87" name="A_tb_art_u15_m_pos" dataDxfId="378"/>
    <tableColumn id="88" name="A_tb_art_o15_f_pos" dataDxfId="377"/>
    <tableColumn id="89" name="A_tb_art_o15_m_pos" dataDxfId="376"/>
    <tableColumn id="3" name="A_check1" dataDxfId="375"/>
    <tableColumn id="5" name="D_tb_art_fy19" dataDxfId="374"/>
    <tableColumn id="54" name="D_tb_art_new_fy19" dataDxfId="373"/>
    <tableColumn id="55" name="D_tb_art_already_fy19" dataDxfId="372"/>
    <tableColumn id="41" name="tb_art_u15_f_pos" dataDxfId="371">
      <calculatedColumnFormula>tb_art_T[[D_tb_art_fy19]:[D_tb_art_fy19]]*tb_art_T[A_tb_art_u15_f_pos]</calculatedColumnFormula>
    </tableColumn>
    <tableColumn id="6" name="tb_art_u15_m_pos" dataDxfId="370">
      <calculatedColumnFormula>tb_art_T[[D_tb_art_fy19]:[D_tb_art_fy19]]*tb_art_T[A_tb_art_u15_m_pos]</calculatedColumnFormula>
    </tableColumn>
    <tableColumn id="22" name="tb_art_o15_f_pos" dataDxfId="369">
      <calculatedColumnFormula>tb_art_T[[D_tb_art_fy19]:[D_tb_art_fy19]]*tb_art_T[A_tb_art_o15_f_pos]</calculatedColumnFormula>
    </tableColumn>
    <tableColumn id="7" name="tb_art_o15_m_pos" dataDxfId="368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5" dataDxfId="364">
  <autoFilter ref="C6:AU7"/>
  <tableColumns count="45">
    <tableColumn id="1" name="psnu" dataDxfId="363"/>
    <tableColumn id="52" name="psnuuid" dataDxfId="362"/>
    <tableColumn id="2" name="priority" dataDxfId="361"/>
    <tableColumn id="35" name="mechid" dataDxfId="360"/>
    <tableColumn id="36" name="mechname" dataDxfId="359"/>
    <tableColumn id="4" name="type" dataDxfId="358"/>
    <tableColumn id="53" name="psnu_type" dataDxfId="357"/>
    <tableColumn id="92" name="A_tb_prev_D_u15_f_pos" dataDxfId="356"/>
    <tableColumn id="93" name="A_tb_prev_D_u15_m_pos" dataDxfId="355"/>
    <tableColumn id="94" name="A_tb_prev_D_o15_f_pos" dataDxfId="354"/>
    <tableColumn id="95" name="A_tb_prev_D_o15_m_pos" dataDxfId="353"/>
    <tableColumn id="96" name="A_tb_prev_D_alt_tpt_life_already_pos" dataDxfId="352"/>
    <tableColumn id="97" name="A_tb_prev_D_ipt_life_already_pos" dataDxfId="351"/>
    <tableColumn id="98" name="A_tb_prev_D_alt_tpt_life_new_pos" dataDxfId="350"/>
    <tableColumn id="99" name="A_tb_prev_D_ipt_life_new_pos" dataDxfId="349"/>
    <tableColumn id="100" name="A_tb_prev_u15_f_pos" dataDxfId="348"/>
    <tableColumn id="101" name="A_tb_prev_u15_m_pos" dataDxfId="347"/>
    <tableColumn id="102" name="A_tb_prev_o15_f_pos" dataDxfId="346"/>
    <tableColumn id="103" name="A_tb_prev_o15_m_pos" dataDxfId="345"/>
    <tableColumn id="104" name="A_tb_prev_alt_tpt_life_already_pos" dataDxfId="344"/>
    <tableColumn id="105" name="A_tb_prev_ipt_life_already_pos" dataDxfId="343"/>
    <tableColumn id="106" name="A_tb_prev_alt_tpt_life_new_pos" dataDxfId="342"/>
    <tableColumn id="107" name="A_tb_prev_ipt_life_new_pos" dataDxfId="341"/>
    <tableColumn id="5" name="A_check1" dataDxfId="340"/>
    <tableColumn id="6" name="A_check2" dataDxfId="339"/>
    <tableColumn id="7" name="A_check3" dataDxfId="338"/>
    <tableColumn id="8" name="A_check4" dataDxfId="337"/>
    <tableColumn id="37" name="D_tb_prev_D_fy19" dataDxfId="336"/>
    <tableColumn id="38" name="D_tb_prev_fy19" dataDxfId="335"/>
    <tableColumn id="3" name="tb_prev_D_u15_f_pos" dataDxfId="334">
      <calculatedColumnFormula>tb_prev_T[[D_tb_prev_D_fy19]:[D_tb_prev_D_fy19]]*tb_prev_T[A_tb_prev_D_u15_f_pos]</calculatedColumnFormula>
    </tableColumn>
    <tableColumn id="9" name="tb_prev_D_u15_m_pos" dataDxfId="333">
      <calculatedColumnFormula>tb_prev_T[[D_tb_prev_D_fy19]:[D_tb_prev_D_fy19]]*tb_prev_T[A_tb_prev_D_u15_m_pos]</calculatedColumnFormula>
    </tableColumn>
    <tableColumn id="10" name="tb_prev_D_o15_f_pos" dataDxfId="332">
      <calculatedColumnFormula>tb_prev_T[[D_tb_prev_D_fy19]:[D_tb_prev_D_fy19]]*tb_prev_T[A_tb_prev_D_o15_f_pos]</calculatedColumnFormula>
    </tableColumn>
    <tableColumn id="11" name="tb_prev_D_o15_m_pos" dataDxfId="331">
      <calculatedColumnFormula>tb_prev_T[[D_tb_prev_D_fy19]:[D_tb_prev_D_fy19]]*tb_prev_T[A_tb_prev_D_o15_m_pos]</calculatedColumnFormula>
    </tableColumn>
    <tableColumn id="13" name="tb_prev_D_alt_tpt_life_already_pos" dataDxfId="330">
      <calculatedColumnFormula>tb_prev_T[[D_tb_prev_D_fy19]:[D_tb_prev_D_fy19]]*tb_prev_T[A_tb_prev_D_alt_tpt_life_already_pos]</calculatedColumnFormula>
    </tableColumn>
    <tableColumn id="15" name="tb_prev_D_ipt_life_already_pos" dataDxfId="329">
      <calculatedColumnFormula>tb_prev_T[[D_tb_prev_D_fy19]:[D_tb_prev_D_fy19]]*tb_prev_T[A_tb_prev_D_ipt_life_already_pos]</calculatedColumnFormula>
    </tableColumn>
    <tableColumn id="14" name="tb_prev_D_alt_tpt_life_new_pos" dataDxfId="328">
      <calculatedColumnFormula>tb_prev_T[[D_tb_prev_D_fy19]:[D_tb_prev_D_fy19]]*tb_prev_T[A_tb_prev_D_alt_tpt_life_new_pos]</calculatedColumnFormula>
    </tableColumn>
    <tableColumn id="16" name="tb_prev_D_ipt_life_new_pos" dataDxfId="327">
      <calculatedColumnFormula>tb_prev_T[[D_tb_prev_D_fy19]:[D_tb_prev_D_fy19]]*tb_prev_T[A_tb_prev_D_ipt_life_new_pos]</calculatedColumnFormula>
    </tableColumn>
    <tableColumn id="17" name="tb_prev_u15_f_pos" dataDxfId="326">
      <calculatedColumnFormula>tb_prev_T[[D_tb_prev_fy19]:[D_tb_prev_fy19]]*tb_prev_T[A_tb_prev_u15_f_pos]</calculatedColumnFormula>
    </tableColumn>
    <tableColumn id="18" name="tb_prev_u15_m_pos" dataDxfId="325">
      <calculatedColumnFormula>tb_prev_T[[D_tb_prev_fy19]:[D_tb_prev_fy19]]*tb_prev_T[A_tb_prev_u15_m_pos]</calculatedColumnFormula>
    </tableColumn>
    <tableColumn id="19" name="tb_prev_o15_f_pos" dataDxfId="324">
      <calculatedColumnFormula>tb_prev_T[[D_tb_prev_fy19]:[D_tb_prev_fy19]]*tb_prev_T[A_tb_prev_o15_f_pos]</calculatedColumnFormula>
    </tableColumn>
    <tableColumn id="20" name="tb_prev_o15_m_pos" dataDxfId="323">
      <calculatedColumnFormula>tb_prev_T[[D_tb_prev_fy19]:[D_tb_prev_fy19]]*tb_prev_T[A_tb_prev_o15_m_pos]</calculatedColumnFormula>
    </tableColumn>
    <tableColumn id="23" name="tb_prev_alt_tpt_life_already_pos" dataDxfId="322">
      <calculatedColumnFormula>tb_prev_T[[D_tb_prev_fy19]:[D_tb_prev_fy19]]*tb_prev_T[A_tb_prev_alt_tpt_life_already_pos]</calculatedColumnFormula>
    </tableColumn>
    <tableColumn id="25" name="tb_prev_ipt_life_already_pos" dataDxfId="321">
      <calculatedColumnFormula>tb_prev_T[[D_tb_prev_fy19]:[D_tb_prev_fy19]]*tb_prev_T[A_tb_prev_ipt_life_already_pos]</calculatedColumnFormula>
    </tableColumn>
    <tableColumn id="24" name="tb_prev_alt_tpt_life_new_pos" dataDxfId="320">
      <calculatedColumnFormula>tb_prev_T[[D_tb_prev_fy19]:[D_tb_prev_fy19]]*tb_prev_T[A_tb_prev_alt_tpt_life_new_pos]</calculatedColumnFormula>
    </tableColumn>
    <tableColumn id="26" name="tb_prev_ipt_life_new_pos" dataDxfId="319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17" dataDxfId="316">
  <autoFilter ref="C6:AX7"/>
  <tableColumns count="48">
    <tableColumn id="1" name="psnu" dataDxfId="315"/>
    <tableColumn id="26" name="psnuuid" dataDxfId="314"/>
    <tableColumn id="2" name="priority" dataDxfId="313"/>
    <tableColumn id="3" name="mechid" dataDxfId="312"/>
    <tableColumn id="21" name="mechname" dataDxfId="311"/>
    <tableColumn id="4" name="type" dataDxfId="310"/>
    <tableColumn id="27" name="psnu_type" dataDxfId="309"/>
    <tableColumn id="28" name="A_tx_curr_u1_unk_pos" dataDxfId="308"/>
    <tableColumn id="29" name="A_tx_curr_0109_unk_pos" dataDxfId="307"/>
    <tableColumn id="30" name="A_tx_curr_1014_f_pos" dataDxfId="306"/>
    <tableColumn id="31" name="A_tx_curr_1014_m_pos" dataDxfId="305"/>
    <tableColumn id="32" name="A_tx_curr_1519_f_pos" dataDxfId="304"/>
    <tableColumn id="33" name="A_tx_curr_1519_m_pos" dataDxfId="303"/>
    <tableColumn id="34" name="A_tx_curr_2024_f_pos" dataDxfId="302"/>
    <tableColumn id="35" name="A_tx_curr_2024_m_pos" dataDxfId="301"/>
    <tableColumn id="36" name="A_tx_curr_2529_f_pos" dataDxfId="300"/>
    <tableColumn id="37" name="A_tx_curr_2529_m_pos" dataDxfId="299"/>
    <tableColumn id="38" name="A_tx_curr_3034_f_pos" dataDxfId="298"/>
    <tableColumn id="39" name="A_tx_curr_3034_m_pos" dataDxfId="297"/>
    <tableColumn id="40" name="A_tx_curr_3539_f_pos" dataDxfId="296"/>
    <tableColumn id="41" name="A_tx_curr_3539_m_pos" dataDxfId="295"/>
    <tableColumn id="42" name="A_tx_curr_4049_f_pos" dataDxfId="294"/>
    <tableColumn id="43" name="A_tx_curr_4049_m_pos" dataDxfId="293"/>
    <tableColumn id="44" name="A_tx_curr_o50_f_pos" dataDxfId="292"/>
    <tableColumn id="45" name="A_tx_curr_o50_m_pos" dataDxfId="291"/>
    <tableColumn id="46" name="A_check1" dataDxfId="290"/>
    <tableColumn id="47" name="A_check2" dataDxfId="289"/>
    <tableColumn id="5" name="D_tx_curr_fy19" dataDxfId="288"/>
    <tableColumn id="24" name="D_tx_curr_u15_fy19" dataDxfId="287"/>
    <tableColumn id="25" name="D_tx_curr_o15_fy19" dataDxfId="286"/>
    <tableColumn id="23" name="tx_curr_u1_unk_pos" dataDxfId="285">
      <calculatedColumnFormula>tx_curr_T[[D_tx_curr_u15_fy19]:[D_tx_curr_u15_fy19]]*tx_curr_T[A_tx_curr_u1_unk_pos]</calculatedColumnFormula>
    </tableColumn>
    <tableColumn id="8" name="tx_curr_0109_unk_pos" dataDxfId="284">
      <calculatedColumnFormula>tx_curr_T[[D_tx_curr_u15_fy19]:[D_tx_curr_u15_fy19]]*tx_curr_T[A_tx_curr_0109_unk_pos]</calculatedColumnFormula>
    </tableColumn>
    <tableColumn id="11" name="tx_curr_1014_f_pos" dataDxfId="283">
      <calculatedColumnFormula>tx_curr_T[[D_tx_curr_u15_fy19]:[D_tx_curr_u15_fy19]]*tx_curr_T[A_tx_curr_1014_f_pos]</calculatedColumnFormula>
    </tableColumn>
    <tableColumn id="6" name="tx_curr_1014_m_pos" dataDxfId="282">
      <calculatedColumnFormula>tx_curr_T[[D_tx_curr_u15_fy19]:[D_tx_curr_u15_fy19]]*tx_curr_T[A_tx_curr_1014_m_pos]</calculatedColumnFormula>
    </tableColumn>
    <tableColumn id="22" name="tx_curr_1519_f_pos" dataDxfId="281">
      <calculatedColumnFormula>tx_curr_T[[D_tx_curr_o15_fy19]:[D_tx_curr_o15_fy19]]*tx_curr_T[A_tx_curr_1519_f_pos]</calculatedColumnFormula>
    </tableColumn>
    <tableColumn id="7" name="tx_curr_1519_m_pos" dataDxfId="280">
      <calculatedColumnFormula>tx_curr_T[[D_tx_curr_o15_fy19]:[D_tx_curr_o15_fy19]]*tx_curr_T[A_tx_curr_1519_m_pos]</calculatedColumnFormula>
    </tableColumn>
    <tableColumn id="9" name="tx_curr_2024_f_pos" dataDxfId="279">
      <calculatedColumnFormula>tx_curr_T[[D_tx_curr_o15_fy19]:[D_tx_curr_o15_fy19]]*tx_curr_T[A_tx_curr_2024_f_pos]</calculatedColumnFormula>
    </tableColumn>
    <tableColumn id="10" name="tx_curr_2024_m_pos" dataDxfId="278">
      <calculatedColumnFormula>tx_curr_T[[D_tx_curr_o15_fy19]:[D_tx_curr_o15_fy19]]*tx_curr_T[A_tx_curr_2024_m_pos]</calculatedColumnFormula>
    </tableColumn>
    <tableColumn id="12" name="tx_curr_2529_f_pos" dataDxfId="277">
      <calculatedColumnFormula>tx_curr_T[[D_tx_curr_o15_fy19]:[D_tx_curr_o15_fy19]]*tx_curr_T[A_tx_curr_2529_f_pos]</calculatedColumnFormula>
    </tableColumn>
    <tableColumn id="13" name="tx_curr_2529_m_pos" dataDxfId="276">
      <calculatedColumnFormula>tx_curr_T[[D_tx_curr_o15_fy19]:[D_tx_curr_o15_fy19]]*tx_curr_T[A_tx_curr_2529_m_pos]</calculatedColumnFormula>
    </tableColumn>
    <tableColumn id="54" name="tx_curr_3034_f_pos" dataDxfId="275">
      <calculatedColumnFormula>tx_curr_T[[D_tx_curr_o15_fy19]:[D_tx_curr_o15_fy19]]*tx_curr_T[A_tx_curr_3034_f_pos]</calculatedColumnFormula>
    </tableColumn>
    <tableColumn id="14" name="tx_curr_3034_m_pos" dataDxfId="274">
      <calculatedColumnFormula>tx_curr_T[[D_tx_curr_o15_fy19]:[D_tx_curr_o15_fy19]]*tx_curr_T[A_tx_curr_3034_m_pos]</calculatedColumnFormula>
    </tableColumn>
    <tableColumn id="15" name="tx_curr_3539_f_pos" dataDxfId="273">
      <calculatedColumnFormula>tx_curr_T[[D_tx_curr_o15_fy19]:[D_tx_curr_o15_fy19]]*tx_curr_T[A_tx_curr_3539_f_pos]</calculatedColumnFormula>
    </tableColumn>
    <tableColumn id="16" name="tx_curr_3539_m_pos" dataDxfId="272">
      <calculatedColumnFormula>tx_curr_T[[D_tx_curr_o15_fy19]:[D_tx_curr_o15_fy19]]*tx_curr_T[A_tx_curr_3539_m_pos]</calculatedColumnFormula>
    </tableColumn>
    <tableColumn id="17" name="tx_curr_4049_f_pos" dataDxfId="271">
      <calculatedColumnFormula>tx_curr_T[[D_tx_curr_o15_fy19]:[D_tx_curr_o15_fy19]]*tx_curr_T[A_tx_curr_4049_f_pos]</calculatedColumnFormula>
    </tableColumn>
    <tableColumn id="18" name="tx_curr_4049_m_pos" dataDxfId="270">
      <calculatedColumnFormula>tx_curr_T[[D_tx_curr_o15_fy19]:[D_tx_curr_o15_fy19]]*tx_curr_T[A_tx_curr_4049_m_pos]</calculatedColumnFormula>
    </tableColumn>
    <tableColumn id="19" name="tx_curr_o50_f_pos" dataDxfId="269">
      <calculatedColumnFormula>tx_curr_T[[D_tx_curr_o15_fy19]:[D_tx_curr_o15_fy19]]*tx_curr_T[A_tx_curr_o50_f_pos]</calculatedColumnFormula>
    </tableColumn>
    <tableColumn id="20" name="tx_curr_o50_m_pos" dataDxfId="268">
      <calculatedColumnFormula>tx_curr_T[[D_tx_curr_o15_fy19]:[D_tx_curr_o15_fy19]]*tx_curr_T[A_tx_curr_2529_m_pos]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6" dataDxfId="265">
  <autoFilter ref="C6:BN7"/>
  <tableColumns count="64">
    <tableColumn id="1" name="psnu" dataDxfId="264"/>
    <tableColumn id="26" name="psnuuid" dataDxfId="263"/>
    <tableColumn id="2" name="priority" dataDxfId="262"/>
    <tableColumn id="3" name="mechid" dataDxfId="261"/>
    <tableColumn id="21" name="mechname" dataDxfId="260"/>
    <tableColumn id="4" name="type" dataDxfId="259"/>
    <tableColumn id="27" name="psnu_type" dataDxfId="258"/>
    <tableColumn id="28" name="A_tx_new_u01_unk_pos" dataDxfId="257"/>
    <tableColumn id="29" name="A_tx_new_0109_unk_pos" dataDxfId="256"/>
    <tableColumn id="30" name="A_tx_new_1014_f_pos" dataDxfId="255"/>
    <tableColumn id="31" name="A_tx_new_1014_m_pos" dataDxfId="254"/>
    <tableColumn id="32" name="A_tx_new_1519_f_pos" dataDxfId="253"/>
    <tableColumn id="33" name="A_tx_new_1519_m_pos" dataDxfId="252"/>
    <tableColumn id="34" name="A_tx_new_2024_f_pos" dataDxfId="251"/>
    <tableColumn id="35" name="A_tx_new_2024_m_pos" dataDxfId="250"/>
    <tableColumn id="36" name="A_tx_new_2529_f_pos" dataDxfId="249"/>
    <tableColumn id="37" name="A_tx_new_2529_m_pos" dataDxfId="248"/>
    <tableColumn id="38" name="A_tx_new_3034_f_pos" dataDxfId="247"/>
    <tableColumn id="39" name="A_tx_new_3034_m_pos" dataDxfId="246"/>
    <tableColumn id="40" name="A_tx_new_3539_f_pos" dataDxfId="245"/>
    <tableColumn id="41" name="A_tx_new_3539_m_pos" dataDxfId="244"/>
    <tableColumn id="42" name="A_tx_new_4049_f_pos" dataDxfId="243"/>
    <tableColumn id="43" name="A_tx_new_4049_m_pos" dataDxfId="242"/>
    <tableColumn id="44" name="A_tx_new_o50_f_pos" dataDxfId="241"/>
    <tableColumn id="45" name="A_tx_new_o50_m_pos" dataDxfId="240"/>
    <tableColumn id="46" name="A_tx_new_fsw_pos" dataDxfId="239"/>
    <tableColumn id="47" name="A_tx_new_msm_pos" dataDxfId="238"/>
    <tableColumn id="48" name="A_tx_new_prison_pos" dataDxfId="237"/>
    <tableColumn id="49" name="A_tx_new_pwid_pos" dataDxfId="236"/>
    <tableColumn id="50" name="A_tx_new_tg_pos" dataDxfId="235"/>
    <tableColumn id="51" name="A_tx_new_bf_pos" dataDxfId="234"/>
    <tableColumn id="52" name="A_tx_new_preg_pos" dataDxfId="233"/>
    <tableColumn id="53" name="A_check1" dataDxfId="232"/>
    <tableColumn id="55" name="A_check2" dataDxfId="231"/>
    <tableColumn id="56" name="A_check3" dataDxfId="230"/>
    <tableColumn id="57" name="A_check4" dataDxfId="229"/>
    <tableColumn id="5" name="D_tx_new_fy19" dataDxfId="228"/>
    <tableColumn id="24" name="D_tx_new_u15_fy19" dataDxfId="227"/>
    <tableColumn id="25" name="D_tx_new_o15_fy19" dataDxfId="226"/>
    <tableColumn id="23" name="tx_new_u01_unk_pos" dataDxfId="225">
      <calculatedColumnFormula>tx_new_T[[D_tx_new_u15_fy19]:[D_tx_new_u15_fy19]]*tx_new_T[A_tx_new_u01_unk_pos]</calculatedColumnFormula>
    </tableColumn>
    <tableColumn id="8" name="tx_new_0109_unk_pos" dataDxfId="224">
      <calculatedColumnFormula>tx_new_T[[D_tx_new_u15_fy19]:[D_tx_new_u15_fy19]]*tx_new_T[A_tx_new_0109_unk_pos]</calculatedColumnFormula>
    </tableColumn>
    <tableColumn id="11" name="tx_new_1014_f_pos" dataDxfId="223">
      <calculatedColumnFormula>tx_new_T[[D_tx_new_u15_fy19]:[D_tx_new_u15_fy19]]*tx_new_T[A_tx_new_1014_f_pos]</calculatedColumnFormula>
    </tableColumn>
    <tableColumn id="6" name="tx_new_1014_m_pos" dataDxfId="222">
      <calculatedColumnFormula>tx_new_T[[D_tx_new_u15_fy19]:[D_tx_new_u15_fy19]]*tx_new_T[A_tx_new_1014_m_pos]</calculatedColumnFormula>
    </tableColumn>
    <tableColumn id="22" name="tx_new_1519_f_pos" dataDxfId="221">
      <calculatedColumnFormula>tx_new_T[[D_tx_new_o15_fy19]:[D_tx_new_o15_fy19]]*tx_new_T[A_tx_new_1519_f_pos]</calculatedColumnFormula>
    </tableColumn>
    <tableColumn id="7" name="tx_new_1519_m_pos" dataDxfId="220">
      <calculatedColumnFormula>tx_new_T[[D_tx_new_o15_fy19]:[D_tx_new_o15_fy19]]*tx_new_T[A_tx_new_1519_m_pos]</calculatedColumnFormula>
    </tableColumn>
    <tableColumn id="9" name="tx_new_2024_f_pos" dataDxfId="219">
      <calculatedColumnFormula>tx_new_T[[D_tx_new_o15_fy19]:[D_tx_new_o15_fy19]]*tx_new_T[A_tx_new_2024_f_pos]</calculatedColumnFormula>
    </tableColumn>
    <tableColumn id="10" name="tx_new_2024_m_pos" dataDxfId="218">
      <calculatedColumnFormula>tx_new_T[[D_tx_new_o15_fy19]:[D_tx_new_o15_fy19]]*tx_new_T[A_tx_new_2024_m_pos]</calculatedColumnFormula>
    </tableColumn>
    <tableColumn id="12" name="tx_new_2529_f_pos" dataDxfId="217">
      <calculatedColumnFormula>tx_new_T[[D_tx_new_o15_fy19]:[D_tx_new_o15_fy19]]*tx_new_T[A_tx_new_2529_f_pos]</calculatedColumnFormula>
    </tableColumn>
    <tableColumn id="13" name="tx_new_2529_m_pos" dataDxfId="216">
      <calculatedColumnFormula>tx_new_T[[D_tx_new_o15_fy19]:[D_tx_new_o15_fy19]]*tx_new_T[A_tx_new_2529_m_pos]</calculatedColumnFormula>
    </tableColumn>
    <tableColumn id="54" name="tx_new_3034_f_pos" dataDxfId="215">
      <calculatedColumnFormula>tx_new_T[[D_tx_new_o15_fy19]:[D_tx_new_o15_fy19]]*tx_new_T[A_tx_new_3034_f_pos]</calculatedColumnFormula>
    </tableColumn>
    <tableColumn id="14" name="tx_new_3034_m_pos" dataDxfId="214">
      <calculatedColumnFormula>tx_new_T[[D_tx_new_o15_fy19]:[D_tx_new_o15_fy19]]*tx_new_T[A_tx_new_3034_m_pos]</calculatedColumnFormula>
    </tableColumn>
    <tableColumn id="15" name="tx_new_3539_f_pos" dataDxfId="213">
      <calculatedColumnFormula>tx_new_T[[D_tx_new_o15_fy19]:[D_tx_new_o15_fy19]]*tx_new_T[A_tx_new_3539_f_pos]</calculatedColumnFormula>
    </tableColumn>
    <tableColumn id="16" name="tx_new_3539_m_pos" dataDxfId="212">
      <calculatedColumnFormula>tx_new_T[[D_tx_new_o15_fy19]:[D_tx_new_o15_fy19]]*tx_new_T[A_tx_new_3539_m_pos]</calculatedColumnFormula>
    </tableColumn>
    <tableColumn id="17" name="tx_new_4049_f_pos" dataDxfId="211">
      <calculatedColumnFormula>tx_new_T[[D_tx_new_o15_fy19]:[D_tx_new_o15_fy19]]*tx_new_T[A_tx_new_4049_f_pos]</calculatedColumnFormula>
    </tableColumn>
    <tableColumn id="18" name="tx_new_4049_m_pos" dataDxfId="210">
      <calculatedColumnFormula>tx_new_T[[D_tx_new_o15_fy19]:[D_tx_new_o15_fy19]]*tx_new_T[A_tx_new_4049_m_pos]</calculatedColumnFormula>
    </tableColumn>
    <tableColumn id="19" name="tx_new_o50_f_pos" dataDxfId="209">
      <calculatedColumnFormula>tx_new_T[[D_tx_new_o15_fy19]:[D_tx_new_o15_fy19]]*tx_new_T[A_tx_new_o50_f_pos]</calculatedColumnFormula>
    </tableColumn>
    <tableColumn id="20" name="tx_new_o50_m_pos" dataDxfId="208">
      <calculatedColumnFormula>tx_new_T[[D_tx_new_o15_fy19]:[D_tx_new_o15_fy19]]*tx_new_T[A_tx_new_o50_m_pos]</calculatedColumnFormula>
    </tableColumn>
    <tableColumn id="69" name="tx_new_fsw_pos" dataDxfId="207"/>
    <tableColumn id="70" name="tx_new_msm_pos" dataDxfId="206"/>
    <tableColumn id="71" name="tx_new_prison_pos" dataDxfId="205"/>
    <tableColumn id="72" name="tx_new_pwid_pos" dataDxfId="204"/>
    <tableColumn id="73" name="tx_new_tg_pos" dataDxfId="203"/>
    <tableColumn id="74" name="tx_new_bf_pos" dataDxfId="202"/>
    <tableColumn id="75" name="tx_new_preg_pos" dataDxfId="201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199" dataDxfId="198">
  <autoFilter ref="C6:AP7"/>
  <tableColumns count="40">
    <tableColumn id="1" name="psnu" dataDxfId="197"/>
    <tableColumn id="24" name="psnuuid" dataDxfId="196"/>
    <tableColumn id="2" name="priority" dataDxfId="195"/>
    <tableColumn id="3" name="mechid" dataDxfId="194"/>
    <tableColumn id="21" name="mechname" dataDxfId="193"/>
    <tableColumn id="4" name="type" dataDxfId="192"/>
    <tableColumn id="16" name="psnu_type" dataDxfId="191"/>
    <tableColumn id="17" name="A_tx_pvls_D_u15_f_rtn" dataDxfId="190"/>
    <tableColumn id="18" name="A_tx_pvls_D_u15_f_targeted" dataDxfId="189"/>
    <tableColumn id="19" name="A_tx_pvls_D_u15_f_undoctest" dataDxfId="188"/>
    <tableColumn id="20" name="A_tx_pvls_D_u15_m_rtn" dataDxfId="187"/>
    <tableColumn id="25" name="A_tx_pvls_D_u15_m_targeted" dataDxfId="186"/>
    <tableColumn id="26" name="A_tx_pvls_D_u15_m_undoctest" dataDxfId="185"/>
    <tableColumn id="27" name="A_tx_pvls_D_o15_f_rtn" dataDxfId="184"/>
    <tableColumn id="28" name="A_tx_pvls_D_o15_f_targeted" dataDxfId="183"/>
    <tableColumn id="29" name="A_tx_pvls_D_o15_f_undoctest" dataDxfId="182"/>
    <tableColumn id="30" name="A_tx_pvls_D_o15_m_rtn" dataDxfId="181"/>
    <tableColumn id="31" name="A_tx_pvls_D_o15_m_targeted" dataDxfId="180"/>
    <tableColumn id="32" name="A_tx_pvls_D_o15_m_undoctest" dataDxfId="179"/>
    <tableColumn id="33" name="A_tx_pvls_D_rtn_pos" dataDxfId="178"/>
    <tableColumn id="34" name="A_tx_pvls_D_targeted_pos" dataDxfId="177"/>
    <tableColumn id="35" name="A_tx_pvls_D_undoctest_pos" dataDxfId="176"/>
    <tableColumn id="15" name="A_check1" dataDxfId="175"/>
    <tableColumn id="36" name="A_check2" dataDxfId="174"/>
    <tableColumn id="5" name="D_tx_pvls_D_fy19" dataDxfId="173"/>
    <tableColumn id="23" name="tx_pvls_D_u15_f_rtn" dataDxfId="172">
      <calculatedColumnFormula>tx_pvls_T[[D_tx_pvls_D_fy19]:[D_tx_pvls_D_fy19]]*tx_pvls_T[A_tx_pvls_D_u15_f_rtn]</calculatedColumnFormula>
    </tableColumn>
    <tableColumn id="11" name="tx_pvls_D_u15_f_targeted" dataDxfId="171">
      <calculatedColumnFormula>tx_pvls_T[[D_tx_pvls_D_fy19]:[D_tx_pvls_D_fy19]]*tx_pvls_T[A_tx_pvls_D_u15_f_targeted]</calculatedColumnFormula>
    </tableColumn>
    <tableColumn id="6" name="tx_pvls_D_u15_f_undoctest" dataDxfId="170">
      <calculatedColumnFormula>tx_pvls_T[[D_tx_pvls_D_fy19]:[D_tx_pvls_D_fy19]]*tx_pvls_T[A_tx_pvls_D_u15_f_undoctest]</calculatedColumnFormula>
    </tableColumn>
    <tableColumn id="22" name="tx_pvls_D_u15_m_rtn" dataDxfId="169">
      <calculatedColumnFormula>tx_pvls_T[[D_tx_pvls_D_fy19]:[D_tx_pvls_D_fy19]]*tx_pvls_T[A_tx_pvls_D_u15_m_rtn]</calculatedColumnFormula>
    </tableColumn>
    <tableColumn id="7" name="tx_pvls_D_u15_m_targeted" dataDxfId="168">
      <calculatedColumnFormula>tx_pvls_T[[D_tx_pvls_D_fy19]:[D_tx_pvls_D_fy19]]*tx_pvls_T[A_tx_pvls_D_u15_m_targeted]</calculatedColumnFormula>
    </tableColumn>
    <tableColumn id="8" name="tx_pvls_D_u15_m_undoctest" dataDxfId="167">
      <calculatedColumnFormula>tx_pvls_T[[D_tx_pvls_D_fy19]:[D_tx_pvls_D_fy19]]*tx_pvls_T[A_tx_pvls_D_u15_m_undoctest]</calculatedColumnFormula>
    </tableColumn>
    <tableColumn id="9" name="tx_pvls_D_o15_f_rtn" dataDxfId="166">
      <calculatedColumnFormula>tx_pvls_T[[D_tx_pvls_D_fy19]:[D_tx_pvls_D_fy19]]*tx_pvls_T[A_tx_pvls_D_o15_f_rtn]</calculatedColumnFormula>
    </tableColumn>
    <tableColumn id="10" name="tx_pvls_D_o15_f_targeted" dataDxfId="165">
      <calculatedColumnFormula>tx_pvls_T[[D_tx_pvls_D_fy19]:[D_tx_pvls_D_fy19]]*tx_pvls_T[A_tx_pvls_D_o15_f_targeted]</calculatedColumnFormula>
    </tableColumn>
    <tableColumn id="12" name="tx_pvls_D_o15_f_undoctest" dataDxfId="164">
      <calculatedColumnFormula>tx_pvls_T[[D_tx_pvls_D_fy19]:[D_tx_pvls_D_fy19]]*tx_pvls_T[A_tx_pvls_D_o15_f_undoctest]</calculatedColumnFormula>
    </tableColumn>
    <tableColumn id="13" name="tx_pvls_D_o15_m_rtn" dataDxfId="163">
      <calculatedColumnFormula>tx_pvls_T[[D_tx_pvls_D_fy19]:[D_tx_pvls_D_fy19]]*tx_pvls_T[A_tx_pvls_D_o15_m_rtn]</calculatedColumnFormula>
    </tableColumn>
    <tableColumn id="54" name="tx_pvls_D_o15_m_targeted" dataDxfId="162">
      <calculatedColumnFormula>tx_pvls_T[[D_tx_pvls_D_fy19]:[D_tx_pvls_D_fy19]]*tx_pvls_T[A_tx_pvls_D_o15_m_targeted]</calculatedColumnFormula>
    </tableColumn>
    <tableColumn id="14" name="tx_pvls_D_o15_m_undoctest" dataDxfId="161">
      <calculatedColumnFormula>tx_pvls_T[[D_tx_pvls_D_fy19]:[D_tx_pvls_D_fy19]]*tx_pvls_T[A_tx_pvls_D_o15_m_undoctest]</calculatedColumnFormula>
    </tableColumn>
    <tableColumn id="69" name="tx_pvls_D_rtn_pos" dataDxfId="160">
      <calculatedColumnFormula>SUMIF($AB$4:$AM$4,"*Routine",tx_pvls_T[[tx_pvls_D_u15_f_rtn]:[tx_pvls_D_o15_m_undoctest]])</calculatedColumnFormula>
    </tableColumn>
    <tableColumn id="70" name="tx_pvls_D_targeted_pos" dataDxfId="159">
      <calculatedColumnFormula>SUMIF($AB$4:$AM$4,"*Targeted",tx_pvls_T[[tx_pvls_D_u15_f_rtn]:[tx_pvls_D_o15_m_undoctest]])</calculatedColumnFormula>
    </tableColumn>
    <tableColumn id="71" name="tx_pvls_D_undoctest_pos" dataDxfId="158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5" dataDxfId="154">
  <autoFilter ref="C6:AS7"/>
  <tableColumns count="43">
    <tableColumn id="1" name="psnu" dataDxfId="153"/>
    <tableColumn id="5" name="psnuuid" dataDxfId="152"/>
    <tableColumn id="2" name="priority" dataDxfId="151"/>
    <tableColumn id="20" name="mechid" dataDxfId="150"/>
    <tableColumn id="21" name="mechname" dataDxfId="149"/>
    <tableColumn id="4" name="type" dataDxfId="148"/>
    <tableColumn id="10" name="psnu_type" dataDxfId="147"/>
    <tableColumn id="27" name="A_tx_ret_D_u15_f_pos" dataDxfId="146"/>
    <tableColumn id="28" name="A_tx_ret_D_u15_m_pos" dataDxfId="145"/>
    <tableColumn id="29" name="A_tx_ret_D_o15_f_pos" dataDxfId="144"/>
    <tableColumn id="30" name="A_tx_ret_D_o15_m_pos" dataDxfId="143"/>
    <tableColumn id="31" name="A_tx_ret_D_bf_pos" dataDxfId="142"/>
    <tableColumn id="32" name="A_tx_ret_D_preg_pos" dataDxfId="141"/>
    <tableColumn id="33" name="A_tx_ret_u15_f_pos" dataDxfId="140"/>
    <tableColumn id="34" name="A_tx_ret_u15_m_pos" dataDxfId="139"/>
    <tableColumn id="35" name="A_tx_ret_o15_f_pos" dataDxfId="138"/>
    <tableColumn id="36" name="A_tx_ret_o15_m_pos" dataDxfId="137"/>
    <tableColumn id="37" name="A_tx_ret_bf_pos" dataDxfId="136"/>
    <tableColumn id="38" name="A_tx_ret_preg_pos" dataDxfId="135"/>
    <tableColumn id="3" name="A_check1" dataDxfId="134"/>
    <tableColumn id="17" name="A_check2" dataDxfId="133"/>
    <tableColumn id="39" name="A_check3" dataDxfId="132"/>
    <tableColumn id="40" name="A_check4" dataDxfId="131"/>
    <tableColumn id="41" name="A_check5" dataDxfId="130"/>
    <tableColumn id="42" name="A_check6" dataDxfId="129"/>
    <tableColumn id="11" name="D_tx_ret_D_fy19" dataDxfId="128"/>
    <tableColumn id="23" name="D_tx_ret_u15_D_fy19" dataDxfId="127"/>
    <tableColumn id="25" name="D_tx_ret_o15_D_fy19" dataDxfId="126"/>
    <tableColumn id="18" name="D_tx_ret_fy19" dataDxfId="125"/>
    <tableColumn id="24" name="D_tx_ret_u15_fy19" dataDxfId="124"/>
    <tableColumn id="26" name="D_tx_ret_o15_fy19" dataDxfId="123"/>
    <tableColumn id="19" name="tx_ret_D_u15_f_pos" dataDxfId="122">
      <calculatedColumnFormula>tx_ret_T[[D_tx_ret_u15_D_fy19]:[D_tx_ret_u15_D_fy19]]*tx_ret_T[A_tx_ret_D_u15_f_pos]</calculatedColumnFormula>
    </tableColumn>
    <tableColumn id="6" name="tx_ret_D_u15_m_pos" dataDxfId="121">
      <calculatedColumnFormula>tx_ret_T[[D_tx_ret_u15_D_fy19]:[D_tx_ret_u15_D_fy19]]*tx_ret_T[A_tx_ret_D_u15_m_pos]</calculatedColumnFormula>
    </tableColumn>
    <tableColumn id="22" name="tx_ret_D_o15_f_pos" dataDxfId="120">
      <calculatedColumnFormula>tx_ret_T[[D_tx_ret_o15_D_fy19]:[D_tx_ret_o15_D_fy19]]*tx_ret_T[A_tx_ret_D_o15_f_pos]</calculatedColumnFormula>
    </tableColumn>
    <tableColumn id="7" name="tx_ret_D_o15_m_pos" dataDxfId="119">
      <calculatedColumnFormula>tx_ret_T[[D_tx_ret_o15_D_fy19]:[D_tx_ret_o15_D_fy19]]*tx_ret_T[A_tx_ret_D_o15_m_pos]</calculatedColumnFormula>
    </tableColumn>
    <tableColumn id="8" name="tx_ret_D_bf_pos" dataDxfId="118"/>
    <tableColumn id="9" name="tx_ret_D_preg_pos" dataDxfId="117"/>
    <tableColumn id="12" name="tx_ret_u15_f_pos" dataDxfId="116">
      <calculatedColumnFormula>tx_ret_T[[D_tx_ret_u15_fy19]:[D_tx_ret_u15_fy19]]*tx_ret_T[A_tx_ret_u15_f_pos]</calculatedColumnFormula>
    </tableColumn>
    <tableColumn id="13" name="tx_ret_u15_m_pos" dataDxfId="115">
      <calculatedColumnFormula>tx_ret_T[[D_tx_ret_u15_fy19]:[D_tx_ret_u15_fy19]]*tx_ret_T[A_tx_ret_u15_m_pos]</calculatedColumnFormula>
    </tableColumn>
    <tableColumn id="54" name="tx_ret_o15_f_pos" dataDxfId="114">
      <calculatedColumnFormula>tx_ret_T[[D_tx_ret_o15_fy19]:[D_tx_ret_o15_fy19]]*tx_ret_T[A_tx_ret_u15_m_pos]</calculatedColumnFormula>
    </tableColumn>
    <tableColumn id="14" name="tx_ret_o15_m_pos" dataDxfId="113">
      <calculatedColumnFormula>tx_ret_T[[D_tx_ret_o15_fy19]:[D_tx_ret_o15_fy19]]*tx_ret_T[A_tx_ret_o15_f_pos]</calculatedColumnFormula>
    </tableColumn>
    <tableColumn id="15" name="tx_ret_bf_pos" dataDxfId="112"/>
    <tableColumn id="16" name="tx_ret_preg_pos" dataDxfId="111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I7" totalsRowShown="0" headerRowDxfId="109" dataDxfId="108">
  <autoFilter ref="C6:AI7"/>
  <tableColumns count="33">
    <tableColumn id="1" name="psnu" dataDxfId="107"/>
    <tableColumn id="18" name="psnuuid" dataDxfId="106"/>
    <tableColumn id="2" name="priority" dataDxfId="105"/>
    <tableColumn id="3" name="mechid" dataDxfId="104"/>
    <tableColumn id="16" name="mechname" dataDxfId="103"/>
    <tableColumn id="4" name="type" dataDxfId="102"/>
    <tableColumn id="19" name="psnu_type" dataDxfId="101"/>
    <tableColumn id="20" name="A_tx_tb_D_u15_f_pos" dataDxfId="100"/>
    <tableColumn id="21" name="A_tx_tb_D_u15_m_pos" dataDxfId="99"/>
    <tableColumn id="23" name="A_tx_tb_D_o15_f_pos" dataDxfId="98"/>
    <tableColumn id="24" name="A_tx_tb_D_o15_m_pos" dataDxfId="97"/>
    <tableColumn id="25" name="A_tx_tb_D_oth_pos" dataDxfId="96"/>
    <tableColumn id="26" name="A_tx_tb_D_smear_pos" dataDxfId="95"/>
    <tableColumn id="27" name="A_tx_tb_D_xpert_pos" dataDxfId="94"/>
    <tableColumn id="28" name="A_tx_tb_D_life_already_scrn_neg_pos" dataDxfId="93"/>
    <tableColumn id="29" name="A_tx_tb_D_life_already_scrn_pos_pos" dataDxfId="92"/>
    <tableColumn id="30" name="A_tx_tb_D_life_new_scrn_neg_pos" dataDxfId="91"/>
    <tableColumn id="31" name="A_tx_tb_D_life_new_scrn_pos_pos" dataDxfId="90"/>
    <tableColumn id="7" name="A_check1" dataDxfId="89"/>
    <tableColumn id="8" name="A_check2" dataDxfId="88"/>
    <tableColumn id="32" name="A_check3" dataDxfId="87"/>
    <tableColumn id="5" name="D_tx_tb_D_fy19" dataDxfId="86"/>
    <tableColumn id="17" name="tx_tb_D_u15_f_pos2" dataDxfId="85">
      <calculatedColumnFormula>tx_tb_T[[D_tx_tb_D_fy19]:[D_tx_tb_D_fy19]]*tx_tb_T[A_tx_tb_D_u15_f_pos]</calculatedColumnFormula>
    </tableColumn>
    <tableColumn id="11" name="tx_tb_D_u15_m_pos" dataDxfId="84">
      <calculatedColumnFormula>tx_tb_T[[D_tx_tb_D_fy19]:[D_tx_tb_D_fy19]]*tx_tb_T[A_tx_tb_D_u15_m_pos]</calculatedColumnFormula>
    </tableColumn>
    <tableColumn id="6" name="tx_tb_D_o15_f_pos" dataDxfId="83">
      <calculatedColumnFormula>tx_tb_T[[D_tx_tb_D_fy19]:[D_tx_tb_D_fy19]]*tx_tb_T[A_tx_tb_D_o15_f_pos]</calculatedColumnFormula>
    </tableColumn>
    <tableColumn id="22" name="tx_tb_D_o15_m_pos" dataDxfId="82">
      <calculatedColumnFormula>tx_tb_T[[D_tx_tb_D_fy19]:[D_tx_tb_D_fy19]]*tx_tb_T[A_tx_tb_D_o15_m_pos]</calculatedColumnFormula>
    </tableColumn>
    <tableColumn id="9" name="tx_tb_D_oth_pos" dataDxfId="81">
      <calculatedColumnFormula>tx_tb_T[[D_tx_tb_D_fy19]:[D_tx_tb_D_fy19]]*tx_tb_T[A_tx_tb_D_oth_pos]</calculatedColumnFormula>
    </tableColumn>
    <tableColumn id="10" name="tx_tb_D_smear_pos" dataDxfId="80">
      <calculatedColumnFormula>tx_tb_T[[D_tx_tb_D_fy19]:[D_tx_tb_D_fy19]]*tx_tb_T[A_tx_tb_D_smear_pos]</calculatedColumnFormula>
    </tableColumn>
    <tableColumn id="12" name="tx_tb_D_xpert_pos" dataDxfId="79">
      <calculatedColumnFormula>tx_tb_T[[D_tx_tb_D_fy19]:[D_tx_tb_D_fy19]]*tx_tb_T[A_tx_tb_D_xpert_pos]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U25" sqref="U25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2"/>
  <sheetViews>
    <sheetView zoomScaleNormal="100" workbookViewId="0">
      <pane ySplit="1" topLeftCell="A299" activePane="bottomLeft" state="frozen"/>
      <selection activeCell="F38" sqref="F38"/>
      <selection pane="bottomLeft" activeCell="F325" sqref="F325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845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841</v>
      </c>
      <c r="H1" s="21" t="s">
        <v>846</v>
      </c>
      <c r="I1" s="4" t="s">
        <v>844</v>
      </c>
      <c r="J1" s="4" t="s">
        <v>842</v>
      </c>
      <c r="K1" s="21" t="s">
        <v>843</v>
      </c>
    </row>
    <row r="2" spans="1:11" x14ac:dyDescent="0.25">
      <c r="A2" s="109" t="s">
        <v>103</v>
      </c>
      <c r="B2" s="20" t="s">
        <v>811</v>
      </c>
      <c r="C2" s="20" t="s">
        <v>15</v>
      </c>
      <c r="D2" s="103" t="s">
        <v>812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1186</v>
      </c>
    </row>
    <row r="3" spans="1:11" x14ac:dyDescent="0.25">
      <c r="A3" s="109" t="s">
        <v>103</v>
      </c>
      <c r="B3" s="20" t="s">
        <v>811</v>
      </c>
      <c r="C3" s="20" t="s">
        <v>15</v>
      </c>
      <c r="D3" s="103" t="s">
        <v>812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1187</v>
      </c>
    </row>
    <row r="4" spans="1:11" x14ac:dyDescent="0.25">
      <c r="A4" s="109" t="s">
        <v>103</v>
      </c>
      <c r="B4" s="20" t="s">
        <v>811</v>
      </c>
      <c r="C4" s="20" t="s">
        <v>16</v>
      </c>
      <c r="D4" s="103" t="s">
        <v>812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1188</v>
      </c>
    </row>
    <row r="5" spans="1:11" x14ac:dyDescent="0.25">
      <c r="A5" s="109" t="s">
        <v>103</v>
      </c>
      <c r="B5" s="20" t="s">
        <v>811</v>
      </c>
      <c r="C5" s="20" t="s">
        <v>16</v>
      </c>
      <c r="D5" s="103" t="s">
        <v>812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1189</v>
      </c>
    </row>
    <row r="6" spans="1:11" x14ac:dyDescent="0.25">
      <c r="A6" s="109" t="s">
        <v>103</v>
      </c>
      <c r="B6" s="20" t="s">
        <v>811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1190</v>
      </c>
    </row>
    <row r="7" spans="1:11" x14ac:dyDescent="0.25">
      <c r="A7" s="109" t="s">
        <v>103</v>
      </c>
      <c r="B7" s="20" t="s">
        <v>811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1191</v>
      </c>
    </row>
    <row r="8" spans="1:11" x14ac:dyDescent="0.25">
      <c r="A8" s="109" t="s">
        <v>103</v>
      </c>
      <c r="B8" s="20" t="s">
        <v>811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1192</v>
      </c>
    </row>
    <row r="9" spans="1:11" x14ac:dyDescent="0.25">
      <c r="A9" s="109" t="s">
        <v>103</v>
      </c>
      <c r="B9" s="20" t="s">
        <v>811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1193</v>
      </c>
    </row>
    <row r="10" spans="1:11" x14ac:dyDescent="0.25">
      <c r="A10" s="109" t="s">
        <v>103</v>
      </c>
      <c r="B10" s="20" t="s">
        <v>811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1194</v>
      </c>
    </row>
    <row r="11" spans="1:11" x14ac:dyDescent="0.25">
      <c r="A11" s="109" t="s">
        <v>103</v>
      </c>
      <c r="B11" s="20" t="s">
        <v>811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1195</v>
      </c>
    </row>
    <row r="12" spans="1:11" x14ac:dyDescent="0.25">
      <c r="A12" s="109" t="s">
        <v>103</v>
      </c>
      <c r="B12" s="20" t="s">
        <v>811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1196</v>
      </c>
    </row>
    <row r="13" spans="1:11" x14ac:dyDescent="0.25">
      <c r="A13" s="109" t="s">
        <v>103</v>
      </c>
      <c r="B13" s="20" t="s">
        <v>811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1197</v>
      </c>
    </row>
    <row r="14" spans="1:11" x14ac:dyDescent="0.25">
      <c r="A14" s="109" t="s">
        <v>103</v>
      </c>
      <c r="B14" s="20" t="s">
        <v>811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1198</v>
      </c>
    </row>
    <row r="15" spans="1:11" x14ac:dyDescent="0.25">
      <c r="A15" s="109" t="s">
        <v>103</v>
      </c>
      <c r="B15" s="20" t="s">
        <v>811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1199</v>
      </c>
    </row>
    <row r="16" spans="1:11" x14ac:dyDescent="0.25">
      <c r="A16" s="109" t="s">
        <v>103</v>
      </c>
      <c r="B16" s="20" t="s">
        <v>811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1200</v>
      </c>
    </row>
    <row r="17" spans="1:11" x14ac:dyDescent="0.25">
      <c r="A17" s="109" t="s">
        <v>103</v>
      </c>
      <c r="B17" s="20" t="s">
        <v>811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1201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1202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1203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1204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1205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1206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1207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1208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1209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1210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1211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1212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1213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1214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1215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1216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1217</v>
      </c>
    </row>
    <row r="34" spans="1:11" x14ac:dyDescent="0.25">
      <c r="A34" s="109" t="s">
        <v>103</v>
      </c>
      <c r="B34" s="20" t="s">
        <v>811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1218</v>
      </c>
    </row>
    <row r="35" spans="1:11" x14ac:dyDescent="0.25">
      <c r="A35" s="109" t="s">
        <v>103</v>
      </c>
      <c r="B35" s="20" t="s">
        <v>811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1219</v>
      </c>
    </row>
    <row r="36" spans="1:11" x14ac:dyDescent="0.25">
      <c r="A36" s="109" t="s">
        <v>103</v>
      </c>
      <c r="B36" s="20" t="s">
        <v>811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1220</v>
      </c>
    </row>
    <row r="37" spans="1:11" x14ac:dyDescent="0.25">
      <c r="A37" s="109" t="s">
        <v>103</v>
      </c>
      <c r="B37" s="20" t="s">
        <v>811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1221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434</v>
      </c>
      <c r="J38" s="73" t="s">
        <v>434</v>
      </c>
      <c r="K38" s="73" t="s">
        <v>1222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1223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1224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1225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1226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1227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1228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1229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1230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1231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1232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1233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1234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1235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1236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1237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1238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1239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1240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1241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1242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1243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1244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1245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1246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1247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1248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1249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1250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1251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1252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1253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1254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1255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1256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1257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1258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1259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1260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1261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1262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1263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1264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1265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1266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1267</v>
      </c>
    </row>
    <row r="84" spans="1:11" x14ac:dyDescent="0.25">
      <c r="A84" s="109" t="s">
        <v>27</v>
      </c>
      <c r="B84" s="74" t="s">
        <v>813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761</v>
      </c>
      <c r="J84" s="109" t="s">
        <v>209</v>
      </c>
      <c r="K84" s="109" t="s">
        <v>1268</v>
      </c>
    </row>
    <row r="85" spans="1:11" x14ac:dyDescent="0.25">
      <c r="A85" s="109" t="s">
        <v>27</v>
      </c>
      <c r="B85" s="74" t="s">
        <v>813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761</v>
      </c>
      <c r="J85" s="109" t="s">
        <v>216</v>
      </c>
      <c r="K85" s="109" t="s">
        <v>1269</v>
      </c>
    </row>
    <row r="86" spans="1:11" x14ac:dyDescent="0.25">
      <c r="A86" s="109" t="s">
        <v>27</v>
      </c>
      <c r="B86" s="20" t="s">
        <v>814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761</v>
      </c>
      <c r="J86" s="109" t="s">
        <v>210</v>
      </c>
      <c r="K86" s="109" t="s">
        <v>1270</v>
      </c>
    </row>
    <row r="87" spans="1:11" x14ac:dyDescent="0.25">
      <c r="A87" s="109" t="s">
        <v>27</v>
      </c>
      <c r="B87" s="20" t="s">
        <v>814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761</v>
      </c>
      <c r="J87" s="109" t="s">
        <v>211</v>
      </c>
      <c r="K87" s="109" t="s">
        <v>1271</v>
      </c>
    </row>
    <row r="88" spans="1:11" x14ac:dyDescent="0.25">
      <c r="A88" s="109" t="s">
        <v>27</v>
      </c>
      <c r="B88" s="20" t="s">
        <v>814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761</v>
      </c>
      <c r="J88" s="109" t="s">
        <v>212</v>
      </c>
      <c r="K88" s="109" t="s">
        <v>1272</v>
      </c>
    </row>
    <row r="89" spans="1:11" x14ac:dyDescent="0.25">
      <c r="A89" s="109" t="s">
        <v>27</v>
      </c>
      <c r="B89" s="20" t="s">
        <v>814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761</v>
      </c>
      <c r="J89" s="109" t="s">
        <v>213</v>
      </c>
      <c r="K89" s="109" t="s">
        <v>1273</v>
      </c>
    </row>
    <row r="90" spans="1:11" x14ac:dyDescent="0.25">
      <c r="A90" s="109" t="s">
        <v>27</v>
      </c>
      <c r="B90" s="20" t="s">
        <v>814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762</v>
      </c>
      <c r="J90" s="109" t="s">
        <v>214</v>
      </c>
      <c r="K90" s="109" t="s">
        <v>1274</v>
      </c>
    </row>
    <row r="91" spans="1:11" x14ac:dyDescent="0.25">
      <c r="A91" s="109" t="s">
        <v>27</v>
      </c>
      <c r="B91" s="20" t="s">
        <v>814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762</v>
      </c>
      <c r="J91" s="109" t="s">
        <v>215</v>
      </c>
      <c r="K91" s="109" t="s">
        <v>1275</v>
      </c>
    </row>
    <row r="92" spans="1:11" x14ac:dyDescent="0.25">
      <c r="A92" s="109" t="s">
        <v>27</v>
      </c>
      <c r="B92" s="20" t="s">
        <v>814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762</v>
      </c>
      <c r="J92" s="109" t="s">
        <v>217</v>
      </c>
      <c r="K92" s="109" t="s">
        <v>1276</v>
      </c>
    </row>
    <row r="93" spans="1:11" x14ac:dyDescent="0.25">
      <c r="A93" s="109" t="s">
        <v>27</v>
      </c>
      <c r="B93" s="20" t="s">
        <v>814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762</v>
      </c>
      <c r="J93" s="109" t="s">
        <v>218</v>
      </c>
      <c r="K93" s="109" t="s">
        <v>1277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763</v>
      </c>
      <c r="J94" s="109" t="s">
        <v>219</v>
      </c>
      <c r="K94" s="109" t="s">
        <v>1278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763</v>
      </c>
      <c r="J95" s="109" t="s">
        <v>220</v>
      </c>
      <c r="K95" s="109" t="s">
        <v>1279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763</v>
      </c>
      <c r="J96" s="109" t="s">
        <v>221</v>
      </c>
      <c r="K96" s="109" t="s">
        <v>1280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763</v>
      </c>
      <c r="J97" s="109" t="s">
        <v>222</v>
      </c>
      <c r="K97" s="109" t="s">
        <v>1281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763</v>
      </c>
      <c r="J98" s="109" t="s">
        <v>223</v>
      </c>
      <c r="K98" s="109" t="s">
        <v>1282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763</v>
      </c>
      <c r="J99" s="109" t="s">
        <v>224</v>
      </c>
      <c r="K99" s="109" t="s">
        <v>1283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763</v>
      </c>
      <c r="J100" s="109" t="s">
        <v>225</v>
      </c>
      <c r="K100" s="109" t="s">
        <v>1284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763</v>
      </c>
      <c r="J101" s="109" t="s">
        <v>226</v>
      </c>
      <c r="K101" s="109" t="s">
        <v>1285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763</v>
      </c>
      <c r="J102" s="109" t="s">
        <v>227</v>
      </c>
      <c r="K102" s="109" t="s">
        <v>1286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763</v>
      </c>
      <c r="J103" s="109" t="s">
        <v>228</v>
      </c>
      <c r="K103" s="109" t="s">
        <v>1287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764</v>
      </c>
      <c r="J104" s="109" t="s">
        <v>229</v>
      </c>
      <c r="K104" s="109" t="s">
        <v>1288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764</v>
      </c>
      <c r="J105" s="109" t="s">
        <v>230</v>
      </c>
      <c r="K105" s="109" t="s">
        <v>1289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764</v>
      </c>
      <c r="J106" s="109" t="s">
        <v>231</v>
      </c>
      <c r="K106" s="109" t="s">
        <v>1290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764</v>
      </c>
      <c r="J107" s="109" t="s">
        <v>232</v>
      </c>
      <c r="K107" s="109" t="s">
        <v>1291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764</v>
      </c>
      <c r="J108" s="109" t="s">
        <v>233</v>
      </c>
      <c r="K108" s="109" t="s">
        <v>1292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764</v>
      </c>
      <c r="J109" s="109" t="s">
        <v>234</v>
      </c>
      <c r="K109" s="109" t="s">
        <v>1293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764</v>
      </c>
      <c r="J110" s="109" t="s">
        <v>235</v>
      </c>
      <c r="K110" s="109" t="s">
        <v>1294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764</v>
      </c>
      <c r="J111" s="109" t="s">
        <v>236</v>
      </c>
      <c r="K111" s="109" t="s">
        <v>1295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764</v>
      </c>
      <c r="J112" s="109" t="s">
        <v>237</v>
      </c>
      <c r="K112" s="109" t="s">
        <v>1296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764</v>
      </c>
      <c r="J113" s="109" t="s">
        <v>238</v>
      </c>
      <c r="K113" s="109" t="s">
        <v>1297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765</v>
      </c>
      <c r="J114" s="109" t="s">
        <v>239</v>
      </c>
      <c r="K114" s="109" t="s">
        <v>1298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765</v>
      </c>
      <c r="J115" s="109" t="s">
        <v>240</v>
      </c>
      <c r="K115" s="109" t="s">
        <v>1299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765</v>
      </c>
      <c r="J116" s="109" t="s">
        <v>241</v>
      </c>
      <c r="K116" s="109" t="s">
        <v>1300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765</v>
      </c>
      <c r="J117" s="109" t="s">
        <v>242</v>
      </c>
      <c r="K117" s="109" t="s">
        <v>1301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765</v>
      </c>
      <c r="J118" s="109" t="s">
        <v>243</v>
      </c>
      <c r="K118" s="109" t="s">
        <v>1302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765</v>
      </c>
      <c r="J119" s="109" t="s">
        <v>244</v>
      </c>
      <c r="K119" s="109" t="s">
        <v>1303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765</v>
      </c>
      <c r="J120" s="109" t="s">
        <v>245</v>
      </c>
      <c r="K120" s="109" t="s">
        <v>1304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765</v>
      </c>
      <c r="J121" s="109" t="s">
        <v>246</v>
      </c>
      <c r="K121" s="109" t="s">
        <v>1305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765</v>
      </c>
      <c r="J122" s="109" t="s">
        <v>247</v>
      </c>
      <c r="K122" s="109" t="s">
        <v>1306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765</v>
      </c>
      <c r="J123" s="109" t="s">
        <v>248</v>
      </c>
      <c r="K123" s="109" t="s">
        <v>1307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766</v>
      </c>
      <c r="J124" s="109" t="s">
        <v>249</v>
      </c>
      <c r="K124" s="109" t="s">
        <v>1308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766</v>
      </c>
      <c r="J125" s="109" t="s">
        <v>250</v>
      </c>
      <c r="K125" s="109" t="s">
        <v>1309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766</v>
      </c>
      <c r="J126" s="109" t="s">
        <v>251</v>
      </c>
      <c r="K126" s="109" t="s">
        <v>1310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766</v>
      </c>
      <c r="J127" s="109" t="s">
        <v>252</v>
      </c>
      <c r="K127" s="109" t="s">
        <v>1311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766</v>
      </c>
      <c r="J128" s="109" t="s">
        <v>253</v>
      </c>
      <c r="K128" s="109" t="s">
        <v>1312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766</v>
      </c>
      <c r="J129" s="109" t="s">
        <v>254</v>
      </c>
      <c r="K129" s="109" t="s">
        <v>1313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766</v>
      </c>
      <c r="J130" s="109" t="s">
        <v>255</v>
      </c>
      <c r="K130" s="109" t="s">
        <v>1314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766</v>
      </c>
      <c r="J131" s="109" t="s">
        <v>256</v>
      </c>
      <c r="K131" s="109" t="s">
        <v>1315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766</v>
      </c>
      <c r="J132" s="109" t="s">
        <v>257</v>
      </c>
      <c r="K132" s="109" t="s">
        <v>1316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766</v>
      </c>
      <c r="J133" s="109" t="s">
        <v>258</v>
      </c>
      <c r="K133" s="109" t="s">
        <v>1317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767</v>
      </c>
      <c r="J134" s="109" t="s">
        <v>259</v>
      </c>
      <c r="K134" s="109" t="s">
        <v>1318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767</v>
      </c>
      <c r="J135" s="109" t="s">
        <v>260</v>
      </c>
      <c r="K135" s="109" t="s">
        <v>1319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767</v>
      </c>
      <c r="J136" s="109" t="s">
        <v>261</v>
      </c>
      <c r="K136" s="109" t="s">
        <v>1320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767</v>
      </c>
      <c r="J137" s="109" t="s">
        <v>262</v>
      </c>
      <c r="K137" s="109" t="s">
        <v>1321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767</v>
      </c>
      <c r="J138" s="109" t="s">
        <v>263</v>
      </c>
      <c r="K138" s="109" t="s">
        <v>1322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767</v>
      </c>
      <c r="J139" s="109" t="s">
        <v>264</v>
      </c>
      <c r="K139" s="109" t="s">
        <v>1323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767</v>
      </c>
      <c r="J140" s="109" t="s">
        <v>265</v>
      </c>
      <c r="K140" s="109" t="s">
        <v>1324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767</v>
      </c>
      <c r="J141" s="109" t="s">
        <v>266</v>
      </c>
      <c r="K141" s="109" t="s">
        <v>1325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767</v>
      </c>
      <c r="J142" s="109" t="s">
        <v>267</v>
      </c>
      <c r="K142" s="109" t="s">
        <v>1326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767</v>
      </c>
      <c r="J143" s="109" t="s">
        <v>268</v>
      </c>
      <c r="K143" s="109" t="s">
        <v>1327</v>
      </c>
    </row>
    <row r="144" spans="1:11" x14ac:dyDescent="0.25">
      <c r="A144" s="109" t="s">
        <v>39</v>
      </c>
      <c r="B144" s="20" t="s">
        <v>815</v>
      </c>
      <c r="C144" s="20"/>
      <c r="D144" s="110" t="s">
        <v>1146</v>
      </c>
      <c r="E144" s="20" t="s">
        <v>817</v>
      </c>
      <c r="G144" s="110"/>
      <c r="H144" s="85" t="s">
        <v>40</v>
      </c>
      <c r="I144" s="109" t="s">
        <v>17</v>
      </c>
      <c r="J144" s="109" t="s">
        <v>806</v>
      </c>
      <c r="K144" s="109" t="s">
        <v>1612</v>
      </c>
    </row>
    <row r="145" spans="1:11" x14ac:dyDescent="0.25">
      <c r="A145" s="109" t="s">
        <v>39</v>
      </c>
      <c r="B145" s="20" t="s">
        <v>815</v>
      </c>
      <c r="C145" s="20"/>
      <c r="D145" s="110" t="s">
        <v>1146</v>
      </c>
      <c r="E145" s="20" t="s">
        <v>327</v>
      </c>
      <c r="G145" s="110"/>
      <c r="H145" s="85" t="s">
        <v>40</v>
      </c>
      <c r="I145" s="109" t="s">
        <v>17</v>
      </c>
      <c r="J145" s="109" t="s">
        <v>806</v>
      </c>
      <c r="K145" s="109" t="s">
        <v>1612</v>
      </c>
    </row>
    <row r="146" spans="1:11" s="109" customFormat="1" x14ac:dyDescent="0.25">
      <c r="A146" s="109" t="s">
        <v>39</v>
      </c>
      <c r="B146" s="110" t="s">
        <v>815</v>
      </c>
      <c r="C146" s="110"/>
      <c r="D146" s="110" t="s">
        <v>1146</v>
      </c>
      <c r="E146" s="110" t="s">
        <v>847</v>
      </c>
      <c r="G146" s="110"/>
      <c r="H146" s="110" t="s">
        <v>40</v>
      </c>
      <c r="I146" s="109" t="s">
        <v>17</v>
      </c>
      <c r="J146" s="109" t="s">
        <v>806</v>
      </c>
      <c r="K146" s="109" t="s">
        <v>1612</v>
      </c>
    </row>
    <row r="147" spans="1:11" s="109" customFormat="1" x14ac:dyDescent="0.25">
      <c r="A147" s="109" t="s">
        <v>39</v>
      </c>
      <c r="B147" s="110" t="s">
        <v>815</v>
      </c>
      <c r="C147" s="110"/>
      <c r="D147" s="103" t="s">
        <v>13</v>
      </c>
      <c r="E147" s="110" t="s">
        <v>817</v>
      </c>
      <c r="G147" s="110"/>
      <c r="H147" s="110" t="s">
        <v>40</v>
      </c>
      <c r="I147" s="109" t="s">
        <v>17</v>
      </c>
      <c r="J147" s="109" t="s">
        <v>274</v>
      </c>
      <c r="K147" s="109" t="s">
        <v>1613</v>
      </c>
    </row>
    <row r="148" spans="1:11" s="109" customFormat="1" x14ac:dyDescent="0.25">
      <c r="A148" s="109" t="s">
        <v>39</v>
      </c>
      <c r="B148" s="110" t="s">
        <v>815</v>
      </c>
      <c r="C148" s="110"/>
      <c r="D148" s="110" t="s">
        <v>13</v>
      </c>
      <c r="E148" s="110" t="s">
        <v>327</v>
      </c>
      <c r="G148" s="110"/>
      <c r="H148" s="110" t="s">
        <v>40</v>
      </c>
      <c r="I148" s="109" t="s">
        <v>17</v>
      </c>
      <c r="J148" s="109" t="s">
        <v>274</v>
      </c>
      <c r="K148" s="109" t="s">
        <v>1613</v>
      </c>
    </row>
    <row r="149" spans="1:11" s="109" customFormat="1" x14ac:dyDescent="0.25">
      <c r="A149" s="109" t="s">
        <v>39</v>
      </c>
      <c r="B149" s="110" t="s">
        <v>815</v>
      </c>
      <c r="C149" s="110"/>
      <c r="D149" s="110" t="s">
        <v>13</v>
      </c>
      <c r="E149" s="110" t="s">
        <v>847</v>
      </c>
      <c r="G149" s="110"/>
      <c r="H149" s="110" t="s">
        <v>40</v>
      </c>
      <c r="I149" s="109" t="s">
        <v>17</v>
      </c>
      <c r="J149" s="109" t="s">
        <v>274</v>
      </c>
      <c r="K149" s="109" t="s">
        <v>1613</v>
      </c>
    </row>
    <row r="150" spans="1:11" x14ac:dyDescent="0.25">
      <c r="A150" s="109" t="s">
        <v>32</v>
      </c>
      <c r="B150" s="20" t="s">
        <v>17</v>
      </c>
      <c r="C150" s="20"/>
      <c r="D150" s="103" t="s">
        <v>812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1328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1329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1330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1331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1332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1333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1334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1335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1336</v>
      </c>
    </row>
    <row r="159" spans="1:11" x14ac:dyDescent="0.25">
      <c r="A159" s="109" t="s">
        <v>32</v>
      </c>
      <c r="B159" s="20" t="s">
        <v>816</v>
      </c>
      <c r="C159" s="20"/>
      <c r="D159" s="103" t="s">
        <v>812</v>
      </c>
      <c r="E159" s="20" t="s">
        <v>327</v>
      </c>
      <c r="F159" s="20" t="s">
        <v>34</v>
      </c>
      <c r="G159" s="110"/>
      <c r="H159" s="20" t="s">
        <v>40</v>
      </c>
      <c r="I159" s="109" t="s">
        <v>807</v>
      </c>
      <c r="J159" s="109" t="s">
        <v>283</v>
      </c>
      <c r="K159" s="109" t="s">
        <v>1337</v>
      </c>
    </row>
    <row r="160" spans="1:11" x14ac:dyDescent="0.25">
      <c r="A160" s="109" t="s">
        <v>32</v>
      </c>
      <c r="B160" s="20" t="s">
        <v>816</v>
      </c>
      <c r="C160" s="20"/>
      <c r="D160" s="103" t="s">
        <v>10</v>
      </c>
      <c r="E160" s="20" t="s">
        <v>327</v>
      </c>
      <c r="F160" s="110" t="s">
        <v>34</v>
      </c>
      <c r="G160" s="110"/>
      <c r="H160" s="87" t="s">
        <v>40</v>
      </c>
      <c r="I160" s="109" t="s">
        <v>807</v>
      </c>
      <c r="J160" s="109" t="s">
        <v>284</v>
      </c>
      <c r="K160" s="109" t="s">
        <v>1338</v>
      </c>
    </row>
    <row r="161" spans="1:11" x14ac:dyDescent="0.25">
      <c r="A161" s="109" t="s">
        <v>32</v>
      </c>
      <c r="B161" s="20" t="s">
        <v>816</v>
      </c>
      <c r="C161" s="20"/>
      <c r="D161" s="103" t="s">
        <v>11</v>
      </c>
      <c r="E161" s="20" t="s">
        <v>327</v>
      </c>
      <c r="F161" s="110" t="s">
        <v>34</v>
      </c>
      <c r="G161" s="110"/>
      <c r="H161" s="87" t="s">
        <v>40</v>
      </c>
      <c r="I161" s="109" t="s">
        <v>807</v>
      </c>
      <c r="J161" s="109" t="s">
        <v>285</v>
      </c>
      <c r="K161" s="109" t="s">
        <v>1339</v>
      </c>
    </row>
    <row r="162" spans="1:11" x14ac:dyDescent="0.25">
      <c r="A162" s="109" t="s">
        <v>32</v>
      </c>
      <c r="B162" s="20" t="s">
        <v>816</v>
      </c>
      <c r="C162" s="20"/>
      <c r="D162" s="103" t="s">
        <v>21</v>
      </c>
      <c r="E162" s="20" t="s">
        <v>327</v>
      </c>
      <c r="F162" s="110" t="s">
        <v>34</v>
      </c>
      <c r="G162" s="110"/>
      <c r="H162" s="87" t="s">
        <v>40</v>
      </c>
      <c r="I162" s="109" t="s">
        <v>807</v>
      </c>
      <c r="J162" s="109" t="s">
        <v>286</v>
      </c>
      <c r="K162" s="109" t="s">
        <v>1340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807</v>
      </c>
      <c r="J163" s="109" t="s">
        <v>287</v>
      </c>
      <c r="K163" s="109" t="s">
        <v>1341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807</v>
      </c>
      <c r="J164" s="109" t="s">
        <v>288</v>
      </c>
      <c r="K164" s="109" t="s">
        <v>1342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807</v>
      </c>
      <c r="J165" s="109" t="s">
        <v>289</v>
      </c>
      <c r="K165" s="109" t="s">
        <v>1343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807</v>
      </c>
      <c r="J166" s="109" t="s">
        <v>290</v>
      </c>
      <c r="K166" s="109" t="s">
        <v>1344</v>
      </c>
    </row>
    <row r="167" spans="1:11" x14ac:dyDescent="0.25">
      <c r="A167" s="109" t="s">
        <v>32</v>
      </c>
      <c r="B167" s="86" t="s">
        <v>816</v>
      </c>
      <c r="C167" s="86"/>
      <c r="D167" s="103" t="s">
        <v>23</v>
      </c>
      <c r="E167" s="86" t="s">
        <v>327</v>
      </c>
      <c r="F167" s="110" t="s">
        <v>34</v>
      </c>
      <c r="G167" s="110"/>
      <c r="H167" s="87" t="s">
        <v>40</v>
      </c>
      <c r="I167" s="109" t="s">
        <v>807</v>
      </c>
      <c r="J167" s="109" t="s">
        <v>291</v>
      </c>
      <c r="K167" s="109" t="s">
        <v>1345</v>
      </c>
    </row>
    <row r="168" spans="1:11" x14ac:dyDescent="0.25">
      <c r="A168" s="109" t="s">
        <v>32</v>
      </c>
      <c r="B168" s="20" t="s">
        <v>816</v>
      </c>
      <c r="C168" s="20"/>
      <c r="D168" s="103" t="s">
        <v>812</v>
      </c>
      <c r="E168" s="20" t="s">
        <v>817</v>
      </c>
      <c r="F168" s="20" t="s">
        <v>35</v>
      </c>
      <c r="G168" s="110"/>
      <c r="H168" s="87" t="s">
        <v>40</v>
      </c>
      <c r="I168" s="109" t="s">
        <v>808</v>
      </c>
      <c r="J168" s="109" t="s">
        <v>292</v>
      </c>
      <c r="K168" s="109" t="s">
        <v>1346</v>
      </c>
    </row>
    <row r="169" spans="1:11" x14ac:dyDescent="0.25">
      <c r="A169" s="109" t="s">
        <v>32</v>
      </c>
      <c r="B169" s="20" t="s">
        <v>816</v>
      </c>
      <c r="C169" s="20"/>
      <c r="D169" s="103" t="s">
        <v>10</v>
      </c>
      <c r="E169" s="20" t="s">
        <v>817</v>
      </c>
      <c r="F169" s="20" t="s">
        <v>35</v>
      </c>
      <c r="G169" s="110"/>
      <c r="H169" s="87" t="s">
        <v>40</v>
      </c>
      <c r="I169" s="109" t="s">
        <v>808</v>
      </c>
      <c r="J169" s="109" t="s">
        <v>293</v>
      </c>
      <c r="K169" s="109" t="s">
        <v>1347</v>
      </c>
    </row>
    <row r="170" spans="1:11" x14ac:dyDescent="0.25">
      <c r="A170" s="109" t="s">
        <v>32</v>
      </c>
      <c r="B170" s="20" t="s">
        <v>816</v>
      </c>
      <c r="C170" s="20"/>
      <c r="D170" s="103" t="s">
        <v>11</v>
      </c>
      <c r="E170" s="20" t="s">
        <v>817</v>
      </c>
      <c r="F170" s="20" t="s">
        <v>35</v>
      </c>
      <c r="G170" s="110"/>
      <c r="H170" s="87" t="s">
        <v>40</v>
      </c>
      <c r="I170" s="109" t="s">
        <v>808</v>
      </c>
      <c r="J170" s="109" t="s">
        <v>294</v>
      </c>
      <c r="K170" s="109" t="s">
        <v>1348</v>
      </c>
    </row>
    <row r="171" spans="1:11" x14ac:dyDescent="0.25">
      <c r="A171" s="109" t="s">
        <v>32</v>
      </c>
      <c r="B171" s="20" t="s">
        <v>816</v>
      </c>
      <c r="C171" s="20"/>
      <c r="D171" s="103" t="s">
        <v>21</v>
      </c>
      <c r="E171" s="20" t="s">
        <v>817</v>
      </c>
      <c r="F171" s="20" t="s">
        <v>35</v>
      </c>
      <c r="G171" s="110"/>
      <c r="H171" s="87" t="s">
        <v>40</v>
      </c>
      <c r="I171" s="109" t="s">
        <v>808</v>
      </c>
      <c r="J171" s="109" t="s">
        <v>295</v>
      </c>
      <c r="K171" s="109" t="s">
        <v>1349</v>
      </c>
    </row>
    <row r="172" spans="1:11" x14ac:dyDescent="0.25">
      <c r="A172" s="109" t="s">
        <v>32</v>
      </c>
      <c r="B172" s="20" t="s">
        <v>816</v>
      </c>
      <c r="C172" s="20"/>
      <c r="D172" s="103" t="s">
        <v>31</v>
      </c>
      <c r="E172" s="20" t="s">
        <v>817</v>
      </c>
      <c r="F172" s="20" t="s">
        <v>35</v>
      </c>
      <c r="G172" s="110"/>
      <c r="H172" s="87" t="s">
        <v>40</v>
      </c>
      <c r="I172" s="109" t="s">
        <v>808</v>
      </c>
      <c r="J172" s="109" t="s">
        <v>296</v>
      </c>
      <c r="K172" s="109" t="s">
        <v>1350</v>
      </c>
    </row>
    <row r="173" spans="1:11" x14ac:dyDescent="0.25">
      <c r="A173" s="109" t="s">
        <v>32</v>
      </c>
      <c r="I173" s="109" t="s">
        <v>808</v>
      </c>
      <c r="J173" s="109" t="s">
        <v>297</v>
      </c>
      <c r="K173" s="109" t="s">
        <v>1351</v>
      </c>
    </row>
    <row r="174" spans="1:11" x14ac:dyDescent="0.25">
      <c r="A174" s="109" t="s">
        <v>32</v>
      </c>
      <c r="I174" s="109" t="s">
        <v>808</v>
      </c>
      <c r="J174" s="109" t="s">
        <v>298</v>
      </c>
      <c r="K174" s="109" t="s">
        <v>1352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808</v>
      </c>
      <c r="J175" s="109" t="s">
        <v>299</v>
      </c>
      <c r="K175" s="109" t="s">
        <v>1353</v>
      </c>
    </row>
    <row r="176" spans="1:11" x14ac:dyDescent="0.25">
      <c r="A176" s="109" t="s">
        <v>32</v>
      </c>
      <c r="B176" s="20" t="s">
        <v>816</v>
      </c>
      <c r="C176" s="20"/>
      <c r="D176" s="103" t="s">
        <v>23</v>
      </c>
      <c r="E176" s="20" t="s">
        <v>817</v>
      </c>
      <c r="F176" s="20" t="s">
        <v>35</v>
      </c>
      <c r="G176" s="110"/>
      <c r="H176" s="87" t="s">
        <v>40</v>
      </c>
      <c r="I176" s="109" t="s">
        <v>808</v>
      </c>
      <c r="J176" s="109" t="s">
        <v>300</v>
      </c>
      <c r="K176" s="109" t="s">
        <v>1354</v>
      </c>
    </row>
    <row r="177" spans="1:11" x14ac:dyDescent="0.25">
      <c r="A177" s="109" t="s">
        <v>32</v>
      </c>
      <c r="B177" s="87" t="s">
        <v>816</v>
      </c>
      <c r="C177" s="87"/>
      <c r="D177" s="103" t="s">
        <v>812</v>
      </c>
      <c r="E177" s="87" t="s">
        <v>327</v>
      </c>
      <c r="F177" s="87" t="s">
        <v>35</v>
      </c>
      <c r="G177" s="110"/>
      <c r="H177" s="87" t="s">
        <v>40</v>
      </c>
      <c r="I177" s="109" t="s">
        <v>809</v>
      </c>
      <c r="J177" s="109" t="s">
        <v>301</v>
      </c>
      <c r="K177" s="109" t="s">
        <v>1355</v>
      </c>
    </row>
    <row r="178" spans="1:11" x14ac:dyDescent="0.25">
      <c r="A178" s="109" t="s">
        <v>32</v>
      </c>
      <c r="B178" s="87" t="s">
        <v>816</v>
      </c>
      <c r="C178" s="87"/>
      <c r="D178" s="103" t="s">
        <v>10</v>
      </c>
      <c r="E178" s="87" t="s">
        <v>327</v>
      </c>
      <c r="F178" s="87" t="s">
        <v>35</v>
      </c>
      <c r="G178" s="110"/>
      <c r="H178" s="87" t="s">
        <v>40</v>
      </c>
      <c r="I178" s="109" t="s">
        <v>809</v>
      </c>
      <c r="J178" s="109" t="s">
        <v>302</v>
      </c>
      <c r="K178" s="109" t="s">
        <v>1356</v>
      </c>
    </row>
    <row r="179" spans="1:11" x14ac:dyDescent="0.25">
      <c r="A179" s="109" t="s">
        <v>32</v>
      </c>
      <c r="B179" s="87" t="s">
        <v>816</v>
      </c>
      <c r="C179" s="87"/>
      <c r="D179" s="103" t="s">
        <v>11</v>
      </c>
      <c r="E179" s="87" t="s">
        <v>327</v>
      </c>
      <c r="F179" s="87" t="s">
        <v>35</v>
      </c>
      <c r="G179" s="110"/>
      <c r="H179" s="87" t="s">
        <v>40</v>
      </c>
      <c r="I179" s="109" t="s">
        <v>809</v>
      </c>
      <c r="J179" s="109" t="s">
        <v>303</v>
      </c>
      <c r="K179" s="109" t="s">
        <v>1357</v>
      </c>
    </row>
    <row r="180" spans="1:11" x14ac:dyDescent="0.25">
      <c r="A180" s="109" t="s">
        <v>32</v>
      </c>
      <c r="B180" s="87" t="s">
        <v>816</v>
      </c>
      <c r="C180" s="87"/>
      <c r="D180" s="103" t="s">
        <v>21</v>
      </c>
      <c r="E180" s="87" t="s">
        <v>327</v>
      </c>
      <c r="F180" s="87" t="s">
        <v>35</v>
      </c>
      <c r="G180" s="110"/>
      <c r="H180" s="87" t="s">
        <v>40</v>
      </c>
      <c r="I180" s="109" t="s">
        <v>809</v>
      </c>
      <c r="J180" s="109" t="s">
        <v>304</v>
      </c>
      <c r="K180" s="109" t="s">
        <v>1358</v>
      </c>
    </row>
    <row r="181" spans="1:11" x14ac:dyDescent="0.25">
      <c r="A181" s="109" t="s">
        <v>32</v>
      </c>
      <c r="B181" s="87" t="s">
        <v>816</v>
      </c>
      <c r="C181" s="87"/>
      <c r="D181" s="103" t="s">
        <v>31</v>
      </c>
      <c r="E181" s="87" t="s">
        <v>327</v>
      </c>
      <c r="F181" s="87" t="s">
        <v>35</v>
      </c>
      <c r="G181" s="110"/>
      <c r="H181" s="87" t="s">
        <v>40</v>
      </c>
      <c r="I181" s="109" t="s">
        <v>809</v>
      </c>
      <c r="J181" s="109" t="s">
        <v>305</v>
      </c>
      <c r="K181" s="109" t="s">
        <v>1359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809</v>
      </c>
      <c r="J182" s="109" t="s">
        <v>306</v>
      </c>
      <c r="K182" s="109" t="s">
        <v>1360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809</v>
      </c>
      <c r="J183" s="109" t="s">
        <v>307</v>
      </c>
      <c r="K183" s="109" t="s">
        <v>1361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809</v>
      </c>
      <c r="J184" s="109" t="s">
        <v>308</v>
      </c>
      <c r="K184" s="109" t="s">
        <v>1362</v>
      </c>
    </row>
    <row r="185" spans="1:11" x14ac:dyDescent="0.25">
      <c r="A185" s="109" t="s">
        <v>32</v>
      </c>
      <c r="B185" s="87" t="s">
        <v>816</v>
      </c>
      <c r="C185" s="87"/>
      <c r="D185" s="103" t="s">
        <v>23</v>
      </c>
      <c r="E185" s="87" t="s">
        <v>327</v>
      </c>
      <c r="F185" s="87" t="s">
        <v>35</v>
      </c>
      <c r="G185" s="110"/>
      <c r="H185" s="87" t="s">
        <v>40</v>
      </c>
      <c r="I185" s="109" t="s">
        <v>809</v>
      </c>
      <c r="J185" s="109" t="s">
        <v>309</v>
      </c>
      <c r="K185" s="109" t="s">
        <v>1363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1379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1364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1365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1366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1367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1368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1369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1370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1371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1372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1373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1374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1375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1376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1377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1378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1381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1382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1383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1384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1385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1386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1387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1388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1389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1390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1391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1392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1393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1394</v>
      </c>
    </row>
    <row r="216" spans="1:11" x14ac:dyDescent="0.25">
      <c r="A216" s="109" t="s">
        <v>317</v>
      </c>
      <c r="B216" s="91" t="s">
        <v>818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1395</v>
      </c>
    </row>
    <row r="217" spans="1:11" x14ac:dyDescent="0.25">
      <c r="A217" s="109" t="s">
        <v>317</v>
      </c>
      <c r="B217" s="91" t="s">
        <v>818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1396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1397</v>
      </c>
    </row>
    <row r="219" spans="1:11" x14ac:dyDescent="0.25">
      <c r="A219" s="109" t="s">
        <v>317</v>
      </c>
      <c r="B219" s="91" t="s">
        <v>818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1398</v>
      </c>
    </row>
    <row r="220" spans="1:11" s="109" customFormat="1" x14ac:dyDescent="0.25">
      <c r="A220" s="109" t="s">
        <v>18</v>
      </c>
      <c r="B220" s="109" t="s">
        <v>6</v>
      </c>
      <c r="C220" s="154" t="s">
        <v>15</v>
      </c>
      <c r="D220" s="110" t="s">
        <v>33</v>
      </c>
      <c r="E220" s="110"/>
      <c r="F220" s="110"/>
      <c r="G220" s="110"/>
      <c r="H220" s="110" t="s">
        <v>90</v>
      </c>
      <c r="I220" s="110" t="s">
        <v>7</v>
      </c>
      <c r="J220" s="19" t="s">
        <v>1630</v>
      </c>
      <c r="K220" s="109" t="s">
        <v>1399</v>
      </c>
    </row>
    <row r="221" spans="1:11" s="109" customFormat="1" x14ac:dyDescent="0.25">
      <c r="A221" s="109" t="s">
        <v>18</v>
      </c>
      <c r="B221" s="109" t="s">
        <v>6</v>
      </c>
      <c r="C221" s="154" t="s">
        <v>16</v>
      </c>
      <c r="D221" s="110" t="s">
        <v>33</v>
      </c>
      <c r="E221" s="110"/>
      <c r="F221" s="110"/>
      <c r="G221" s="110"/>
      <c r="H221" s="110" t="s">
        <v>90</v>
      </c>
      <c r="I221" s="110" t="s">
        <v>7</v>
      </c>
      <c r="J221" s="19" t="s">
        <v>1631</v>
      </c>
      <c r="K221" s="109" t="s">
        <v>1400</v>
      </c>
    </row>
    <row r="222" spans="1:11" s="109" customFormat="1" x14ac:dyDescent="0.25">
      <c r="A222" s="109" t="s">
        <v>18</v>
      </c>
      <c r="B222" s="109" t="s">
        <v>6</v>
      </c>
      <c r="C222" s="110" t="s">
        <v>15</v>
      </c>
      <c r="D222" s="110" t="s">
        <v>49</v>
      </c>
      <c r="E222" s="110"/>
      <c r="F222" s="110"/>
      <c r="G222" s="110"/>
      <c r="H222" s="110" t="s">
        <v>90</v>
      </c>
      <c r="I222" s="110" t="s">
        <v>7</v>
      </c>
      <c r="J222" s="19" t="s">
        <v>1632</v>
      </c>
      <c r="K222" s="109" t="s">
        <v>1401</v>
      </c>
    </row>
    <row r="223" spans="1:11" s="109" customFormat="1" x14ac:dyDescent="0.25">
      <c r="A223" s="109" t="s">
        <v>18</v>
      </c>
      <c r="B223" s="109" t="s">
        <v>6</v>
      </c>
      <c r="C223" s="110" t="s">
        <v>16</v>
      </c>
      <c r="D223" s="110" t="s">
        <v>49</v>
      </c>
      <c r="E223" s="110"/>
      <c r="F223" s="110"/>
      <c r="G223" s="110"/>
      <c r="H223" s="110" t="s">
        <v>90</v>
      </c>
      <c r="I223" s="110" t="s">
        <v>7</v>
      </c>
      <c r="J223" s="19" t="s">
        <v>1633</v>
      </c>
      <c r="K223" s="109" t="s">
        <v>1402</v>
      </c>
    </row>
    <row r="224" spans="1:11" s="109" customFormat="1" x14ac:dyDescent="0.25">
      <c r="A224" s="109" t="s">
        <v>18</v>
      </c>
      <c r="B224" s="110" t="s">
        <v>1629</v>
      </c>
      <c r="C224" s="110" t="s">
        <v>15</v>
      </c>
      <c r="D224" s="110" t="s">
        <v>33</v>
      </c>
      <c r="E224" s="110" t="s">
        <v>327</v>
      </c>
      <c r="F224" s="110" t="s">
        <v>34</v>
      </c>
      <c r="G224" s="110"/>
      <c r="H224" s="110" t="s">
        <v>40</v>
      </c>
      <c r="I224" s="110" t="s">
        <v>7</v>
      </c>
      <c r="J224" s="19" t="s">
        <v>323</v>
      </c>
      <c r="K224" s="19" t="s">
        <v>1625</v>
      </c>
    </row>
    <row r="225" spans="1:11" s="109" customFormat="1" x14ac:dyDescent="0.25">
      <c r="A225" s="109" t="s">
        <v>18</v>
      </c>
      <c r="B225" s="110" t="s">
        <v>1629</v>
      </c>
      <c r="C225" s="110" t="s">
        <v>16</v>
      </c>
      <c r="D225" s="110" t="s">
        <v>33</v>
      </c>
      <c r="E225" s="110" t="s">
        <v>327</v>
      </c>
      <c r="F225" s="110" t="s">
        <v>34</v>
      </c>
      <c r="G225" s="110"/>
      <c r="H225" s="110" t="s">
        <v>40</v>
      </c>
      <c r="I225" s="110" t="s">
        <v>7</v>
      </c>
      <c r="J225" s="145" t="s">
        <v>324</v>
      </c>
      <c r="K225" s="19" t="s">
        <v>1626</v>
      </c>
    </row>
    <row r="226" spans="1:11" s="109" customFormat="1" x14ac:dyDescent="0.25">
      <c r="A226" s="109" t="s">
        <v>18</v>
      </c>
      <c r="B226" s="110" t="s">
        <v>1629</v>
      </c>
      <c r="C226" s="110" t="s">
        <v>15</v>
      </c>
      <c r="D226" s="110" t="s">
        <v>49</v>
      </c>
      <c r="E226" s="110" t="s">
        <v>327</v>
      </c>
      <c r="F226" s="110" t="s">
        <v>34</v>
      </c>
      <c r="G226" s="110"/>
      <c r="H226" s="110" t="s">
        <v>40</v>
      </c>
      <c r="I226" s="110" t="s">
        <v>7</v>
      </c>
      <c r="J226" s="145" t="s">
        <v>325</v>
      </c>
      <c r="K226" s="19" t="s">
        <v>1627</v>
      </c>
    </row>
    <row r="227" spans="1:11" s="109" customFormat="1" x14ac:dyDescent="0.25">
      <c r="A227" s="109" t="s">
        <v>18</v>
      </c>
      <c r="B227" s="110" t="s">
        <v>1629</v>
      </c>
      <c r="C227" s="110" t="s">
        <v>16</v>
      </c>
      <c r="D227" s="110" t="s">
        <v>49</v>
      </c>
      <c r="E227" s="110" t="s">
        <v>327</v>
      </c>
      <c r="F227" s="110" t="s">
        <v>34</v>
      </c>
      <c r="G227" s="110"/>
      <c r="H227" s="110" t="s">
        <v>40</v>
      </c>
      <c r="I227" s="110" t="s">
        <v>7</v>
      </c>
      <c r="J227" s="145" t="s">
        <v>326</v>
      </c>
      <c r="K227" s="19" t="s">
        <v>1628</v>
      </c>
    </row>
    <row r="228" spans="1:11" s="109" customFormat="1" x14ac:dyDescent="0.25">
      <c r="A228" s="109" t="s">
        <v>18</v>
      </c>
      <c r="B228" s="110" t="s">
        <v>1629</v>
      </c>
      <c r="C228" s="110" t="s">
        <v>15</v>
      </c>
      <c r="D228" s="110" t="s">
        <v>33</v>
      </c>
      <c r="E228" s="110" t="s">
        <v>327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1625</v>
      </c>
    </row>
    <row r="229" spans="1:11" s="109" customFormat="1" x14ac:dyDescent="0.25">
      <c r="A229" s="109" t="s">
        <v>18</v>
      </c>
      <c r="B229" s="110" t="s">
        <v>1629</v>
      </c>
      <c r="C229" s="110" t="s">
        <v>16</v>
      </c>
      <c r="D229" s="110" t="s">
        <v>33</v>
      </c>
      <c r="E229" s="110" t="s">
        <v>327</v>
      </c>
      <c r="F229" s="110" t="s">
        <v>35</v>
      </c>
      <c r="G229" s="110"/>
      <c r="H229" s="110" t="s">
        <v>40</v>
      </c>
      <c r="I229" s="110" t="s">
        <v>7</v>
      </c>
      <c r="J229" s="19" t="s">
        <v>324</v>
      </c>
      <c r="K229" s="19" t="s">
        <v>1626</v>
      </c>
    </row>
    <row r="230" spans="1:11" s="109" customFormat="1" x14ac:dyDescent="0.25">
      <c r="A230" s="109" t="s">
        <v>18</v>
      </c>
      <c r="B230" s="110" t="s">
        <v>1629</v>
      </c>
      <c r="C230" s="110" t="s">
        <v>15</v>
      </c>
      <c r="D230" s="110" t="s">
        <v>49</v>
      </c>
      <c r="E230" s="110" t="s">
        <v>327</v>
      </c>
      <c r="F230" s="110" t="s">
        <v>35</v>
      </c>
      <c r="G230" s="110"/>
      <c r="H230" s="110" t="s">
        <v>40</v>
      </c>
      <c r="I230" s="110" t="s">
        <v>7</v>
      </c>
      <c r="J230" s="19" t="s">
        <v>325</v>
      </c>
      <c r="K230" s="19" t="s">
        <v>1627</v>
      </c>
    </row>
    <row r="231" spans="1:11" s="109" customFormat="1" x14ac:dyDescent="0.25">
      <c r="A231" s="109" t="s">
        <v>18</v>
      </c>
      <c r="B231" s="110" t="s">
        <v>1629</v>
      </c>
      <c r="C231" s="110" t="s">
        <v>16</v>
      </c>
      <c r="D231" s="110" t="s">
        <v>49</v>
      </c>
      <c r="E231" s="110" t="s">
        <v>327</v>
      </c>
      <c r="F231" s="110" t="s">
        <v>35</v>
      </c>
      <c r="G231" s="110"/>
      <c r="H231" s="110" t="s">
        <v>40</v>
      </c>
      <c r="I231" s="110" t="s">
        <v>7</v>
      </c>
      <c r="J231" s="19" t="s">
        <v>326</v>
      </c>
      <c r="K231" s="19" t="s">
        <v>1628</v>
      </c>
    </row>
    <row r="232" spans="1:11" s="109" customFormat="1" x14ac:dyDescent="0.25">
      <c r="A232" s="109" t="s">
        <v>18</v>
      </c>
      <c r="B232" s="110" t="s">
        <v>1629</v>
      </c>
      <c r="C232" s="110" t="s">
        <v>15</v>
      </c>
      <c r="D232" s="110" t="s">
        <v>33</v>
      </c>
      <c r="E232" s="110" t="s">
        <v>817</v>
      </c>
      <c r="F232" s="110" t="s">
        <v>35</v>
      </c>
      <c r="G232" s="110"/>
      <c r="H232" s="110" t="s">
        <v>40</v>
      </c>
      <c r="I232" s="110" t="s">
        <v>7</v>
      </c>
      <c r="J232" s="19" t="s">
        <v>323</v>
      </c>
      <c r="K232" s="19" t="s">
        <v>1625</v>
      </c>
    </row>
    <row r="233" spans="1:11" s="109" customFormat="1" x14ac:dyDescent="0.25">
      <c r="A233" s="109" t="s">
        <v>18</v>
      </c>
      <c r="B233" s="110" t="s">
        <v>1629</v>
      </c>
      <c r="C233" s="110" t="s">
        <v>16</v>
      </c>
      <c r="D233" s="110" t="s">
        <v>33</v>
      </c>
      <c r="E233" s="110" t="s">
        <v>817</v>
      </c>
      <c r="F233" s="110" t="s">
        <v>35</v>
      </c>
      <c r="G233" s="110"/>
      <c r="H233" s="110" t="s">
        <v>40</v>
      </c>
      <c r="I233" s="110" t="s">
        <v>7</v>
      </c>
      <c r="J233" s="109" t="s">
        <v>324</v>
      </c>
      <c r="K233" s="19" t="s">
        <v>1626</v>
      </c>
    </row>
    <row r="234" spans="1:11" s="109" customFormat="1" x14ac:dyDescent="0.25">
      <c r="A234" s="109" t="s">
        <v>18</v>
      </c>
      <c r="B234" s="110" t="s">
        <v>1629</v>
      </c>
      <c r="C234" s="110" t="s">
        <v>15</v>
      </c>
      <c r="D234" s="110" t="s">
        <v>49</v>
      </c>
      <c r="E234" s="110" t="s">
        <v>817</v>
      </c>
      <c r="F234" s="110" t="s">
        <v>35</v>
      </c>
      <c r="G234" s="110"/>
      <c r="H234" s="110" t="s">
        <v>40</v>
      </c>
      <c r="I234" s="110" t="s">
        <v>7</v>
      </c>
      <c r="J234" s="109" t="s">
        <v>325</v>
      </c>
      <c r="K234" s="19" t="s">
        <v>1627</v>
      </c>
    </row>
    <row r="235" spans="1:11" s="109" customFormat="1" x14ac:dyDescent="0.25">
      <c r="A235" s="109" t="s">
        <v>18</v>
      </c>
      <c r="B235" s="110" t="s">
        <v>1629</v>
      </c>
      <c r="C235" s="110" t="s">
        <v>16</v>
      </c>
      <c r="D235" s="110" t="s">
        <v>49</v>
      </c>
      <c r="E235" s="110" t="s">
        <v>817</v>
      </c>
      <c r="F235" s="110" t="s">
        <v>35</v>
      </c>
      <c r="G235" s="110"/>
      <c r="H235" s="110" t="s">
        <v>40</v>
      </c>
      <c r="I235" s="110" t="s">
        <v>7</v>
      </c>
      <c r="J235" s="109" t="s">
        <v>326</v>
      </c>
      <c r="K235" s="19" t="s">
        <v>1628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323</v>
      </c>
      <c r="K236" s="111" t="s">
        <v>1403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323</v>
      </c>
      <c r="K237" s="111" t="s">
        <v>1403</v>
      </c>
    </row>
    <row r="238" spans="1:11" s="109" customFormat="1" x14ac:dyDescent="0.25">
      <c r="A238" s="73" t="s">
        <v>19</v>
      </c>
      <c r="B238" s="73"/>
      <c r="C238" s="111"/>
      <c r="D238" s="111"/>
      <c r="E238" s="111"/>
      <c r="F238" s="111"/>
      <c r="G238" s="111"/>
      <c r="H238" s="111" t="s">
        <v>40</v>
      </c>
      <c r="I238" s="73" t="s">
        <v>322</v>
      </c>
      <c r="J238" s="73" t="s">
        <v>323</v>
      </c>
      <c r="K238" s="111" t="s">
        <v>1403</v>
      </c>
    </row>
    <row r="239" spans="1:11" s="109" customFormat="1" x14ac:dyDescent="0.25">
      <c r="A239" s="73" t="s">
        <v>19</v>
      </c>
      <c r="B239" s="73"/>
      <c r="C239" s="111"/>
      <c r="D239" s="111"/>
      <c r="E239" s="111"/>
      <c r="F239" s="111"/>
      <c r="G239" s="111"/>
      <c r="H239" s="111" t="s">
        <v>40</v>
      </c>
      <c r="I239" s="73" t="s">
        <v>322</v>
      </c>
      <c r="J239" s="73" t="s">
        <v>324</v>
      </c>
      <c r="K239" s="111" t="s">
        <v>1404</v>
      </c>
    </row>
    <row r="240" spans="1:11" s="109" customFormat="1" x14ac:dyDescent="0.25">
      <c r="A240" s="73" t="s">
        <v>19</v>
      </c>
      <c r="B240" s="73"/>
      <c r="C240" s="111"/>
      <c r="D240" s="111"/>
      <c r="E240" s="111"/>
      <c r="F240" s="111"/>
      <c r="G240" s="111"/>
      <c r="H240" s="111" t="s">
        <v>40</v>
      </c>
      <c r="I240" s="73" t="s">
        <v>322</v>
      </c>
      <c r="J240" s="73" t="s">
        <v>324</v>
      </c>
      <c r="K240" s="111" t="s">
        <v>1404</v>
      </c>
    </row>
    <row r="241" spans="1:11" s="109" customFormat="1" x14ac:dyDescent="0.25">
      <c r="A241" s="73" t="s">
        <v>19</v>
      </c>
      <c r="B241" s="73"/>
      <c r="C241" s="111"/>
      <c r="D241" s="111"/>
      <c r="E241" s="111"/>
      <c r="F241" s="111"/>
      <c r="G241" s="111"/>
      <c r="H241" s="111" t="s">
        <v>40</v>
      </c>
      <c r="I241" s="73" t="s">
        <v>322</v>
      </c>
      <c r="J241" s="73" t="s">
        <v>324</v>
      </c>
      <c r="K241" s="111" t="s">
        <v>1404</v>
      </c>
    </row>
    <row r="242" spans="1:11" s="109" customFormat="1" x14ac:dyDescent="0.25">
      <c r="A242" s="109" t="s">
        <v>19</v>
      </c>
      <c r="B242" s="110" t="s">
        <v>814</v>
      </c>
      <c r="C242" s="110" t="s">
        <v>15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325</v>
      </c>
      <c r="K242" s="110" t="s">
        <v>1405</v>
      </c>
    </row>
    <row r="243" spans="1:11" s="109" customFormat="1" x14ac:dyDescent="0.25">
      <c r="A243" s="109" t="s">
        <v>19</v>
      </c>
      <c r="B243" s="110" t="s">
        <v>814</v>
      </c>
      <c r="C243" s="110" t="s">
        <v>15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325</v>
      </c>
      <c r="K243" s="110" t="s">
        <v>1405</v>
      </c>
    </row>
    <row r="244" spans="1:11" s="109" customFormat="1" x14ac:dyDescent="0.25">
      <c r="A244" s="109" t="s">
        <v>19</v>
      </c>
      <c r="B244" s="110" t="s">
        <v>814</v>
      </c>
      <c r="C244" s="110" t="s">
        <v>15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325</v>
      </c>
      <c r="K244" s="110" t="s">
        <v>1405</v>
      </c>
    </row>
    <row r="245" spans="1:11" s="109" customFormat="1" x14ac:dyDescent="0.25">
      <c r="A245" s="109" t="s">
        <v>19</v>
      </c>
      <c r="B245" s="110" t="s">
        <v>814</v>
      </c>
      <c r="C245" s="110" t="s">
        <v>15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325</v>
      </c>
      <c r="K245" s="110" t="s">
        <v>1405</v>
      </c>
    </row>
    <row r="246" spans="1:11" s="109" customFormat="1" x14ac:dyDescent="0.25">
      <c r="A246" s="109" t="s">
        <v>19</v>
      </c>
      <c r="B246" s="110" t="s">
        <v>814</v>
      </c>
      <c r="C246" s="110" t="s">
        <v>16</v>
      </c>
      <c r="D246" s="110" t="s">
        <v>11</v>
      </c>
      <c r="E246" s="110"/>
      <c r="F246" s="110"/>
      <c r="G246" s="110"/>
      <c r="H246" s="110" t="s">
        <v>40</v>
      </c>
      <c r="I246" s="109" t="s">
        <v>322</v>
      </c>
      <c r="J246" s="109" t="s">
        <v>326</v>
      </c>
      <c r="K246" s="110" t="s">
        <v>1406</v>
      </c>
    </row>
    <row r="247" spans="1:11" s="109" customFormat="1" x14ac:dyDescent="0.25">
      <c r="A247" s="109" t="s">
        <v>19</v>
      </c>
      <c r="B247" s="110" t="s">
        <v>814</v>
      </c>
      <c r="C247" s="110" t="s">
        <v>16</v>
      </c>
      <c r="D247" s="110" t="s">
        <v>21</v>
      </c>
      <c r="E247" s="110"/>
      <c r="F247" s="110"/>
      <c r="G247" s="110"/>
      <c r="H247" s="110" t="s">
        <v>40</v>
      </c>
      <c r="I247" s="109" t="s">
        <v>322</v>
      </c>
      <c r="J247" s="109" t="s">
        <v>326</v>
      </c>
      <c r="K247" s="110" t="s">
        <v>1406</v>
      </c>
    </row>
    <row r="248" spans="1:11" s="109" customFormat="1" x14ac:dyDescent="0.25">
      <c r="A248" s="109" t="s">
        <v>19</v>
      </c>
      <c r="B248" s="110" t="s">
        <v>814</v>
      </c>
      <c r="C248" s="110" t="s">
        <v>16</v>
      </c>
      <c r="D248" s="110" t="s">
        <v>31</v>
      </c>
      <c r="E248" s="110"/>
      <c r="F248" s="110"/>
      <c r="G248" s="110"/>
      <c r="H248" s="110" t="s">
        <v>40</v>
      </c>
      <c r="I248" s="109" t="s">
        <v>322</v>
      </c>
      <c r="J248" s="109" t="s">
        <v>326</v>
      </c>
      <c r="K248" s="110" t="s">
        <v>1406</v>
      </c>
    </row>
    <row r="249" spans="1:11" s="109" customFormat="1" x14ac:dyDescent="0.25">
      <c r="A249" s="109" t="s">
        <v>19</v>
      </c>
      <c r="B249" s="110" t="s">
        <v>814</v>
      </c>
      <c r="C249" s="110" t="s">
        <v>16</v>
      </c>
      <c r="D249" s="110" t="s">
        <v>23</v>
      </c>
      <c r="E249" s="110"/>
      <c r="F249" s="110"/>
      <c r="G249" s="110"/>
      <c r="H249" s="110" t="s">
        <v>40</v>
      </c>
      <c r="I249" s="109" t="s">
        <v>322</v>
      </c>
      <c r="J249" s="109" t="s">
        <v>326</v>
      </c>
      <c r="K249" s="110" t="s">
        <v>1406</v>
      </c>
    </row>
    <row r="250" spans="1:11" x14ac:dyDescent="0.25">
      <c r="A250" s="109" t="s">
        <v>19</v>
      </c>
      <c r="B250" s="93" t="s">
        <v>820</v>
      </c>
      <c r="C250" s="20"/>
      <c r="E250" s="20"/>
      <c r="F250" s="93" t="s">
        <v>36</v>
      </c>
      <c r="G250" s="110"/>
      <c r="H250" s="93" t="s">
        <v>40</v>
      </c>
      <c r="I250" s="109" t="s">
        <v>819</v>
      </c>
      <c r="J250" s="109" t="s">
        <v>36</v>
      </c>
      <c r="K250" s="109" t="s">
        <v>1407</v>
      </c>
    </row>
    <row r="251" spans="1:11" x14ac:dyDescent="0.25">
      <c r="A251" s="109" t="s">
        <v>19</v>
      </c>
      <c r="B251" s="93" t="s">
        <v>820</v>
      </c>
      <c r="C251" s="20"/>
      <c r="E251" s="20"/>
      <c r="F251" s="93" t="s">
        <v>37</v>
      </c>
      <c r="G251" s="110"/>
      <c r="H251" s="93" t="s">
        <v>40</v>
      </c>
      <c r="I251" s="109" t="s">
        <v>819</v>
      </c>
      <c r="J251" s="109" t="s">
        <v>37</v>
      </c>
      <c r="K251" s="110" t="s">
        <v>1408</v>
      </c>
    </row>
    <row r="252" spans="1:11" x14ac:dyDescent="0.25">
      <c r="A252" s="109" t="s">
        <v>328</v>
      </c>
      <c r="B252" s="20" t="s">
        <v>6</v>
      </c>
      <c r="C252" s="20" t="s">
        <v>15</v>
      </c>
      <c r="D252" s="103" t="s">
        <v>33</v>
      </c>
      <c r="E252" s="20"/>
      <c r="F252" s="20"/>
      <c r="G252" s="110"/>
      <c r="H252" s="93" t="s">
        <v>90</v>
      </c>
      <c r="I252" s="109" t="s">
        <v>361</v>
      </c>
      <c r="J252" s="109" t="s">
        <v>323</v>
      </c>
      <c r="K252" s="109" t="s">
        <v>1409</v>
      </c>
    </row>
    <row r="253" spans="1:11" x14ac:dyDescent="0.25">
      <c r="A253" s="109" t="s">
        <v>328</v>
      </c>
      <c r="B253" s="93" t="s">
        <v>6</v>
      </c>
      <c r="C253" s="20" t="s">
        <v>16</v>
      </c>
      <c r="D253" s="103" t="s">
        <v>33</v>
      </c>
      <c r="E253" s="20"/>
      <c r="F253" s="20"/>
      <c r="G253" s="110"/>
      <c r="H253" s="93" t="s">
        <v>90</v>
      </c>
      <c r="I253" s="109" t="s">
        <v>361</v>
      </c>
      <c r="J253" s="109" t="s">
        <v>324</v>
      </c>
      <c r="K253" s="109" t="s">
        <v>1410</v>
      </c>
    </row>
    <row r="254" spans="1:11" x14ac:dyDescent="0.25">
      <c r="A254" s="109" t="s">
        <v>328</v>
      </c>
      <c r="B254" s="93" t="s">
        <v>6</v>
      </c>
      <c r="C254" s="93" t="s">
        <v>15</v>
      </c>
      <c r="D254" s="103" t="s">
        <v>49</v>
      </c>
      <c r="E254" s="20"/>
      <c r="F254" s="20"/>
      <c r="G254" s="110"/>
      <c r="H254" s="93" t="s">
        <v>90</v>
      </c>
      <c r="I254" s="109" t="s">
        <v>361</v>
      </c>
      <c r="J254" s="109" t="s">
        <v>325</v>
      </c>
      <c r="K254" s="109" t="s">
        <v>1411</v>
      </c>
    </row>
    <row r="255" spans="1:11" x14ac:dyDescent="0.25">
      <c r="A255" s="109" t="s">
        <v>328</v>
      </c>
      <c r="B255" s="93" t="s">
        <v>6</v>
      </c>
      <c r="C255" s="93" t="s">
        <v>16</v>
      </c>
      <c r="D255" s="103" t="s">
        <v>49</v>
      </c>
      <c r="E255" s="20"/>
      <c r="F255" s="20"/>
      <c r="G255" s="110"/>
      <c r="H255" s="93" t="s">
        <v>90</v>
      </c>
      <c r="I255" s="109" t="s">
        <v>361</v>
      </c>
      <c r="J255" s="109" t="s">
        <v>326</v>
      </c>
      <c r="K255" s="109" t="s">
        <v>1412</v>
      </c>
    </row>
    <row r="256" spans="1:11" x14ac:dyDescent="0.25">
      <c r="A256" s="109" t="s">
        <v>328</v>
      </c>
      <c r="B256" s="20"/>
      <c r="C256" s="20"/>
      <c r="E256" s="20"/>
      <c r="F256" s="20"/>
      <c r="G256" s="110"/>
      <c r="H256" s="20"/>
      <c r="I256" s="109" t="s">
        <v>1634</v>
      </c>
      <c r="J256" s="109" t="s">
        <v>329</v>
      </c>
      <c r="K256" s="109" t="s">
        <v>1413</v>
      </c>
    </row>
    <row r="257" spans="1:11" x14ac:dyDescent="0.25">
      <c r="A257" s="109" t="s">
        <v>328</v>
      </c>
      <c r="B257" s="20"/>
      <c r="C257" s="20"/>
      <c r="E257" s="20"/>
      <c r="F257" s="20"/>
      <c r="G257" s="110"/>
      <c r="H257" s="20"/>
      <c r="I257" s="109" t="s">
        <v>1634</v>
      </c>
      <c r="J257" s="109" t="s">
        <v>331</v>
      </c>
      <c r="K257" s="109" t="s">
        <v>1414</v>
      </c>
    </row>
    <row r="258" spans="1:11" x14ac:dyDescent="0.25">
      <c r="A258" s="109" t="s">
        <v>328</v>
      </c>
      <c r="B258" s="20"/>
      <c r="C258" s="20"/>
      <c r="E258" s="20"/>
      <c r="F258" s="20"/>
      <c r="G258" s="110"/>
      <c r="H258" s="20"/>
      <c r="I258" s="109" t="s">
        <v>1634</v>
      </c>
      <c r="J258" s="109" t="s">
        <v>330</v>
      </c>
      <c r="K258" s="109" t="s">
        <v>1415</v>
      </c>
    </row>
    <row r="259" spans="1:11" x14ac:dyDescent="0.25">
      <c r="A259" s="109" t="s">
        <v>328</v>
      </c>
      <c r="B259" s="20"/>
      <c r="C259" s="20"/>
      <c r="E259" s="20"/>
      <c r="F259" s="20"/>
      <c r="G259" s="110"/>
      <c r="H259" s="20"/>
      <c r="I259" s="109" t="s">
        <v>1634</v>
      </c>
      <c r="J259" s="109" t="s">
        <v>332</v>
      </c>
      <c r="K259" s="109" t="s">
        <v>1416</v>
      </c>
    </row>
    <row r="260" spans="1:11" x14ac:dyDescent="0.25">
      <c r="A260" s="109" t="s">
        <v>328</v>
      </c>
      <c r="B260" s="93" t="s">
        <v>6</v>
      </c>
      <c r="C260" s="93" t="s">
        <v>15</v>
      </c>
      <c r="D260" s="103" t="s">
        <v>33</v>
      </c>
      <c r="E260" s="93"/>
      <c r="F260" s="93"/>
      <c r="G260" s="110"/>
      <c r="H260" s="93" t="s">
        <v>40</v>
      </c>
      <c r="I260" s="109" t="s">
        <v>322</v>
      </c>
      <c r="J260" s="109" t="s">
        <v>323</v>
      </c>
      <c r="K260" s="109" t="s">
        <v>1417</v>
      </c>
    </row>
    <row r="261" spans="1:11" x14ac:dyDescent="0.25">
      <c r="A261" s="109" t="s">
        <v>328</v>
      </c>
      <c r="B261" s="93" t="s">
        <v>6</v>
      </c>
      <c r="C261" s="93" t="s">
        <v>16</v>
      </c>
      <c r="D261" s="103" t="s">
        <v>33</v>
      </c>
      <c r="E261" s="93"/>
      <c r="F261" s="93"/>
      <c r="G261" s="110"/>
      <c r="H261" s="93" t="s">
        <v>40</v>
      </c>
      <c r="I261" s="109" t="s">
        <v>322</v>
      </c>
      <c r="J261" s="109" t="s">
        <v>324</v>
      </c>
      <c r="K261" s="109" t="s">
        <v>1418</v>
      </c>
    </row>
    <row r="262" spans="1:11" x14ac:dyDescent="0.25">
      <c r="A262" s="109" t="s">
        <v>328</v>
      </c>
      <c r="B262" s="93" t="s">
        <v>6</v>
      </c>
      <c r="C262" s="93" t="s">
        <v>15</v>
      </c>
      <c r="D262" s="103" t="s">
        <v>49</v>
      </c>
      <c r="E262" s="93"/>
      <c r="F262" s="93"/>
      <c r="G262" s="110"/>
      <c r="H262" s="93" t="s">
        <v>40</v>
      </c>
      <c r="I262" s="109" t="s">
        <v>322</v>
      </c>
      <c r="J262" s="109" t="s">
        <v>325</v>
      </c>
      <c r="K262" s="109" t="s">
        <v>1419</v>
      </c>
    </row>
    <row r="263" spans="1:11" x14ac:dyDescent="0.25">
      <c r="A263" s="109" t="s">
        <v>328</v>
      </c>
      <c r="B263" s="93" t="s">
        <v>6</v>
      </c>
      <c r="C263" s="93" t="s">
        <v>16</v>
      </c>
      <c r="D263" s="103" t="s">
        <v>49</v>
      </c>
      <c r="E263" s="93"/>
      <c r="F263" s="93"/>
      <c r="G263" s="110"/>
      <c r="H263" s="93" t="s">
        <v>40</v>
      </c>
      <c r="I263" s="109" t="s">
        <v>322</v>
      </c>
      <c r="J263" s="109" t="s">
        <v>326</v>
      </c>
      <c r="K263" s="109" t="s">
        <v>1420</v>
      </c>
    </row>
    <row r="264" spans="1:11" x14ac:dyDescent="0.25">
      <c r="A264" s="109" t="s">
        <v>328</v>
      </c>
      <c r="B264" s="20"/>
      <c r="C264" s="20"/>
      <c r="E264" s="20"/>
      <c r="F264" s="20"/>
      <c r="G264" s="110"/>
      <c r="H264" s="20"/>
      <c r="I264" s="109" t="s">
        <v>333</v>
      </c>
      <c r="J264" s="109" t="s">
        <v>1176</v>
      </c>
      <c r="K264" s="109" t="s">
        <v>1421</v>
      </c>
    </row>
    <row r="265" spans="1:11" x14ac:dyDescent="0.25">
      <c r="A265" s="109" t="s">
        <v>328</v>
      </c>
      <c r="B265" s="20"/>
      <c r="C265" s="20"/>
      <c r="E265" s="20"/>
      <c r="F265" s="20"/>
      <c r="G265" s="110"/>
      <c r="H265" s="20"/>
      <c r="I265" s="109" t="s">
        <v>333</v>
      </c>
      <c r="J265" s="109" t="s">
        <v>331</v>
      </c>
      <c r="K265" s="109" t="s">
        <v>1422</v>
      </c>
    </row>
    <row r="266" spans="1:11" x14ac:dyDescent="0.25">
      <c r="A266" s="109" t="s">
        <v>328</v>
      </c>
      <c r="B266" s="20"/>
      <c r="C266" s="20"/>
      <c r="E266" s="20"/>
      <c r="F266" s="20"/>
      <c r="G266" s="110"/>
      <c r="H266" s="20"/>
      <c r="I266" s="109" t="s">
        <v>333</v>
      </c>
      <c r="J266" s="109" t="s">
        <v>330</v>
      </c>
      <c r="K266" s="109" t="s">
        <v>1423</v>
      </c>
    </row>
    <row r="267" spans="1:11" x14ac:dyDescent="0.25">
      <c r="A267" s="109" t="s">
        <v>328</v>
      </c>
      <c r="B267" s="20"/>
      <c r="C267" s="20"/>
      <c r="E267" s="20"/>
      <c r="F267" s="20"/>
      <c r="G267" s="110"/>
      <c r="H267" s="20"/>
      <c r="I267" s="109" t="s">
        <v>333</v>
      </c>
      <c r="J267" s="109" t="s">
        <v>332</v>
      </c>
      <c r="K267" s="109" t="s">
        <v>1424</v>
      </c>
    </row>
    <row r="268" spans="1:11" x14ac:dyDescent="0.25">
      <c r="A268" s="109" t="s">
        <v>12</v>
      </c>
      <c r="B268" s="97" t="s">
        <v>813</v>
      </c>
      <c r="C268" s="20"/>
      <c r="D268" s="103" t="s">
        <v>8</v>
      </c>
      <c r="E268" s="20"/>
      <c r="F268" s="20"/>
      <c r="G268" s="110"/>
      <c r="H268" s="94" t="s">
        <v>40</v>
      </c>
      <c r="I268" s="109" t="s">
        <v>780</v>
      </c>
      <c r="J268" s="109" t="s">
        <v>334</v>
      </c>
      <c r="K268" s="109" t="s">
        <v>1425</v>
      </c>
    </row>
    <row r="269" spans="1:11" x14ac:dyDescent="0.25">
      <c r="A269" s="109" t="s">
        <v>12</v>
      </c>
      <c r="B269" s="97" t="s">
        <v>813</v>
      </c>
      <c r="C269" s="20"/>
      <c r="D269" s="103" t="s">
        <v>9</v>
      </c>
      <c r="H269" s="94" t="s">
        <v>40</v>
      </c>
      <c r="I269" s="109" t="s">
        <v>780</v>
      </c>
      <c r="J269" s="109" t="s">
        <v>339</v>
      </c>
      <c r="K269" s="109" t="s">
        <v>1426</v>
      </c>
    </row>
    <row r="270" spans="1:11" x14ac:dyDescent="0.25">
      <c r="A270" s="109" t="s">
        <v>12</v>
      </c>
      <c r="B270" s="20" t="s">
        <v>814</v>
      </c>
      <c r="C270" s="20" t="s">
        <v>15</v>
      </c>
      <c r="D270" s="103" t="s">
        <v>10</v>
      </c>
      <c r="F270" s="20"/>
      <c r="G270" s="110"/>
      <c r="H270" s="94" t="s">
        <v>40</v>
      </c>
      <c r="I270" s="109" t="s">
        <v>780</v>
      </c>
      <c r="J270" s="109" t="s">
        <v>335</v>
      </c>
      <c r="K270" s="109" t="s">
        <v>1427</v>
      </c>
    </row>
    <row r="271" spans="1:11" x14ac:dyDescent="0.25">
      <c r="A271" s="109" t="s">
        <v>12</v>
      </c>
      <c r="B271" s="96" t="s">
        <v>814</v>
      </c>
      <c r="C271" s="20" t="s">
        <v>16</v>
      </c>
      <c r="D271" s="103" t="s">
        <v>10</v>
      </c>
      <c r="F271" s="20"/>
      <c r="G271" s="110"/>
      <c r="H271" s="94" t="s">
        <v>40</v>
      </c>
      <c r="I271" s="109" t="s">
        <v>780</v>
      </c>
      <c r="J271" s="109" t="s">
        <v>336</v>
      </c>
      <c r="K271" s="109" t="s">
        <v>1428</v>
      </c>
    </row>
    <row r="272" spans="1:11" x14ac:dyDescent="0.25">
      <c r="A272" s="109" t="s">
        <v>12</v>
      </c>
      <c r="B272" s="96" t="s">
        <v>814</v>
      </c>
      <c r="C272" s="96" t="s">
        <v>15</v>
      </c>
      <c r="D272" s="103" t="s">
        <v>11</v>
      </c>
      <c r="F272" s="20"/>
      <c r="G272" s="110"/>
      <c r="H272" s="96" t="s">
        <v>40</v>
      </c>
      <c r="I272" s="109" t="s">
        <v>781</v>
      </c>
      <c r="J272" s="109" t="s">
        <v>337</v>
      </c>
      <c r="K272" s="109" t="s">
        <v>1429</v>
      </c>
    </row>
    <row r="273" spans="1:11" x14ac:dyDescent="0.25">
      <c r="A273" s="109" t="s">
        <v>12</v>
      </c>
      <c r="B273" s="96" t="s">
        <v>814</v>
      </c>
      <c r="C273" s="96" t="s">
        <v>16</v>
      </c>
      <c r="D273" s="103" t="s">
        <v>11</v>
      </c>
      <c r="H273" s="96" t="s">
        <v>40</v>
      </c>
      <c r="I273" s="109" t="s">
        <v>781</v>
      </c>
      <c r="J273" s="109" t="s">
        <v>338</v>
      </c>
      <c r="K273" s="109" t="s">
        <v>1430</v>
      </c>
    </row>
    <row r="274" spans="1:11" x14ac:dyDescent="0.25">
      <c r="A274" s="109" t="s">
        <v>12</v>
      </c>
      <c r="B274" s="96" t="s">
        <v>814</v>
      </c>
      <c r="C274" s="96" t="s">
        <v>15</v>
      </c>
      <c r="D274" s="103" t="s">
        <v>21</v>
      </c>
      <c r="H274" s="96" t="s">
        <v>40</v>
      </c>
      <c r="I274" s="109" t="s">
        <v>781</v>
      </c>
      <c r="J274" s="109" t="s">
        <v>340</v>
      </c>
      <c r="K274" s="109" t="s">
        <v>1431</v>
      </c>
    </row>
    <row r="275" spans="1:11" x14ac:dyDescent="0.25">
      <c r="A275" s="109" t="s">
        <v>12</v>
      </c>
      <c r="B275" s="96" t="s">
        <v>814</v>
      </c>
      <c r="C275" s="96" t="s">
        <v>16</v>
      </c>
      <c r="D275" s="103" t="s">
        <v>21</v>
      </c>
      <c r="H275" s="96" t="s">
        <v>40</v>
      </c>
      <c r="I275" s="109" t="s">
        <v>781</v>
      </c>
      <c r="J275" s="109" t="s">
        <v>341</v>
      </c>
      <c r="K275" s="109" t="s">
        <v>1432</v>
      </c>
    </row>
    <row r="276" spans="1:11" x14ac:dyDescent="0.25">
      <c r="A276" s="109" t="s">
        <v>12</v>
      </c>
      <c r="B276" s="20"/>
      <c r="C276" s="20"/>
      <c r="I276" s="109" t="s">
        <v>781</v>
      </c>
      <c r="J276" s="109" t="s">
        <v>342</v>
      </c>
      <c r="K276" s="109" t="s">
        <v>1433</v>
      </c>
    </row>
    <row r="277" spans="1:11" x14ac:dyDescent="0.25">
      <c r="A277" s="109" t="s">
        <v>12</v>
      </c>
      <c r="B277" s="20"/>
      <c r="C277" s="20"/>
      <c r="I277" s="109" t="s">
        <v>781</v>
      </c>
      <c r="J277" s="109" t="s">
        <v>343</v>
      </c>
      <c r="K277" s="109" t="s">
        <v>1434</v>
      </c>
    </row>
    <row r="278" spans="1:11" x14ac:dyDescent="0.25">
      <c r="A278" s="109" t="s">
        <v>12</v>
      </c>
      <c r="B278" s="20"/>
      <c r="C278" s="20"/>
      <c r="I278" s="109" t="s">
        <v>781</v>
      </c>
      <c r="J278" s="109" t="s">
        <v>344</v>
      </c>
      <c r="K278" s="109" t="s">
        <v>1435</v>
      </c>
    </row>
    <row r="279" spans="1:11" x14ac:dyDescent="0.25">
      <c r="A279" s="109" t="s">
        <v>12</v>
      </c>
      <c r="B279" s="20"/>
      <c r="C279" s="20"/>
      <c r="I279" s="109" t="s">
        <v>781</v>
      </c>
      <c r="J279" s="109" t="s">
        <v>345</v>
      </c>
      <c r="K279" s="109" t="s">
        <v>1436</v>
      </c>
    </row>
    <row r="280" spans="1:11" x14ac:dyDescent="0.25">
      <c r="A280" s="109" t="s">
        <v>12</v>
      </c>
      <c r="B280" s="20"/>
      <c r="C280" s="20"/>
      <c r="I280" s="109" t="s">
        <v>781</v>
      </c>
      <c r="J280" s="109" t="s">
        <v>346</v>
      </c>
      <c r="K280" s="109" t="s">
        <v>1437</v>
      </c>
    </row>
    <row r="281" spans="1:11" x14ac:dyDescent="0.25">
      <c r="A281" s="109" t="s">
        <v>12</v>
      </c>
      <c r="B281" s="20"/>
      <c r="C281" s="20"/>
      <c r="I281" s="109" t="s">
        <v>781</v>
      </c>
      <c r="J281" s="109" t="s">
        <v>347</v>
      </c>
      <c r="K281" s="109" t="s">
        <v>1438</v>
      </c>
    </row>
    <row r="282" spans="1:11" x14ac:dyDescent="0.25">
      <c r="A282" s="109" t="s">
        <v>12</v>
      </c>
      <c r="B282" s="20"/>
      <c r="C282" s="20"/>
      <c r="I282" s="109" t="s">
        <v>781</v>
      </c>
      <c r="J282" s="109" t="s">
        <v>348</v>
      </c>
      <c r="K282" s="109" t="s">
        <v>1439</v>
      </c>
    </row>
    <row r="283" spans="1:11" x14ac:dyDescent="0.25">
      <c r="A283" s="109" t="s">
        <v>12</v>
      </c>
      <c r="B283" s="20"/>
      <c r="C283" s="20"/>
      <c r="I283" s="109" t="s">
        <v>781</v>
      </c>
      <c r="J283" s="109" t="s">
        <v>349</v>
      </c>
      <c r="K283" s="109" t="s">
        <v>1440</v>
      </c>
    </row>
    <row r="284" spans="1:11" x14ac:dyDescent="0.25">
      <c r="A284" s="109" t="s">
        <v>12</v>
      </c>
      <c r="B284" s="96" t="s">
        <v>814</v>
      </c>
      <c r="C284" s="96" t="s">
        <v>15</v>
      </c>
      <c r="D284" s="103" t="s">
        <v>23</v>
      </c>
      <c r="H284" s="96" t="s">
        <v>40</v>
      </c>
      <c r="I284" s="109" t="s">
        <v>781</v>
      </c>
      <c r="J284" s="109" t="s">
        <v>350</v>
      </c>
      <c r="K284" s="109" t="s">
        <v>1441</v>
      </c>
    </row>
    <row r="285" spans="1:11" x14ac:dyDescent="0.25">
      <c r="A285" s="109" t="s">
        <v>12</v>
      </c>
      <c r="B285" s="96" t="s">
        <v>814</v>
      </c>
      <c r="C285" s="96" t="s">
        <v>16</v>
      </c>
      <c r="D285" s="103" t="s">
        <v>23</v>
      </c>
      <c r="H285" s="96" t="s">
        <v>40</v>
      </c>
      <c r="I285" s="109" t="s">
        <v>781</v>
      </c>
      <c r="J285" s="109" t="s">
        <v>351</v>
      </c>
      <c r="K285" s="109" t="s">
        <v>1442</v>
      </c>
    </row>
    <row r="286" spans="1:11" x14ac:dyDescent="0.25">
      <c r="A286" s="109" t="s">
        <v>5</v>
      </c>
      <c r="B286" s="97" t="s">
        <v>813</v>
      </c>
      <c r="C286" s="98"/>
      <c r="D286" s="103" t="s">
        <v>8</v>
      </c>
      <c r="E286" s="98"/>
      <c r="F286" s="98"/>
      <c r="G286" s="110"/>
      <c r="H286" s="98" t="s">
        <v>40</v>
      </c>
      <c r="I286" s="109" t="s">
        <v>780</v>
      </c>
      <c r="J286" s="109" t="s">
        <v>334</v>
      </c>
      <c r="K286" s="109" t="s">
        <v>1443</v>
      </c>
    </row>
    <row r="287" spans="1:11" x14ac:dyDescent="0.25">
      <c r="A287" s="109" t="s">
        <v>5</v>
      </c>
      <c r="B287" s="97" t="s">
        <v>813</v>
      </c>
      <c r="C287" s="98"/>
      <c r="D287" s="103" t="s">
        <v>9</v>
      </c>
      <c r="E287" s="97"/>
      <c r="F287" s="97"/>
      <c r="H287" s="98" t="s">
        <v>40</v>
      </c>
      <c r="I287" s="109" t="s">
        <v>780</v>
      </c>
      <c r="J287" s="109" t="s">
        <v>339</v>
      </c>
      <c r="K287" s="109" t="s">
        <v>1445</v>
      </c>
    </row>
    <row r="288" spans="1:11" x14ac:dyDescent="0.25">
      <c r="A288" s="109" t="s">
        <v>5</v>
      </c>
      <c r="B288" s="98" t="s">
        <v>814</v>
      </c>
      <c r="C288" s="98" t="s">
        <v>15</v>
      </c>
      <c r="D288" s="110" t="s">
        <v>10</v>
      </c>
      <c r="F288" s="97"/>
      <c r="H288" s="98" t="s">
        <v>40</v>
      </c>
      <c r="I288" s="109" t="s">
        <v>780</v>
      </c>
      <c r="J288" s="109" t="s">
        <v>335</v>
      </c>
      <c r="K288" s="109" t="s">
        <v>1444</v>
      </c>
    </row>
    <row r="289" spans="1:11" x14ac:dyDescent="0.25">
      <c r="A289" s="109" t="s">
        <v>5</v>
      </c>
      <c r="B289" s="98" t="s">
        <v>814</v>
      </c>
      <c r="C289" s="98" t="s">
        <v>16</v>
      </c>
      <c r="D289" s="110" t="s">
        <v>10</v>
      </c>
      <c r="F289" s="98"/>
      <c r="G289" s="110"/>
      <c r="H289" s="98" t="s">
        <v>40</v>
      </c>
      <c r="I289" s="109" t="s">
        <v>780</v>
      </c>
      <c r="J289" s="109" t="s">
        <v>336</v>
      </c>
      <c r="K289" s="109" t="s">
        <v>1446</v>
      </c>
    </row>
    <row r="290" spans="1:11" x14ac:dyDescent="0.25">
      <c r="A290" s="109" t="s">
        <v>5</v>
      </c>
      <c r="B290" s="98" t="s">
        <v>814</v>
      </c>
      <c r="C290" s="98" t="s">
        <v>15</v>
      </c>
      <c r="D290" s="110" t="s">
        <v>11</v>
      </c>
      <c r="F290" s="98"/>
      <c r="G290" s="110"/>
      <c r="H290" s="98" t="s">
        <v>40</v>
      </c>
      <c r="I290" s="109" t="s">
        <v>781</v>
      </c>
      <c r="J290" s="109" t="s">
        <v>337</v>
      </c>
      <c r="K290" s="109" t="s">
        <v>1447</v>
      </c>
    </row>
    <row r="291" spans="1:11" x14ac:dyDescent="0.25">
      <c r="A291" s="109" t="s">
        <v>5</v>
      </c>
      <c r="B291" s="98" t="s">
        <v>814</v>
      </c>
      <c r="C291" s="98" t="s">
        <v>16</v>
      </c>
      <c r="D291" s="103" t="s">
        <v>11</v>
      </c>
      <c r="F291" s="98"/>
      <c r="G291" s="110"/>
      <c r="H291" s="98" t="s">
        <v>40</v>
      </c>
      <c r="I291" s="109" t="s">
        <v>781</v>
      </c>
      <c r="J291" s="109" t="s">
        <v>338</v>
      </c>
      <c r="K291" s="109" t="s">
        <v>1448</v>
      </c>
    </row>
    <row r="292" spans="1:11" x14ac:dyDescent="0.25">
      <c r="A292" s="109" t="s">
        <v>5</v>
      </c>
      <c r="B292" s="98" t="s">
        <v>814</v>
      </c>
      <c r="C292" s="110" t="s">
        <v>15</v>
      </c>
      <c r="D292" s="103" t="s">
        <v>21</v>
      </c>
      <c r="F292" s="97"/>
      <c r="H292" s="98" t="s">
        <v>40</v>
      </c>
      <c r="I292" s="109" t="s">
        <v>781</v>
      </c>
      <c r="J292" s="109" t="s">
        <v>340</v>
      </c>
      <c r="K292" s="109" t="s">
        <v>1449</v>
      </c>
    </row>
    <row r="293" spans="1:11" x14ac:dyDescent="0.25">
      <c r="A293" s="109" t="s">
        <v>5</v>
      </c>
      <c r="B293" s="98" t="s">
        <v>814</v>
      </c>
      <c r="C293" s="110" t="s">
        <v>16</v>
      </c>
      <c r="D293" s="103" t="s">
        <v>21</v>
      </c>
      <c r="F293" s="97"/>
      <c r="H293" s="98" t="s">
        <v>40</v>
      </c>
      <c r="I293" s="109" t="s">
        <v>781</v>
      </c>
      <c r="J293" s="109" t="s">
        <v>341</v>
      </c>
      <c r="K293" s="109" t="s">
        <v>1450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781</v>
      </c>
      <c r="J294" s="109" t="s">
        <v>342</v>
      </c>
      <c r="K294" s="109" t="s">
        <v>1451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781</v>
      </c>
      <c r="J295" s="109" t="s">
        <v>343</v>
      </c>
      <c r="K295" s="109" t="s">
        <v>1452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781</v>
      </c>
      <c r="J296" s="109" t="s">
        <v>344</v>
      </c>
      <c r="K296" s="109" t="s">
        <v>1453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781</v>
      </c>
      <c r="J297" s="109" t="s">
        <v>345</v>
      </c>
      <c r="K297" s="109" t="s">
        <v>1454</v>
      </c>
    </row>
    <row r="298" spans="1:11" x14ac:dyDescent="0.25">
      <c r="A298" s="109" t="s">
        <v>5</v>
      </c>
      <c r="B298" s="98"/>
      <c r="C298" s="98"/>
      <c r="E298" s="97"/>
      <c r="F298" s="97"/>
      <c r="H298" s="97"/>
      <c r="I298" s="109" t="s">
        <v>781</v>
      </c>
      <c r="J298" s="109" t="s">
        <v>346</v>
      </c>
      <c r="K298" s="109" t="s">
        <v>1455</v>
      </c>
    </row>
    <row r="299" spans="1:11" x14ac:dyDescent="0.25">
      <c r="A299" s="109" t="s">
        <v>5</v>
      </c>
      <c r="B299" s="98"/>
      <c r="C299" s="98"/>
      <c r="E299" s="97"/>
      <c r="F299" s="97"/>
      <c r="H299" s="97"/>
      <c r="I299" s="109" t="s">
        <v>781</v>
      </c>
      <c r="J299" s="109" t="s">
        <v>347</v>
      </c>
      <c r="K299" s="109" t="s">
        <v>1456</v>
      </c>
    </row>
    <row r="300" spans="1:11" x14ac:dyDescent="0.25">
      <c r="A300" s="109" t="s">
        <v>5</v>
      </c>
      <c r="B300" s="98"/>
      <c r="C300" s="98"/>
      <c r="E300" s="97"/>
      <c r="F300" s="97"/>
      <c r="H300" s="97"/>
      <c r="I300" s="109" t="s">
        <v>781</v>
      </c>
      <c r="J300" s="109" t="s">
        <v>348</v>
      </c>
      <c r="K300" s="109" t="s">
        <v>1457</v>
      </c>
    </row>
    <row r="301" spans="1:11" x14ac:dyDescent="0.25">
      <c r="A301" s="109" t="s">
        <v>5</v>
      </c>
      <c r="B301" s="98"/>
      <c r="C301" s="98"/>
      <c r="E301" s="97"/>
      <c r="F301" s="97"/>
      <c r="H301" s="97"/>
      <c r="I301" s="109" t="s">
        <v>781</v>
      </c>
      <c r="J301" s="109" t="s">
        <v>349</v>
      </c>
      <c r="K301" s="109" t="s">
        <v>1458</v>
      </c>
    </row>
    <row r="302" spans="1:11" x14ac:dyDescent="0.25">
      <c r="A302" s="109" t="s">
        <v>5</v>
      </c>
      <c r="B302" s="98" t="s">
        <v>814</v>
      </c>
      <c r="C302" s="110" t="s">
        <v>15</v>
      </c>
      <c r="D302" s="103" t="s">
        <v>23</v>
      </c>
      <c r="E302" s="98"/>
      <c r="F302" s="97"/>
      <c r="H302" s="98" t="s">
        <v>40</v>
      </c>
      <c r="I302" s="109" t="s">
        <v>781</v>
      </c>
      <c r="J302" s="109" t="s">
        <v>350</v>
      </c>
      <c r="K302" s="109" t="s">
        <v>1459</v>
      </c>
    </row>
    <row r="303" spans="1:11" x14ac:dyDescent="0.25">
      <c r="A303" s="109" t="s">
        <v>5</v>
      </c>
      <c r="B303" s="98" t="s">
        <v>814</v>
      </c>
      <c r="C303" s="110" t="s">
        <v>16</v>
      </c>
      <c r="D303" s="103" t="s">
        <v>23</v>
      </c>
      <c r="E303" s="98"/>
      <c r="F303" s="97"/>
      <c r="H303" s="98" t="s">
        <v>40</v>
      </c>
      <c r="I303" s="109" t="s">
        <v>781</v>
      </c>
      <c r="J303" s="109" t="s">
        <v>351</v>
      </c>
      <c r="K303" s="109" t="s">
        <v>1460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201</v>
      </c>
      <c r="G304" s="110"/>
      <c r="H304" s="98" t="s">
        <v>40</v>
      </c>
      <c r="I304" s="109" t="s">
        <v>359</v>
      </c>
      <c r="J304" s="109" t="s">
        <v>352</v>
      </c>
      <c r="K304" s="109" t="s">
        <v>1461</v>
      </c>
    </row>
    <row r="305" spans="1:11" x14ac:dyDescent="0.25">
      <c r="A305" s="109" t="s">
        <v>5</v>
      </c>
      <c r="B305" s="20" t="s">
        <v>199</v>
      </c>
      <c r="C305" s="20"/>
      <c r="E305" s="20"/>
      <c r="F305" s="20" t="s">
        <v>319</v>
      </c>
      <c r="G305" s="110"/>
      <c r="H305" s="98" t="s">
        <v>40</v>
      </c>
      <c r="I305" s="109" t="s">
        <v>359</v>
      </c>
      <c r="J305" s="109" t="s">
        <v>353</v>
      </c>
      <c r="K305" s="109" t="s">
        <v>1462</v>
      </c>
    </row>
    <row r="306" spans="1:11" x14ac:dyDescent="0.25">
      <c r="A306" s="109" t="s">
        <v>5</v>
      </c>
      <c r="B306" s="20" t="s">
        <v>199</v>
      </c>
      <c r="C306" s="20"/>
      <c r="E306" s="20"/>
      <c r="F306" s="20" t="s">
        <v>205</v>
      </c>
      <c r="G306" s="110"/>
      <c r="H306" s="98" t="s">
        <v>40</v>
      </c>
      <c r="I306" s="109" t="s">
        <v>359</v>
      </c>
      <c r="J306" s="109" t="s">
        <v>354</v>
      </c>
      <c r="K306" s="109" t="s">
        <v>1463</v>
      </c>
    </row>
    <row r="307" spans="1:11" x14ac:dyDescent="0.25">
      <c r="A307" s="109" t="s">
        <v>5</v>
      </c>
      <c r="B307" s="20" t="s">
        <v>199</v>
      </c>
      <c r="C307" s="20"/>
      <c r="E307" s="20"/>
      <c r="F307" s="20" t="s">
        <v>825</v>
      </c>
      <c r="G307" s="110"/>
      <c r="H307" s="98" t="s">
        <v>40</v>
      </c>
      <c r="I307" s="109" t="s">
        <v>359</v>
      </c>
      <c r="J307" s="109" t="s">
        <v>355</v>
      </c>
      <c r="K307" s="109" t="s">
        <v>1464</v>
      </c>
    </row>
    <row r="308" spans="1:11" x14ac:dyDescent="0.25">
      <c r="A308" s="109" t="s">
        <v>5</v>
      </c>
      <c r="B308" s="20" t="s">
        <v>199</v>
      </c>
      <c r="C308" s="20"/>
      <c r="E308" s="20"/>
      <c r="F308" s="20" t="s">
        <v>321</v>
      </c>
      <c r="G308" s="110"/>
      <c r="H308" s="98" t="s">
        <v>40</v>
      </c>
      <c r="I308" s="109" t="s">
        <v>359</v>
      </c>
      <c r="J308" s="109" t="s">
        <v>356</v>
      </c>
      <c r="K308" s="109" t="s">
        <v>1465</v>
      </c>
    </row>
    <row r="309" spans="1:11" x14ac:dyDescent="0.25">
      <c r="A309" s="109" t="s">
        <v>5</v>
      </c>
      <c r="B309" s="99" t="s">
        <v>826</v>
      </c>
      <c r="C309" s="20"/>
      <c r="E309" s="20"/>
      <c r="F309" s="20" t="s">
        <v>827</v>
      </c>
      <c r="G309" s="110"/>
      <c r="H309" s="100" t="s">
        <v>40</v>
      </c>
      <c r="I309" s="109" t="s">
        <v>360</v>
      </c>
      <c r="J309" s="109" t="s">
        <v>357</v>
      </c>
      <c r="K309" s="109" t="s">
        <v>1466</v>
      </c>
    </row>
    <row r="310" spans="1:11" x14ac:dyDescent="0.25">
      <c r="A310" s="109" t="s">
        <v>5</v>
      </c>
      <c r="B310" s="99" t="s">
        <v>826</v>
      </c>
      <c r="C310" s="20"/>
      <c r="E310" s="20"/>
      <c r="F310" s="20" t="s">
        <v>828</v>
      </c>
      <c r="G310" s="110"/>
      <c r="H310" s="100" t="s">
        <v>40</v>
      </c>
      <c r="I310" s="109" t="s">
        <v>360</v>
      </c>
      <c r="J310" s="109" t="s">
        <v>358</v>
      </c>
      <c r="K310" s="109" t="s">
        <v>1467</v>
      </c>
    </row>
    <row r="311" spans="1:11" x14ac:dyDescent="0.25">
      <c r="A311" s="109" t="s">
        <v>829</v>
      </c>
      <c r="B311" s="102" t="s">
        <v>830</v>
      </c>
      <c r="C311" s="110" t="s">
        <v>15</v>
      </c>
      <c r="D311" s="103" t="s">
        <v>33</v>
      </c>
      <c r="E311" s="20"/>
      <c r="F311" s="20" t="s">
        <v>831</v>
      </c>
      <c r="G311" s="110"/>
      <c r="H311" s="101" t="s">
        <v>90</v>
      </c>
      <c r="I311" s="109" t="s">
        <v>378</v>
      </c>
      <c r="J311" s="109" t="s">
        <v>363</v>
      </c>
      <c r="K311" s="109" t="s">
        <v>1520</v>
      </c>
    </row>
    <row r="312" spans="1:11" x14ac:dyDescent="0.25">
      <c r="A312" s="109" t="s">
        <v>829</v>
      </c>
      <c r="B312" s="102" t="s">
        <v>830</v>
      </c>
      <c r="C312" s="110" t="s">
        <v>15</v>
      </c>
      <c r="D312" s="103" t="s">
        <v>33</v>
      </c>
      <c r="E312" s="20"/>
      <c r="F312" s="20" t="s">
        <v>832</v>
      </c>
      <c r="G312" s="110"/>
      <c r="H312" s="110" t="s">
        <v>90</v>
      </c>
      <c r="I312" s="109" t="s">
        <v>378</v>
      </c>
      <c r="J312" s="109" t="s">
        <v>364</v>
      </c>
      <c r="K312" s="109" t="s">
        <v>1521</v>
      </c>
    </row>
    <row r="313" spans="1:11" x14ac:dyDescent="0.25">
      <c r="A313" s="109" t="s">
        <v>829</v>
      </c>
      <c r="B313" s="102" t="s">
        <v>830</v>
      </c>
      <c r="C313" s="110" t="s">
        <v>15</v>
      </c>
      <c r="D313" s="103" t="s">
        <v>33</v>
      </c>
      <c r="E313" s="20"/>
      <c r="F313" s="20" t="s">
        <v>833</v>
      </c>
      <c r="G313" s="110"/>
      <c r="H313" s="110" t="s">
        <v>90</v>
      </c>
      <c r="I313" s="109" t="s">
        <v>378</v>
      </c>
      <c r="J313" s="109" t="s">
        <v>365</v>
      </c>
      <c r="K313" s="109" t="s">
        <v>1522</v>
      </c>
    </row>
    <row r="314" spans="1:11" x14ac:dyDescent="0.25">
      <c r="A314" s="109" t="s">
        <v>829</v>
      </c>
      <c r="B314" s="102" t="s">
        <v>830</v>
      </c>
      <c r="C314" s="20" t="s">
        <v>16</v>
      </c>
      <c r="D314" s="103" t="s">
        <v>33</v>
      </c>
      <c r="E314" s="20"/>
      <c r="F314" s="101" t="s">
        <v>831</v>
      </c>
      <c r="G314" s="110"/>
      <c r="H314" s="110" t="s">
        <v>90</v>
      </c>
      <c r="I314" s="109" t="s">
        <v>378</v>
      </c>
      <c r="J314" s="109" t="s">
        <v>366</v>
      </c>
      <c r="K314" s="109" t="s">
        <v>1523</v>
      </c>
    </row>
    <row r="315" spans="1:11" x14ac:dyDescent="0.25">
      <c r="A315" s="109" t="s">
        <v>829</v>
      </c>
      <c r="B315" s="102" t="s">
        <v>830</v>
      </c>
      <c r="C315" s="110" t="s">
        <v>16</v>
      </c>
      <c r="D315" s="103" t="s">
        <v>33</v>
      </c>
      <c r="E315" s="20"/>
      <c r="F315" s="101" t="s">
        <v>832</v>
      </c>
      <c r="G315" s="110"/>
      <c r="H315" s="110" t="s">
        <v>90</v>
      </c>
      <c r="I315" s="109" t="s">
        <v>378</v>
      </c>
      <c r="J315" s="109" t="s">
        <v>367</v>
      </c>
      <c r="K315" s="109" t="s">
        <v>1524</v>
      </c>
    </row>
    <row r="316" spans="1:11" x14ac:dyDescent="0.25">
      <c r="A316" s="109" t="s">
        <v>829</v>
      </c>
      <c r="B316" s="102" t="s">
        <v>830</v>
      </c>
      <c r="C316" s="110" t="s">
        <v>16</v>
      </c>
      <c r="D316" s="103" t="s">
        <v>33</v>
      </c>
      <c r="E316" s="20"/>
      <c r="F316" s="101" t="s">
        <v>833</v>
      </c>
      <c r="G316" s="110"/>
      <c r="H316" s="110" t="s">
        <v>90</v>
      </c>
      <c r="I316" s="109" t="s">
        <v>378</v>
      </c>
      <c r="J316" s="109" t="s">
        <v>368</v>
      </c>
      <c r="K316" s="109" t="s">
        <v>1525</v>
      </c>
    </row>
    <row r="317" spans="1:11" x14ac:dyDescent="0.25">
      <c r="A317" s="109" t="s">
        <v>829</v>
      </c>
      <c r="B317" s="102" t="s">
        <v>830</v>
      </c>
      <c r="C317" s="110" t="s">
        <v>15</v>
      </c>
      <c r="D317" s="103" t="s">
        <v>49</v>
      </c>
      <c r="E317" s="20"/>
      <c r="F317" s="101" t="s">
        <v>831</v>
      </c>
      <c r="G317" s="110"/>
      <c r="H317" s="110" t="s">
        <v>90</v>
      </c>
      <c r="I317" s="109" t="s">
        <v>378</v>
      </c>
      <c r="J317" s="109" t="s">
        <v>369</v>
      </c>
      <c r="K317" s="109" t="s">
        <v>1526</v>
      </c>
    </row>
    <row r="318" spans="1:11" x14ac:dyDescent="0.25">
      <c r="A318" s="109" t="s">
        <v>829</v>
      </c>
      <c r="B318" s="102" t="s">
        <v>830</v>
      </c>
      <c r="C318" s="110" t="s">
        <v>15</v>
      </c>
      <c r="D318" s="103" t="s">
        <v>49</v>
      </c>
      <c r="E318" s="20"/>
      <c r="F318" s="101" t="s">
        <v>832</v>
      </c>
      <c r="G318" s="110"/>
      <c r="H318" s="110" t="s">
        <v>90</v>
      </c>
      <c r="I318" s="109" t="s">
        <v>378</v>
      </c>
      <c r="J318" s="109" t="s">
        <v>370</v>
      </c>
      <c r="K318" s="109" t="s">
        <v>1527</v>
      </c>
    </row>
    <row r="319" spans="1:11" x14ac:dyDescent="0.25">
      <c r="A319" s="109" t="s">
        <v>829</v>
      </c>
      <c r="B319" s="102" t="s">
        <v>830</v>
      </c>
      <c r="C319" s="110" t="s">
        <v>15</v>
      </c>
      <c r="D319" s="103" t="s">
        <v>49</v>
      </c>
      <c r="E319" s="20"/>
      <c r="F319" s="101" t="s">
        <v>833</v>
      </c>
      <c r="G319" s="110"/>
      <c r="H319" s="110" t="s">
        <v>90</v>
      </c>
      <c r="I319" s="109" t="s">
        <v>378</v>
      </c>
      <c r="J319" s="109" t="s">
        <v>371</v>
      </c>
      <c r="K319" s="109" t="s">
        <v>1614</v>
      </c>
    </row>
    <row r="320" spans="1:11" x14ac:dyDescent="0.25">
      <c r="A320" s="109" t="s">
        <v>829</v>
      </c>
      <c r="B320" s="102" t="s">
        <v>830</v>
      </c>
      <c r="C320" s="110" t="s">
        <v>16</v>
      </c>
      <c r="D320" s="103" t="s">
        <v>49</v>
      </c>
      <c r="E320" s="20"/>
      <c r="F320" s="101" t="s">
        <v>831</v>
      </c>
      <c r="G320" s="110"/>
      <c r="H320" s="110" t="s">
        <v>90</v>
      </c>
      <c r="I320" s="109" t="s">
        <v>378</v>
      </c>
      <c r="J320" s="109" t="s">
        <v>372</v>
      </c>
      <c r="K320" s="109" t="s">
        <v>1615</v>
      </c>
    </row>
    <row r="321" spans="1:11" x14ac:dyDescent="0.25">
      <c r="A321" s="109" t="s">
        <v>829</v>
      </c>
      <c r="B321" s="102" t="s">
        <v>830</v>
      </c>
      <c r="C321" s="110" t="s">
        <v>16</v>
      </c>
      <c r="D321" s="103" t="s">
        <v>49</v>
      </c>
      <c r="E321" s="20"/>
      <c r="F321" s="101" t="s">
        <v>832</v>
      </c>
      <c r="G321" s="110"/>
      <c r="H321" s="110" t="s">
        <v>90</v>
      </c>
      <c r="I321" s="109" t="s">
        <v>378</v>
      </c>
      <c r="J321" s="109" t="s">
        <v>373</v>
      </c>
      <c r="K321" s="109" t="s">
        <v>1616</v>
      </c>
    </row>
    <row r="322" spans="1:11" x14ac:dyDescent="0.25">
      <c r="A322" s="109" t="s">
        <v>829</v>
      </c>
      <c r="B322" s="102" t="s">
        <v>830</v>
      </c>
      <c r="C322" s="110" t="s">
        <v>16</v>
      </c>
      <c r="D322" s="103" t="s">
        <v>49</v>
      </c>
      <c r="E322" s="20"/>
      <c r="F322" s="101" t="s">
        <v>833</v>
      </c>
      <c r="G322" s="110"/>
      <c r="H322" s="110" t="s">
        <v>90</v>
      </c>
      <c r="I322" s="109" t="s">
        <v>378</v>
      </c>
      <c r="J322" s="109" t="s">
        <v>374</v>
      </c>
      <c r="K322" s="109" t="s">
        <v>1617</v>
      </c>
    </row>
    <row r="323" spans="1:11" x14ac:dyDescent="0.25">
      <c r="A323" s="146" t="s">
        <v>829</v>
      </c>
      <c r="B323" s="146" t="s">
        <v>834</v>
      </c>
      <c r="C323" s="147"/>
      <c r="D323" s="147"/>
      <c r="E323" s="147"/>
      <c r="F323" s="147" t="s">
        <v>831</v>
      </c>
      <c r="G323" s="147"/>
      <c r="H323" s="147" t="s">
        <v>90</v>
      </c>
      <c r="I323" s="146" t="s">
        <v>379</v>
      </c>
      <c r="J323" s="146" t="s">
        <v>375</v>
      </c>
      <c r="K323" s="146" t="s">
        <v>1618</v>
      </c>
    </row>
    <row r="324" spans="1:11" x14ac:dyDescent="0.25">
      <c r="A324" s="146" t="s">
        <v>829</v>
      </c>
      <c r="B324" s="146" t="s">
        <v>834</v>
      </c>
      <c r="C324" s="147"/>
      <c r="D324" s="147"/>
      <c r="E324" s="147"/>
      <c r="F324" s="147" t="s">
        <v>832</v>
      </c>
      <c r="G324" s="147"/>
      <c r="H324" s="147" t="s">
        <v>90</v>
      </c>
      <c r="I324" s="146" t="s">
        <v>379</v>
      </c>
      <c r="J324" s="146" t="s">
        <v>376</v>
      </c>
      <c r="K324" s="146" t="s">
        <v>1619</v>
      </c>
    </row>
    <row r="325" spans="1:11" x14ac:dyDescent="0.25">
      <c r="A325" s="146" t="s">
        <v>829</v>
      </c>
      <c r="B325" s="146" t="s">
        <v>834</v>
      </c>
      <c r="C325" s="147"/>
      <c r="D325" s="147"/>
      <c r="E325" s="147"/>
      <c r="F325" s="147" t="s">
        <v>833</v>
      </c>
      <c r="G325" s="147"/>
      <c r="H325" s="147" t="s">
        <v>90</v>
      </c>
      <c r="I325" s="146" t="s">
        <v>379</v>
      </c>
      <c r="J325" s="146" t="s">
        <v>377</v>
      </c>
      <c r="K325" s="146" t="s">
        <v>1620</v>
      </c>
    </row>
    <row r="326" spans="1:11" s="109" customFormat="1" x14ac:dyDescent="0.25">
      <c r="A326" s="73" t="s">
        <v>381</v>
      </c>
      <c r="B326" s="73"/>
      <c r="C326" s="111"/>
      <c r="D326" s="111"/>
      <c r="E326" s="111"/>
      <c r="F326" s="111"/>
      <c r="G326" s="111"/>
      <c r="H326" s="111"/>
      <c r="I326" s="73" t="s">
        <v>799</v>
      </c>
      <c r="J326" s="73" t="s">
        <v>323</v>
      </c>
      <c r="K326" s="73" t="s">
        <v>1528</v>
      </c>
    </row>
    <row r="327" spans="1:11" s="109" customFormat="1" x14ac:dyDescent="0.25">
      <c r="A327" s="73" t="s">
        <v>381</v>
      </c>
      <c r="B327" s="73"/>
      <c r="C327" s="111"/>
      <c r="D327" s="111"/>
      <c r="E327" s="111"/>
      <c r="F327" s="111"/>
      <c r="G327" s="111"/>
      <c r="H327" s="111"/>
      <c r="I327" s="73" t="s">
        <v>799</v>
      </c>
      <c r="J327" s="73" t="s">
        <v>324</v>
      </c>
      <c r="K327" s="73" t="s">
        <v>1529</v>
      </c>
    </row>
    <row r="328" spans="1:11" s="109" customFormat="1" x14ac:dyDescent="0.25">
      <c r="A328" s="109" t="s">
        <v>381</v>
      </c>
      <c r="B328" s="110" t="s">
        <v>814</v>
      </c>
      <c r="C328" s="110" t="s">
        <v>15</v>
      </c>
      <c r="D328" s="110" t="s">
        <v>11</v>
      </c>
      <c r="E328" s="110"/>
      <c r="F328" s="110"/>
      <c r="G328" s="110"/>
      <c r="H328" s="110" t="s">
        <v>90</v>
      </c>
      <c r="I328" s="109" t="s">
        <v>800</v>
      </c>
      <c r="J328" s="109" t="s">
        <v>325</v>
      </c>
      <c r="K328" s="109" t="s">
        <v>1530</v>
      </c>
    </row>
    <row r="329" spans="1:11" s="109" customFormat="1" x14ac:dyDescent="0.25">
      <c r="A329" s="109" t="s">
        <v>381</v>
      </c>
      <c r="B329" s="110" t="s">
        <v>814</v>
      </c>
      <c r="C329" s="110" t="s">
        <v>16</v>
      </c>
      <c r="D329" s="110" t="s">
        <v>11</v>
      </c>
      <c r="E329" s="110"/>
      <c r="F329" s="110"/>
      <c r="G329" s="110"/>
      <c r="H329" s="110" t="s">
        <v>90</v>
      </c>
      <c r="I329" s="109" t="s">
        <v>800</v>
      </c>
      <c r="J329" s="109" t="s">
        <v>326</v>
      </c>
      <c r="K329" s="109" t="s">
        <v>1531</v>
      </c>
    </row>
    <row r="330" spans="1:11" s="109" customFormat="1" x14ac:dyDescent="0.25">
      <c r="A330" s="109" t="s">
        <v>381</v>
      </c>
      <c r="B330" s="110" t="s">
        <v>814</v>
      </c>
      <c r="C330" s="110" t="s">
        <v>15</v>
      </c>
      <c r="D330" s="110" t="s">
        <v>21</v>
      </c>
      <c r="E330" s="110"/>
      <c r="F330" s="110"/>
      <c r="G330" s="110"/>
      <c r="H330" s="110" t="s">
        <v>90</v>
      </c>
      <c r="I330" s="109" t="s">
        <v>800</v>
      </c>
      <c r="J330" s="109" t="s">
        <v>325</v>
      </c>
      <c r="K330" s="109" t="s">
        <v>1530</v>
      </c>
    </row>
    <row r="331" spans="1:11" s="109" customFormat="1" x14ac:dyDescent="0.25">
      <c r="A331" s="109" t="s">
        <v>381</v>
      </c>
      <c r="B331" s="110" t="s">
        <v>814</v>
      </c>
      <c r="C331" s="110" t="s">
        <v>16</v>
      </c>
      <c r="D331" s="110" t="s">
        <v>21</v>
      </c>
      <c r="E331" s="110"/>
      <c r="F331" s="110"/>
      <c r="G331" s="110"/>
      <c r="H331" s="110" t="s">
        <v>90</v>
      </c>
      <c r="I331" s="109" t="s">
        <v>800</v>
      </c>
      <c r="J331" s="109" t="s">
        <v>326</v>
      </c>
      <c r="K331" s="109" t="s">
        <v>1531</v>
      </c>
    </row>
    <row r="332" spans="1:11" s="109" customFormat="1" x14ac:dyDescent="0.25">
      <c r="A332" s="109" t="s">
        <v>381</v>
      </c>
      <c r="B332" s="110" t="s">
        <v>814</v>
      </c>
      <c r="C332" s="110" t="s">
        <v>15</v>
      </c>
      <c r="D332" s="110" t="s">
        <v>31</v>
      </c>
      <c r="E332" s="110"/>
      <c r="F332" s="110"/>
      <c r="G332" s="110"/>
      <c r="H332" s="110" t="s">
        <v>90</v>
      </c>
      <c r="I332" s="109" t="s">
        <v>800</v>
      </c>
      <c r="J332" s="109" t="s">
        <v>325</v>
      </c>
      <c r="K332" s="109" t="s">
        <v>1530</v>
      </c>
    </row>
    <row r="333" spans="1:11" s="109" customFormat="1" x14ac:dyDescent="0.25">
      <c r="A333" s="109" t="s">
        <v>381</v>
      </c>
      <c r="B333" s="110" t="s">
        <v>814</v>
      </c>
      <c r="C333" s="110" t="s">
        <v>16</v>
      </c>
      <c r="D333" s="110" t="s">
        <v>31</v>
      </c>
      <c r="E333" s="110"/>
      <c r="F333" s="110"/>
      <c r="G333" s="110"/>
      <c r="H333" s="110" t="s">
        <v>90</v>
      </c>
      <c r="I333" s="109" t="s">
        <v>800</v>
      </c>
      <c r="J333" s="109" t="s">
        <v>326</v>
      </c>
      <c r="K333" s="109" t="s">
        <v>1531</v>
      </c>
    </row>
    <row r="334" spans="1:11" s="109" customFormat="1" x14ac:dyDescent="0.25">
      <c r="A334" s="109" t="s">
        <v>381</v>
      </c>
      <c r="B334" s="110" t="s">
        <v>814</v>
      </c>
      <c r="C334" s="110" t="s">
        <v>15</v>
      </c>
      <c r="D334" s="110" t="s">
        <v>23</v>
      </c>
      <c r="E334" s="110"/>
      <c r="F334" s="110"/>
      <c r="G334" s="110"/>
      <c r="H334" s="110" t="s">
        <v>90</v>
      </c>
      <c r="I334" s="109" t="s">
        <v>800</v>
      </c>
      <c r="J334" s="109" t="s">
        <v>325</v>
      </c>
      <c r="K334" s="109" t="s">
        <v>1530</v>
      </c>
    </row>
    <row r="335" spans="1:11" s="109" customFormat="1" x14ac:dyDescent="0.25">
      <c r="A335" s="109" t="s">
        <v>381</v>
      </c>
      <c r="B335" s="110" t="s">
        <v>814</v>
      </c>
      <c r="C335" s="110" t="s">
        <v>16</v>
      </c>
      <c r="D335" s="110" t="s">
        <v>23</v>
      </c>
      <c r="E335" s="110"/>
      <c r="F335" s="110"/>
      <c r="G335" s="110"/>
      <c r="H335" s="110" t="s">
        <v>90</v>
      </c>
      <c r="I335" s="109" t="s">
        <v>800</v>
      </c>
      <c r="J335" s="109" t="s">
        <v>326</v>
      </c>
      <c r="K335" s="109" t="s">
        <v>1531</v>
      </c>
    </row>
    <row r="336" spans="1:11" x14ac:dyDescent="0.25">
      <c r="A336" s="109" t="s">
        <v>381</v>
      </c>
      <c r="B336" s="20" t="s">
        <v>826</v>
      </c>
      <c r="C336" s="20"/>
      <c r="E336" s="20"/>
      <c r="F336" s="20" t="s">
        <v>827</v>
      </c>
      <c r="G336" s="110"/>
      <c r="H336" s="103" t="s">
        <v>90</v>
      </c>
      <c r="I336" s="109" t="s">
        <v>380</v>
      </c>
      <c r="J336" s="109" t="s">
        <v>357</v>
      </c>
      <c r="K336" s="109" t="s">
        <v>1532</v>
      </c>
    </row>
    <row r="337" spans="1:11" x14ac:dyDescent="0.25">
      <c r="A337" s="109" t="s">
        <v>381</v>
      </c>
      <c r="B337" s="20" t="s">
        <v>826</v>
      </c>
      <c r="C337" s="20"/>
      <c r="E337" s="20"/>
      <c r="F337" s="20" t="s">
        <v>828</v>
      </c>
      <c r="G337" s="110"/>
      <c r="H337" s="103" t="s">
        <v>90</v>
      </c>
      <c r="I337" s="109" t="s">
        <v>380</v>
      </c>
      <c r="J337" s="109" t="s">
        <v>358</v>
      </c>
      <c r="K337" s="109" t="s">
        <v>1533</v>
      </c>
    </row>
    <row r="338" spans="1:11" x14ac:dyDescent="0.25">
      <c r="A338" s="73" t="s">
        <v>381</v>
      </c>
      <c r="B338" s="111"/>
      <c r="C338" s="111"/>
      <c r="D338" s="111"/>
      <c r="E338" s="111"/>
      <c r="F338" s="111"/>
      <c r="G338" s="111"/>
      <c r="H338" s="111" t="s">
        <v>40</v>
      </c>
      <c r="I338" s="73" t="s">
        <v>801</v>
      </c>
      <c r="J338" s="73" t="s">
        <v>323</v>
      </c>
      <c r="K338" s="73" t="s">
        <v>1534</v>
      </c>
    </row>
    <row r="339" spans="1:11" x14ac:dyDescent="0.25">
      <c r="A339" s="73" t="s">
        <v>381</v>
      </c>
      <c r="B339" s="111"/>
      <c r="C339" s="111"/>
      <c r="D339" s="111"/>
      <c r="E339" s="111"/>
      <c r="F339" s="111"/>
      <c r="G339" s="111"/>
      <c r="H339" s="111" t="s">
        <v>40</v>
      </c>
      <c r="I339" s="73" t="s">
        <v>801</v>
      </c>
      <c r="J339" s="73" t="s">
        <v>324</v>
      </c>
      <c r="K339" s="73" t="s">
        <v>1535</v>
      </c>
    </row>
    <row r="340" spans="1:11" s="109" customFormat="1" x14ac:dyDescent="0.25">
      <c r="A340" s="109" t="s">
        <v>381</v>
      </c>
      <c r="B340" s="110" t="s">
        <v>814</v>
      </c>
      <c r="C340" s="110" t="s">
        <v>15</v>
      </c>
      <c r="D340" s="110" t="s">
        <v>11</v>
      </c>
      <c r="E340" s="110"/>
      <c r="F340" s="110"/>
      <c r="G340" s="110"/>
      <c r="H340" s="110" t="s">
        <v>40</v>
      </c>
      <c r="I340" s="109" t="s">
        <v>802</v>
      </c>
      <c r="J340" s="109" t="s">
        <v>325</v>
      </c>
      <c r="K340" s="109" t="s">
        <v>1536</v>
      </c>
    </row>
    <row r="341" spans="1:11" s="109" customFormat="1" x14ac:dyDescent="0.25">
      <c r="A341" s="109" t="s">
        <v>381</v>
      </c>
      <c r="B341" s="110" t="s">
        <v>814</v>
      </c>
      <c r="C341" s="110" t="s">
        <v>16</v>
      </c>
      <c r="D341" s="110" t="s">
        <v>11</v>
      </c>
      <c r="E341" s="110"/>
      <c r="F341" s="110"/>
      <c r="G341" s="110"/>
      <c r="H341" s="110" t="s">
        <v>40</v>
      </c>
      <c r="I341" s="109" t="s">
        <v>802</v>
      </c>
      <c r="J341" s="109" t="s">
        <v>326</v>
      </c>
      <c r="K341" s="109" t="s">
        <v>1537</v>
      </c>
    </row>
    <row r="342" spans="1:11" s="109" customFormat="1" x14ac:dyDescent="0.25">
      <c r="A342" s="109" t="s">
        <v>381</v>
      </c>
      <c r="B342" s="110" t="s">
        <v>814</v>
      </c>
      <c r="C342" s="110" t="s">
        <v>15</v>
      </c>
      <c r="D342" s="110" t="s">
        <v>21</v>
      </c>
      <c r="E342" s="110"/>
      <c r="F342" s="110"/>
      <c r="G342" s="110"/>
      <c r="H342" s="110" t="s">
        <v>40</v>
      </c>
      <c r="I342" s="109" t="s">
        <v>802</v>
      </c>
      <c r="J342" s="109" t="s">
        <v>325</v>
      </c>
      <c r="K342" s="109" t="s">
        <v>1536</v>
      </c>
    </row>
    <row r="343" spans="1:11" s="109" customFormat="1" x14ac:dyDescent="0.25">
      <c r="A343" s="109" t="s">
        <v>381</v>
      </c>
      <c r="B343" s="110" t="s">
        <v>814</v>
      </c>
      <c r="C343" s="110" t="s">
        <v>16</v>
      </c>
      <c r="D343" s="110" t="s">
        <v>21</v>
      </c>
      <c r="E343" s="110"/>
      <c r="F343" s="110"/>
      <c r="G343" s="110"/>
      <c r="H343" s="110" t="s">
        <v>40</v>
      </c>
      <c r="I343" s="109" t="s">
        <v>802</v>
      </c>
      <c r="J343" s="109" t="s">
        <v>326</v>
      </c>
      <c r="K343" s="109" t="s">
        <v>1537</v>
      </c>
    </row>
    <row r="344" spans="1:11" s="109" customFormat="1" x14ac:dyDescent="0.25">
      <c r="A344" s="109" t="s">
        <v>381</v>
      </c>
      <c r="B344" s="110" t="s">
        <v>814</v>
      </c>
      <c r="C344" s="110" t="s">
        <v>15</v>
      </c>
      <c r="D344" s="110" t="s">
        <v>31</v>
      </c>
      <c r="E344" s="110"/>
      <c r="F344" s="110"/>
      <c r="G344" s="110"/>
      <c r="H344" s="110" t="s">
        <v>40</v>
      </c>
      <c r="I344" s="109" t="s">
        <v>802</v>
      </c>
      <c r="J344" s="109" t="s">
        <v>325</v>
      </c>
      <c r="K344" s="109" t="s">
        <v>1536</v>
      </c>
    </row>
    <row r="345" spans="1:11" s="109" customFormat="1" x14ac:dyDescent="0.25">
      <c r="A345" s="109" t="s">
        <v>381</v>
      </c>
      <c r="B345" s="110" t="s">
        <v>814</v>
      </c>
      <c r="C345" s="110" t="s">
        <v>16</v>
      </c>
      <c r="D345" s="110" t="s">
        <v>31</v>
      </c>
      <c r="E345" s="110"/>
      <c r="F345" s="110"/>
      <c r="G345" s="110"/>
      <c r="H345" s="110" t="s">
        <v>40</v>
      </c>
      <c r="I345" s="109" t="s">
        <v>802</v>
      </c>
      <c r="J345" s="109" t="s">
        <v>326</v>
      </c>
      <c r="K345" s="109" t="s">
        <v>1537</v>
      </c>
    </row>
    <row r="346" spans="1:11" s="109" customFormat="1" x14ac:dyDescent="0.25">
      <c r="A346" s="109" t="s">
        <v>381</v>
      </c>
      <c r="B346" s="110" t="s">
        <v>814</v>
      </c>
      <c r="C346" s="110" t="s">
        <v>15</v>
      </c>
      <c r="D346" s="110" t="s">
        <v>23</v>
      </c>
      <c r="E346" s="110"/>
      <c r="F346" s="110"/>
      <c r="G346" s="110"/>
      <c r="H346" s="110" t="s">
        <v>40</v>
      </c>
      <c r="I346" s="109" t="s">
        <v>802</v>
      </c>
      <c r="J346" s="109" t="s">
        <v>325</v>
      </c>
      <c r="K346" s="109" t="s">
        <v>1536</v>
      </c>
    </row>
    <row r="347" spans="1:11" s="109" customFormat="1" x14ac:dyDescent="0.25">
      <c r="A347" s="109" t="s">
        <v>381</v>
      </c>
      <c r="B347" s="110" t="s">
        <v>814</v>
      </c>
      <c r="C347" s="110" t="s">
        <v>16</v>
      </c>
      <c r="D347" s="110" t="s">
        <v>23</v>
      </c>
      <c r="E347" s="110"/>
      <c r="F347" s="110"/>
      <c r="G347" s="110"/>
      <c r="H347" s="110" t="s">
        <v>40</v>
      </c>
      <c r="I347" s="109" t="s">
        <v>802</v>
      </c>
      <c r="J347" s="109" t="s">
        <v>326</v>
      </c>
      <c r="K347" s="109" t="s">
        <v>1537</v>
      </c>
    </row>
    <row r="348" spans="1:11" x14ac:dyDescent="0.25">
      <c r="A348" s="109" t="s">
        <v>381</v>
      </c>
      <c r="B348" s="103" t="s">
        <v>826</v>
      </c>
      <c r="C348" s="103"/>
      <c r="E348" s="103"/>
      <c r="F348" s="103" t="s">
        <v>827</v>
      </c>
      <c r="G348" s="110"/>
      <c r="H348" s="103" t="s">
        <v>40</v>
      </c>
      <c r="I348" s="109" t="s">
        <v>360</v>
      </c>
      <c r="J348" s="109" t="s">
        <v>357</v>
      </c>
      <c r="K348" s="109" t="s">
        <v>1538</v>
      </c>
    </row>
    <row r="349" spans="1:11" x14ac:dyDescent="0.25">
      <c r="A349" s="109" t="s">
        <v>381</v>
      </c>
      <c r="B349" s="103" t="s">
        <v>826</v>
      </c>
      <c r="C349" s="103"/>
      <c r="E349" s="103"/>
      <c r="F349" s="103" t="s">
        <v>828</v>
      </c>
      <c r="G349" s="110"/>
      <c r="H349" s="103" t="s">
        <v>40</v>
      </c>
      <c r="I349" s="109" t="s">
        <v>360</v>
      </c>
      <c r="J349" s="109" t="s">
        <v>358</v>
      </c>
      <c r="K349" s="109" t="s">
        <v>1539</v>
      </c>
    </row>
    <row r="350" spans="1:11" x14ac:dyDescent="0.25">
      <c r="A350" s="109" t="s">
        <v>836</v>
      </c>
      <c r="B350" s="20" t="s">
        <v>6</v>
      </c>
      <c r="C350" s="20" t="s">
        <v>15</v>
      </c>
      <c r="D350" s="103" t="s">
        <v>33</v>
      </c>
      <c r="E350" s="20"/>
      <c r="F350" s="20"/>
      <c r="G350" s="110"/>
      <c r="H350" s="20" t="s">
        <v>90</v>
      </c>
      <c r="I350" s="109" t="s">
        <v>322</v>
      </c>
      <c r="J350" s="109" t="s">
        <v>323</v>
      </c>
      <c r="K350" s="109" t="s">
        <v>1540</v>
      </c>
    </row>
    <row r="351" spans="1:11" x14ac:dyDescent="0.25">
      <c r="A351" s="109" t="s">
        <v>836</v>
      </c>
      <c r="B351" s="20" t="s">
        <v>6</v>
      </c>
      <c r="C351" s="20" t="s">
        <v>16</v>
      </c>
      <c r="D351" s="103" t="s">
        <v>33</v>
      </c>
      <c r="E351" s="20"/>
      <c r="F351" s="20"/>
      <c r="G351" s="110"/>
      <c r="H351" s="106" t="s">
        <v>90</v>
      </c>
      <c r="I351" s="109" t="s">
        <v>322</v>
      </c>
      <c r="J351" s="109" t="s">
        <v>324</v>
      </c>
      <c r="K351" s="109" t="s">
        <v>1541</v>
      </c>
    </row>
    <row r="352" spans="1:11" x14ac:dyDescent="0.25">
      <c r="A352" s="109" t="s">
        <v>836</v>
      </c>
      <c r="B352" s="20" t="s">
        <v>6</v>
      </c>
      <c r="C352" s="20" t="s">
        <v>15</v>
      </c>
      <c r="D352" s="103" t="s">
        <v>49</v>
      </c>
      <c r="E352" s="20"/>
      <c r="F352" s="20"/>
      <c r="G352" s="110"/>
      <c r="H352" s="106" t="s">
        <v>90</v>
      </c>
      <c r="I352" s="109" t="s">
        <v>322</v>
      </c>
      <c r="J352" s="109" t="s">
        <v>325</v>
      </c>
      <c r="K352" s="109" t="s">
        <v>1542</v>
      </c>
    </row>
    <row r="353" spans="1:11" x14ac:dyDescent="0.25">
      <c r="A353" s="109" t="s">
        <v>836</v>
      </c>
      <c r="B353" s="20" t="s">
        <v>6</v>
      </c>
      <c r="C353" s="20" t="s">
        <v>16</v>
      </c>
      <c r="D353" s="103" t="s">
        <v>49</v>
      </c>
      <c r="E353" s="20"/>
      <c r="F353" s="20"/>
      <c r="G353" s="110"/>
      <c r="H353" s="106" t="s">
        <v>90</v>
      </c>
      <c r="I353" s="109" t="s">
        <v>322</v>
      </c>
      <c r="J353" s="109" t="s">
        <v>326</v>
      </c>
      <c r="K353" s="109" t="s">
        <v>1543</v>
      </c>
    </row>
    <row r="354" spans="1:11" x14ac:dyDescent="0.25">
      <c r="A354" s="109" t="s">
        <v>836</v>
      </c>
      <c r="B354" s="107" t="s">
        <v>837</v>
      </c>
      <c r="E354" s="20"/>
      <c r="F354" s="108" t="s">
        <v>838</v>
      </c>
      <c r="G354" s="110"/>
      <c r="H354" s="110" t="s">
        <v>90</v>
      </c>
      <c r="I354" s="109" t="s">
        <v>389</v>
      </c>
      <c r="J354" s="109" t="s">
        <v>382</v>
      </c>
      <c r="K354" s="109" t="s">
        <v>1544</v>
      </c>
    </row>
    <row r="355" spans="1:11" x14ac:dyDescent="0.25">
      <c r="A355" s="109" t="s">
        <v>836</v>
      </c>
      <c r="B355" s="107" t="s">
        <v>837</v>
      </c>
      <c r="E355" s="20"/>
      <c r="F355" s="108" t="s">
        <v>839</v>
      </c>
      <c r="G355" s="110"/>
      <c r="H355" s="110" t="s">
        <v>90</v>
      </c>
      <c r="I355" s="109" t="s">
        <v>389</v>
      </c>
      <c r="J355" s="109" t="s">
        <v>383</v>
      </c>
      <c r="K355" s="109" t="s">
        <v>1545</v>
      </c>
    </row>
    <row r="356" spans="1:11" x14ac:dyDescent="0.25">
      <c r="A356" s="109" t="s">
        <v>836</v>
      </c>
      <c r="B356" s="107" t="s">
        <v>837</v>
      </c>
      <c r="E356" s="20"/>
      <c r="F356" s="108" t="s">
        <v>840</v>
      </c>
      <c r="G356" s="110"/>
      <c r="H356" s="110" t="s">
        <v>90</v>
      </c>
      <c r="I356" s="109" t="s">
        <v>389</v>
      </c>
      <c r="J356" s="109" t="s">
        <v>384</v>
      </c>
      <c r="K356" s="109" t="s">
        <v>1546</v>
      </c>
    </row>
    <row r="357" spans="1:11" x14ac:dyDescent="0.25">
      <c r="A357" s="109" t="s">
        <v>836</v>
      </c>
      <c r="B357" s="109"/>
      <c r="C357" s="109"/>
      <c r="D357" s="109"/>
      <c r="E357" s="109"/>
      <c r="F357" s="20"/>
      <c r="G357" s="110"/>
      <c r="H357" s="20"/>
      <c r="I357" s="109" t="s">
        <v>390</v>
      </c>
      <c r="J357" s="109" t="s">
        <v>385</v>
      </c>
      <c r="K357" s="109" t="s">
        <v>1547</v>
      </c>
    </row>
    <row r="358" spans="1:11" x14ac:dyDescent="0.25">
      <c r="A358" s="109" t="s">
        <v>836</v>
      </c>
      <c r="B358" s="109"/>
      <c r="C358" s="109"/>
      <c r="D358" s="109"/>
      <c r="E358" s="109"/>
      <c r="F358" s="20"/>
      <c r="G358" s="110"/>
      <c r="H358" s="20"/>
      <c r="I358" s="109" t="s">
        <v>390</v>
      </c>
      <c r="J358" s="109" t="s">
        <v>386</v>
      </c>
      <c r="K358" s="109" t="s">
        <v>1548</v>
      </c>
    </row>
    <row r="359" spans="1:11" x14ac:dyDescent="0.25">
      <c r="A359" s="109" t="s">
        <v>836</v>
      </c>
      <c r="B359" s="20"/>
      <c r="C359" s="20"/>
      <c r="E359" s="20"/>
      <c r="F359" s="20"/>
      <c r="G359" s="110"/>
      <c r="H359" s="20"/>
      <c r="I359" s="109" t="s">
        <v>390</v>
      </c>
      <c r="J359" s="109" t="s">
        <v>387</v>
      </c>
      <c r="K359" s="109" t="s">
        <v>1549</v>
      </c>
    </row>
    <row r="360" spans="1:11" x14ac:dyDescent="0.25">
      <c r="A360" s="109" t="s">
        <v>836</v>
      </c>
      <c r="B360" s="20"/>
      <c r="C360" s="20"/>
      <c r="E360" s="20"/>
      <c r="F360" s="20"/>
      <c r="G360" s="110"/>
      <c r="H360" s="20"/>
      <c r="I360" s="109" t="s">
        <v>390</v>
      </c>
      <c r="J360" s="109" t="s">
        <v>388</v>
      </c>
      <c r="K360" s="109" t="s">
        <v>1550</v>
      </c>
    </row>
    <row r="361" spans="1:11" x14ac:dyDescent="0.25">
      <c r="A361" s="109" t="s">
        <v>20</v>
      </c>
      <c r="B361" s="20" t="s">
        <v>17</v>
      </c>
      <c r="C361" s="20"/>
      <c r="D361" s="103" t="s">
        <v>11</v>
      </c>
      <c r="E361" s="20"/>
      <c r="F361" s="20"/>
      <c r="G361" s="110"/>
      <c r="H361" s="106" t="s">
        <v>40</v>
      </c>
      <c r="I361" s="109" t="s">
        <v>796</v>
      </c>
      <c r="J361" s="109" t="s">
        <v>310</v>
      </c>
      <c r="K361" s="109" t="s">
        <v>1551</v>
      </c>
    </row>
    <row r="362" spans="1:11" x14ac:dyDescent="0.25">
      <c r="A362" s="109" t="s">
        <v>20</v>
      </c>
      <c r="B362" s="20" t="s">
        <v>17</v>
      </c>
      <c r="C362" s="20"/>
      <c r="D362" s="103" t="s">
        <v>21</v>
      </c>
      <c r="E362" s="20"/>
      <c r="F362" s="20"/>
      <c r="G362" s="110"/>
      <c r="H362" s="106" t="s">
        <v>40</v>
      </c>
      <c r="I362" s="109" t="s">
        <v>796</v>
      </c>
      <c r="J362" s="109" t="s">
        <v>311</v>
      </c>
      <c r="K362" s="109" t="s">
        <v>1552</v>
      </c>
    </row>
    <row r="363" spans="1:11" x14ac:dyDescent="0.25">
      <c r="A363" s="109" t="s">
        <v>20</v>
      </c>
      <c r="B363" s="20" t="s">
        <v>17</v>
      </c>
      <c r="C363" s="20"/>
      <c r="D363" s="103" t="s">
        <v>22</v>
      </c>
      <c r="E363" s="20"/>
      <c r="F363" s="20"/>
      <c r="G363" s="110"/>
      <c r="H363" s="106" t="s">
        <v>40</v>
      </c>
      <c r="I363" s="109" t="s">
        <v>796</v>
      </c>
      <c r="J363" s="109" t="s">
        <v>312</v>
      </c>
      <c r="K363" s="109" t="s">
        <v>1553</v>
      </c>
    </row>
    <row r="364" spans="1:11" x14ac:dyDescent="0.25">
      <c r="A364" s="109" t="s">
        <v>20</v>
      </c>
      <c r="B364" s="20" t="s">
        <v>17</v>
      </c>
      <c r="C364" s="20"/>
      <c r="D364" s="103" t="s">
        <v>1146</v>
      </c>
      <c r="E364" s="20"/>
      <c r="F364" s="20"/>
      <c r="G364" s="110"/>
      <c r="H364" s="106" t="s">
        <v>40</v>
      </c>
      <c r="I364" s="109" t="s">
        <v>797</v>
      </c>
      <c r="J364" s="109" t="s">
        <v>391</v>
      </c>
      <c r="K364" s="109" t="s">
        <v>1554</v>
      </c>
    </row>
    <row r="365" spans="1:11" x14ac:dyDescent="0.25">
      <c r="A365" s="109" t="s">
        <v>20</v>
      </c>
      <c r="B365" s="20" t="s">
        <v>17</v>
      </c>
      <c r="C365" s="20"/>
      <c r="D365" s="103" t="s">
        <v>835</v>
      </c>
      <c r="H365" s="106" t="s">
        <v>40</v>
      </c>
      <c r="I365" s="109" t="s">
        <v>797</v>
      </c>
      <c r="J365" s="109" t="s">
        <v>392</v>
      </c>
      <c r="K365" s="109" t="s">
        <v>1555</v>
      </c>
    </row>
    <row r="366" spans="1:11" x14ac:dyDescent="0.25">
      <c r="A366" s="109" t="s">
        <v>20</v>
      </c>
      <c r="B366" t="s">
        <v>17</v>
      </c>
      <c r="D366" s="103" t="s">
        <v>10</v>
      </c>
      <c r="H366" s="106" t="s">
        <v>40</v>
      </c>
      <c r="I366" s="109" t="s">
        <v>797</v>
      </c>
      <c r="J366" s="109" t="s">
        <v>211</v>
      </c>
      <c r="K366" s="109" t="s">
        <v>1556</v>
      </c>
    </row>
    <row r="367" spans="1:11" x14ac:dyDescent="0.25">
      <c r="A367" s="109" t="s">
        <v>20</v>
      </c>
      <c r="H367" s="106"/>
      <c r="I367" s="109" t="s">
        <v>797</v>
      </c>
      <c r="J367" s="109" t="s">
        <v>313</v>
      </c>
      <c r="K367" s="109" t="s">
        <v>1557</v>
      </c>
    </row>
    <row r="368" spans="1:11" x14ac:dyDescent="0.25">
      <c r="A368" s="109" t="s">
        <v>20</v>
      </c>
      <c r="H368" s="106"/>
      <c r="I368" s="109" t="s">
        <v>797</v>
      </c>
      <c r="J368" s="109" t="s">
        <v>314</v>
      </c>
      <c r="K368" s="109" t="s">
        <v>1558</v>
      </c>
    </row>
    <row r="369" spans="1:11" x14ac:dyDescent="0.25">
      <c r="A369" s="109" t="s">
        <v>20</v>
      </c>
      <c r="H369" s="106"/>
      <c r="I369" s="109" t="s">
        <v>797</v>
      </c>
      <c r="J369" s="109" t="s">
        <v>315</v>
      </c>
      <c r="K369" s="109" t="s">
        <v>1559</v>
      </c>
    </row>
    <row r="370" spans="1:11" x14ac:dyDescent="0.25">
      <c r="A370" s="109" t="s">
        <v>20</v>
      </c>
      <c r="B370" t="s">
        <v>17</v>
      </c>
      <c r="D370" s="103" t="s">
        <v>23</v>
      </c>
      <c r="H370" s="106" t="s">
        <v>40</v>
      </c>
      <c r="I370" s="109" t="s">
        <v>797</v>
      </c>
      <c r="J370" s="109" t="s">
        <v>316</v>
      </c>
      <c r="K370" s="109" t="s">
        <v>1560</v>
      </c>
    </row>
    <row r="371" spans="1:11" x14ac:dyDescent="0.25">
      <c r="A371" s="109" t="s">
        <v>20</v>
      </c>
      <c r="B371" s="104" t="s">
        <v>24</v>
      </c>
      <c r="F371" s="105" t="s">
        <v>25</v>
      </c>
      <c r="H371" s="106" t="s">
        <v>40</v>
      </c>
      <c r="I371" s="109" t="s">
        <v>24</v>
      </c>
      <c r="J371" s="109" t="s">
        <v>393</v>
      </c>
      <c r="K371" s="109" t="s">
        <v>1561</v>
      </c>
    </row>
    <row r="372" spans="1:11" x14ac:dyDescent="0.25">
      <c r="A372" s="109" t="s">
        <v>20</v>
      </c>
      <c r="B372" s="104" t="s">
        <v>24</v>
      </c>
      <c r="F372" s="105" t="s">
        <v>26</v>
      </c>
      <c r="H372" s="106" t="s">
        <v>40</v>
      </c>
      <c r="I372" s="109" t="s">
        <v>24</v>
      </c>
      <c r="J372" s="109" t="s">
        <v>394</v>
      </c>
      <c r="K372" s="109" t="s">
        <v>1562</v>
      </c>
    </row>
  </sheetData>
  <autoFilter ref="A1:K372"/>
  <sortState ref="D213:D219">
    <sortCondition ref="D213"/>
  </sortState>
  <conditionalFormatting sqref="K1">
    <cfRule type="duplicateValues" dxfId="119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2018.2.8</v>
      </c>
      <c r="F2" s="29" t="s">
        <v>75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43139</v>
      </c>
      <c r="F8" s="29"/>
    </row>
    <row r="9" spans="2:6" x14ac:dyDescent="0.25">
      <c r="B9" s="29" t="s">
        <v>73</v>
      </c>
      <c r="D9" s="17" t="str">
        <f>"Updated: "&amp;TEXT(D8,"mmmm d")</f>
        <v>Updated: February 8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810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8</v>
      </c>
      <c r="O1" s="17" t="s">
        <v>55</v>
      </c>
      <c r="P1" s="17" t="s">
        <v>92</v>
      </c>
      <c r="X1" s="22"/>
      <c r="Y1" s="23"/>
      <c r="Z1" s="17"/>
      <c r="AB1" s="143" t="s">
        <v>1563</v>
      </c>
      <c r="AC1" s="143" t="s">
        <v>1564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44" t="s">
        <v>1565</v>
      </c>
      <c r="AC2" s="144" t="s">
        <v>1566</v>
      </c>
    </row>
    <row r="3" spans="14:29" x14ac:dyDescent="0.25">
      <c r="O3" s="17" t="s">
        <v>1147</v>
      </c>
      <c r="X3" s="22"/>
      <c r="Y3" s="24"/>
      <c r="Z3" s="17"/>
      <c r="AB3" s="144" t="s">
        <v>1567</v>
      </c>
      <c r="AC3" s="144" t="s">
        <v>1568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4" t="s">
        <v>61</v>
      </c>
      <c r="AC4" s="144" t="s">
        <v>1569</v>
      </c>
    </row>
    <row r="5" spans="14:29" x14ac:dyDescent="0.25">
      <c r="X5" s="17"/>
      <c r="Y5" s="17"/>
      <c r="Z5" s="17"/>
      <c r="AB5" s="144" t="s">
        <v>1570</v>
      </c>
      <c r="AC5" s="144" t="s">
        <v>1571</v>
      </c>
    </row>
    <row r="6" spans="14:29" x14ac:dyDescent="0.25">
      <c r="X6" s="17"/>
      <c r="Y6" s="17"/>
      <c r="Z6" s="17"/>
      <c r="AB6" s="144" t="s">
        <v>62</v>
      </c>
      <c r="AC6" s="144" t="s">
        <v>1572</v>
      </c>
    </row>
    <row r="7" spans="14:29" x14ac:dyDescent="0.25">
      <c r="X7" s="17"/>
      <c r="Y7" s="17"/>
      <c r="Z7" s="17"/>
      <c r="AB7" s="144" t="s">
        <v>1573</v>
      </c>
      <c r="AC7" s="144" t="s">
        <v>1574</v>
      </c>
    </row>
    <row r="8" spans="14:29" x14ac:dyDescent="0.25">
      <c r="X8" s="17"/>
      <c r="Y8" s="17"/>
      <c r="Z8" s="17"/>
      <c r="AB8" s="144" t="s">
        <v>64</v>
      </c>
      <c r="AC8" s="144" t="s">
        <v>1575</v>
      </c>
    </row>
    <row r="9" spans="14:29" x14ac:dyDescent="0.25">
      <c r="X9" s="17"/>
      <c r="Y9" s="17"/>
      <c r="Z9" s="17"/>
      <c r="AB9" s="144" t="s">
        <v>1576</v>
      </c>
      <c r="AC9" s="144" t="s">
        <v>1577</v>
      </c>
    </row>
    <row r="10" spans="14:29" x14ac:dyDescent="0.25">
      <c r="AB10" s="144" t="s">
        <v>1578</v>
      </c>
      <c r="AC10" s="144" t="s">
        <v>1579</v>
      </c>
    </row>
    <row r="11" spans="14:29" x14ac:dyDescent="0.25">
      <c r="AB11" s="144" t="s">
        <v>1580</v>
      </c>
      <c r="AC11" s="144" t="s">
        <v>1581</v>
      </c>
    </row>
    <row r="12" spans="14:29" x14ac:dyDescent="0.25">
      <c r="AB12" s="144" t="s">
        <v>67</v>
      </c>
      <c r="AC12" s="144" t="s">
        <v>1582</v>
      </c>
    </row>
    <row r="13" spans="14:29" x14ac:dyDescent="0.25">
      <c r="AB13" s="144" t="s">
        <v>68</v>
      </c>
      <c r="AC13" s="144" t="s">
        <v>1583</v>
      </c>
    </row>
    <row r="14" spans="14:29" x14ac:dyDescent="0.25">
      <c r="AB14" s="144" t="s">
        <v>1584</v>
      </c>
      <c r="AC14" s="144" t="s">
        <v>1585</v>
      </c>
    </row>
    <row r="15" spans="14:29" x14ac:dyDescent="0.25">
      <c r="AB15" s="144" t="s">
        <v>70</v>
      </c>
      <c r="AC15" s="144" t="s">
        <v>1586</v>
      </c>
    </row>
    <row r="16" spans="14:29" x14ac:dyDescent="0.25">
      <c r="AB16" s="144" t="s">
        <v>1587</v>
      </c>
      <c r="AC16" s="144" t="s">
        <v>1588</v>
      </c>
    </row>
    <row r="17" spans="28:29" x14ac:dyDescent="0.25">
      <c r="AB17" s="144" t="s">
        <v>72</v>
      </c>
      <c r="AC17" s="144" t="s">
        <v>1589</v>
      </c>
    </row>
    <row r="18" spans="28:29" x14ac:dyDescent="0.25">
      <c r="AB18" s="144" t="s">
        <v>1590</v>
      </c>
      <c r="AC18" s="144" t="s">
        <v>1591</v>
      </c>
    </row>
    <row r="19" spans="28:29" x14ac:dyDescent="0.25">
      <c r="AB19" s="144" t="s">
        <v>1592</v>
      </c>
      <c r="AC19" s="144" t="s">
        <v>1593</v>
      </c>
    </row>
    <row r="20" spans="28:29" x14ac:dyDescent="0.25">
      <c r="AB20" s="144" t="s">
        <v>73</v>
      </c>
      <c r="AC20" s="144" t="s">
        <v>1594</v>
      </c>
    </row>
    <row r="21" spans="28:29" x14ac:dyDescent="0.25">
      <c r="AB21" s="144" t="s">
        <v>74</v>
      </c>
      <c r="AC21" s="144" t="s">
        <v>1595</v>
      </c>
    </row>
    <row r="22" spans="28:29" x14ac:dyDescent="0.25">
      <c r="AB22" s="144" t="s">
        <v>75</v>
      </c>
      <c r="AC22" s="144" t="s">
        <v>1596</v>
      </c>
    </row>
    <row r="23" spans="28:29" x14ac:dyDescent="0.25">
      <c r="AB23" s="144" t="s">
        <v>76</v>
      </c>
      <c r="AC23" s="144" t="s">
        <v>1597</v>
      </c>
    </row>
    <row r="24" spans="28:29" x14ac:dyDescent="0.25">
      <c r="AB24" s="144" t="s">
        <v>77</v>
      </c>
      <c r="AC24" s="144" t="s">
        <v>1598</v>
      </c>
    </row>
    <row r="25" spans="28:29" x14ac:dyDescent="0.25">
      <c r="AB25" s="144" t="s">
        <v>78</v>
      </c>
      <c r="AC25" s="144" t="s">
        <v>1599</v>
      </c>
    </row>
    <row r="26" spans="28:29" x14ac:dyDescent="0.25">
      <c r="AB26" s="144" t="s">
        <v>1600</v>
      </c>
      <c r="AC26" s="144" t="s">
        <v>1601</v>
      </c>
    </row>
    <row r="27" spans="28:29" x14ac:dyDescent="0.25">
      <c r="AB27" s="144" t="s">
        <v>79</v>
      </c>
      <c r="AC27" s="144" t="s">
        <v>1602</v>
      </c>
    </row>
    <row r="28" spans="28:29" x14ac:dyDescent="0.25">
      <c r="AB28" s="144" t="s">
        <v>80</v>
      </c>
      <c r="AC28" s="144" t="s">
        <v>1603</v>
      </c>
    </row>
    <row r="29" spans="28:29" x14ac:dyDescent="0.25">
      <c r="AB29" s="144" t="s">
        <v>81</v>
      </c>
      <c r="AC29" s="144" t="s">
        <v>1604</v>
      </c>
    </row>
    <row r="30" spans="28:29" x14ac:dyDescent="0.25">
      <c r="AB30" s="144" t="s">
        <v>82</v>
      </c>
      <c r="AC30" s="144" t="s">
        <v>1605</v>
      </c>
    </row>
    <row r="31" spans="28:29" x14ac:dyDescent="0.25">
      <c r="AB31" s="144" t="s">
        <v>83</v>
      </c>
      <c r="AC31" s="144" t="s">
        <v>1606</v>
      </c>
    </row>
    <row r="32" spans="28:29" x14ac:dyDescent="0.25">
      <c r="AB32" s="144" t="s">
        <v>84</v>
      </c>
      <c r="AC32" s="144" t="s">
        <v>1607</v>
      </c>
    </row>
    <row r="33" spans="28:29" x14ac:dyDescent="0.25">
      <c r="AB33" s="144" t="s">
        <v>85</v>
      </c>
      <c r="AC33" s="144" t="s">
        <v>1608</v>
      </c>
    </row>
    <row r="34" spans="28:29" x14ac:dyDescent="0.25">
      <c r="AB34" s="144" t="s">
        <v>86</v>
      </c>
      <c r="AC34" s="144" t="s">
        <v>1609</v>
      </c>
    </row>
    <row r="35" spans="28:29" x14ac:dyDescent="0.25">
      <c r="AB35" s="144" t="s">
        <v>87</v>
      </c>
      <c r="AC35" s="144" t="s">
        <v>1610</v>
      </c>
    </row>
    <row r="36" spans="28:29" x14ac:dyDescent="0.25">
      <c r="AB36" s="144" t="s">
        <v>88</v>
      </c>
      <c r="AC36" s="144" t="s">
        <v>1611</v>
      </c>
    </row>
    <row r="37" spans="28:29" x14ac:dyDescent="0.25">
      <c r="AB37" s="144"/>
      <c r="AC37" s="14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C7" sqref="C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68" t="s">
        <v>1107</v>
      </c>
      <c r="C1" s="2" t="s">
        <v>0</v>
      </c>
      <c r="G1" s="169" t="s">
        <v>101</v>
      </c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1"/>
      <c r="DP1" s="169" t="s">
        <v>102</v>
      </c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  <c r="GQ1" s="170"/>
      <c r="GR1" s="170"/>
      <c r="GS1" s="170"/>
      <c r="GT1" s="170"/>
      <c r="GU1" s="170"/>
      <c r="GV1" s="170"/>
      <c r="GW1" s="170"/>
      <c r="GX1" s="170"/>
      <c r="GY1" s="170"/>
      <c r="GZ1" s="170"/>
      <c r="HA1" s="170"/>
      <c r="HB1" s="170"/>
      <c r="HC1" s="170"/>
      <c r="HD1" s="170"/>
      <c r="HE1" s="170"/>
      <c r="HF1" s="170"/>
      <c r="HG1" s="170"/>
      <c r="HH1" s="170"/>
      <c r="HI1" s="170"/>
      <c r="HJ1" s="170"/>
      <c r="HK1" s="170"/>
      <c r="HL1" s="170"/>
      <c r="HM1" s="170"/>
      <c r="HN1" s="170"/>
      <c r="HO1" s="170"/>
      <c r="HP1" s="170"/>
      <c r="HQ1" s="170"/>
      <c r="HR1" s="170"/>
      <c r="HS1" s="170"/>
      <c r="HT1" s="170"/>
      <c r="HU1" s="170"/>
      <c r="HV1" s="170"/>
      <c r="HW1" s="170"/>
      <c r="HX1" s="170"/>
    </row>
    <row r="2" spans="1:232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785</v>
      </c>
      <c r="H3" s="113" t="s">
        <v>803</v>
      </c>
      <c r="I3" s="113" t="s">
        <v>381</v>
      </c>
      <c r="J3" s="113" t="s">
        <v>804</v>
      </c>
      <c r="K3" s="113" t="s">
        <v>5</v>
      </c>
      <c r="L3" s="113" t="s">
        <v>778</v>
      </c>
      <c r="M3" s="113" t="s">
        <v>12</v>
      </c>
      <c r="N3" s="113" t="s">
        <v>782</v>
      </c>
      <c r="O3" s="113" t="s">
        <v>784</v>
      </c>
      <c r="P3" s="113" t="s">
        <v>768</v>
      </c>
      <c r="Q3" s="113" t="s">
        <v>32</v>
      </c>
      <c r="R3" s="113" t="s">
        <v>848</v>
      </c>
      <c r="S3" s="113" t="s">
        <v>849</v>
      </c>
      <c r="T3" s="113" t="s">
        <v>1148</v>
      </c>
      <c r="U3" s="113" t="s">
        <v>269</v>
      </c>
      <c r="V3" s="113" t="s">
        <v>850</v>
      </c>
      <c r="W3" s="113" t="s">
        <v>851</v>
      </c>
      <c r="X3" s="113" t="s">
        <v>39</v>
      </c>
      <c r="Y3" s="113" t="s">
        <v>1125</v>
      </c>
      <c r="Z3" s="113" t="s">
        <v>1126</v>
      </c>
      <c r="AA3" s="113" t="s">
        <v>1127</v>
      </c>
      <c r="AB3" s="113" t="s">
        <v>18</v>
      </c>
      <c r="AC3" s="113" t="s">
        <v>1149</v>
      </c>
      <c r="AD3" s="113" t="s">
        <v>1150</v>
      </c>
      <c r="AE3" s="113" t="s">
        <v>1151</v>
      </c>
      <c r="AF3" s="113" t="s">
        <v>19</v>
      </c>
      <c r="AG3" s="113" t="s">
        <v>1152</v>
      </c>
      <c r="AH3" s="113" t="s">
        <v>1153</v>
      </c>
      <c r="AI3" s="113" t="s">
        <v>787</v>
      </c>
      <c r="AJ3" s="113" t="s">
        <v>852</v>
      </c>
      <c r="AK3" s="113" t="s">
        <v>328</v>
      </c>
      <c r="AL3" s="113" t="s">
        <v>1154</v>
      </c>
      <c r="AM3" s="113" t="s">
        <v>1128</v>
      </c>
      <c r="AN3" s="113" t="s">
        <v>1129</v>
      </c>
      <c r="AO3" s="113" t="s">
        <v>1155</v>
      </c>
      <c r="AP3" s="113" t="s">
        <v>853</v>
      </c>
      <c r="AQ3" s="113" t="s">
        <v>854</v>
      </c>
      <c r="AR3" s="113" t="s">
        <v>855</v>
      </c>
      <c r="AS3" s="113" t="s">
        <v>856</v>
      </c>
      <c r="AT3" s="113" t="s">
        <v>857</v>
      </c>
      <c r="AU3" s="113" t="s">
        <v>858</v>
      </c>
      <c r="AV3" s="113" t="s">
        <v>859</v>
      </c>
      <c r="AW3" s="113" t="s">
        <v>860</v>
      </c>
      <c r="AX3" s="113" t="s">
        <v>861</v>
      </c>
      <c r="AY3" s="113" t="s">
        <v>862</v>
      </c>
      <c r="AZ3" s="113" t="s">
        <v>863</v>
      </c>
      <c r="BA3" s="113" t="s">
        <v>864</v>
      </c>
      <c r="BB3" s="113" t="s">
        <v>865</v>
      </c>
      <c r="BC3" s="113" t="s">
        <v>866</v>
      </c>
      <c r="BD3" s="113" t="s">
        <v>867</v>
      </c>
      <c r="BE3" s="113" t="s">
        <v>868</v>
      </c>
      <c r="BF3" s="113" t="s">
        <v>869</v>
      </c>
      <c r="BG3" s="113" t="s">
        <v>870</v>
      </c>
      <c r="BH3" s="113" t="s">
        <v>871</v>
      </c>
      <c r="BI3" s="113" t="s">
        <v>872</v>
      </c>
      <c r="BJ3" s="113" t="s">
        <v>873</v>
      </c>
      <c r="BK3" s="113" t="s">
        <v>874</v>
      </c>
      <c r="BL3" s="113" t="s">
        <v>875</v>
      </c>
      <c r="BM3" s="113" t="s">
        <v>876</v>
      </c>
      <c r="BN3" s="113" t="s">
        <v>877</v>
      </c>
      <c r="BO3" s="113" t="s">
        <v>878</v>
      </c>
      <c r="BP3" s="113" t="s">
        <v>879</v>
      </c>
      <c r="BQ3" s="113" t="s">
        <v>880</v>
      </c>
      <c r="BR3" s="113" t="s">
        <v>881</v>
      </c>
      <c r="BS3" s="113" t="s">
        <v>882</v>
      </c>
      <c r="BT3" s="113" t="s">
        <v>883</v>
      </c>
      <c r="BU3" s="113" t="s">
        <v>884</v>
      </c>
      <c r="BV3" s="113" t="s">
        <v>885</v>
      </c>
      <c r="BW3" s="113" t="s">
        <v>886</v>
      </c>
      <c r="BX3" s="113" t="s">
        <v>887</v>
      </c>
      <c r="BY3" s="113" t="s">
        <v>888</v>
      </c>
      <c r="BZ3" s="113" t="s">
        <v>889</v>
      </c>
      <c r="CA3" s="113" t="s">
        <v>890</v>
      </c>
      <c r="CB3" s="113" t="s">
        <v>891</v>
      </c>
      <c r="CC3" s="113" t="s">
        <v>892</v>
      </c>
      <c r="CD3" s="113" t="s">
        <v>893</v>
      </c>
      <c r="CE3" s="113" t="s">
        <v>894</v>
      </c>
      <c r="CF3" s="113" t="s">
        <v>895</v>
      </c>
      <c r="CG3" s="113" t="s">
        <v>896</v>
      </c>
      <c r="CH3" s="113" t="s">
        <v>897</v>
      </c>
      <c r="CI3" s="113" t="s">
        <v>145</v>
      </c>
      <c r="CJ3" s="113" t="s">
        <v>20</v>
      </c>
      <c r="CK3" s="113" t="s">
        <v>794</v>
      </c>
      <c r="CL3" s="113" t="s">
        <v>27</v>
      </c>
      <c r="CM3" s="113" t="s">
        <v>898</v>
      </c>
      <c r="CN3" s="113" t="s">
        <v>899</v>
      </c>
      <c r="CO3" s="113" t="s">
        <v>751</v>
      </c>
      <c r="CP3" s="113" t="s">
        <v>208</v>
      </c>
      <c r="CQ3" s="113" t="s">
        <v>756</v>
      </c>
      <c r="CR3" s="113" t="s">
        <v>757</v>
      </c>
      <c r="CS3" s="113" t="s">
        <v>758</v>
      </c>
      <c r="CT3" s="113" t="s">
        <v>759</v>
      </c>
      <c r="CU3" s="113" t="s">
        <v>760</v>
      </c>
      <c r="CV3" s="113" t="s">
        <v>900</v>
      </c>
      <c r="CW3" s="113" t="s">
        <v>901</v>
      </c>
      <c r="CX3" s="113" t="s">
        <v>902</v>
      </c>
      <c r="CY3" s="113" t="s">
        <v>903</v>
      </c>
      <c r="CZ3" s="113" t="s">
        <v>904</v>
      </c>
      <c r="DA3" s="113" t="s">
        <v>905</v>
      </c>
      <c r="DB3" s="113" t="s">
        <v>906</v>
      </c>
      <c r="DC3" s="113" t="s">
        <v>907</v>
      </c>
      <c r="DD3" s="113" t="s">
        <v>908</v>
      </c>
      <c r="DE3" s="113" t="s">
        <v>909</v>
      </c>
      <c r="DF3" s="113" t="s">
        <v>910</v>
      </c>
      <c r="DG3" s="113" t="s">
        <v>911</v>
      </c>
      <c r="DH3" s="113" t="s">
        <v>912</v>
      </c>
      <c r="DI3" s="113" t="s">
        <v>913</v>
      </c>
      <c r="DJ3" s="113" t="s">
        <v>914</v>
      </c>
      <c r="DK3" s="113" t="s">
        <v>914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785</v>
      </c>
      <c r="DQ3" s="113" t="s">
        <v>803</v>
      </c>
      <c r="DR3" s="113" t="s">
        <v>381</v>
      </c>
      <c r="DS3" s="113" t="s">
        <v>804</v>
      </c>
      <c r="DT3" s="113" t="s">
        <v>5</v>
      </c>
      <c r="DU3" s="113" t="s">
        <v>778</v>
      </c>
      <c r="DV3" s="113" t="s">
        <v>12</v>
      </c>
      <c r="DW3" s="113" t="s">
        <v>782</v>
      </c>
      <c r="DX3" s="113" t="s">
        <v>784</v>
      </c>
      <c r="DY3" s="113" t="s">
        <v>768</v>
      </c>
      <c r="DZ3" s="113" t="s">
        <v>32</v>
      </c>
      <c r="EA3" s="113" t="s">
        <v>848</v>
      </c>
      <c r="EB3" s="113" t="s">
        <v>849</v>
      </c>
      <c r="EC3" s="113" t="s">
        <v>1148</v>
      </c>
      <c r="ED3" s="113" t="s">
        <v>269</v>
      </c>
      <c r="EE3" s="113" t="s">
        <v>850</v>
      </c>
      <c r="EF3" s="113" t="s">
        <v>851</v>
      </c>
      <c r="EG3" s="113" t="s">
        <v>39</v>
      </c>
      <c r="EH3" s="113" t="s">
        <v>1125</v>
      </c>
      <c r="EI3" s="113" t="s">
        <v>1126</v>
      </c>
      <c r="EJ3" s="113" t="s">
        <v>1127</v>
      </c>
      <c r="EK3" s="113" t="s">
        <v>18</v>
      </c>
      <c r="EL3" s="113" t="s">
        <v>1149</v>
      </c>
      <c r="EM3" s="113" t="s">
        <v>1150</v>
      </c>
      <c r="EN3" s="113" t="s">
        <v>1151</v>
      </c>
      <c r="EO3" s="113" t="s">
        <v>19</v>
      </c>
      <c r="EP3" s="113" t="s">
        <v>1152</v>
      </c>
      <c r="EQ3" s="113" t="s">
        <v>1153</v>
      </c>
      <c r="ER3" s="113" t="s">
        <v>787</v>
      </c>
      <c r="ES3" s="113" t="s">
        <v>852</v>
      </c>
      <c r="ET3" s="113" t="s">
        <v>328</v>
      </c>
      <c r="EU3" s="113" t="s">
        <v>1154</v>
      </c>
      <c r="EV3" s="113" t="s">
        <v>1128</v>
      </c>
      <c r="EW3" s="113" t="s">
        <v>1129</v>
      </c>
      <c r="EX3" s="113" t="s">
        <v>1155</v>
      </c>
      <c r="EY3" s="113" t="s">
        <v>853</v>
      </c>
      <c r="EZ3" s="113" t="s">
        <v>854</v>
      </c>
      <c r="FA3" s="113" t="s">
        <v>855</v>
      </c>
      <c r="FB3" s="113" t="s">
        <v>856</v>
      </c>
      <c r="FC3" s="113" t="s">
        <v>857</v>
      </c>
      <c r="FD3" s="113" t="s">
        <v>858</v>
      </c>
      <c r="FE3" s="113" t="s">
        <v>859</v>
      </c>
      <c r="FF3" s="113" t="s">
        <v>860</v>
      </c>
      <c r="FG3" s="113" t="s">
        <v>861</v>
      </c>
      <c r="FH3" s="113" t="s">
        <v>862</v>
      </c>
      <c r="FI3" s="113" t="s">
        <v>863</v>
      </c>
      <c r="FJ3" s="113" t="s">
        <v>864</v>
      </c>
      <c r="FK3" s="113" t="s">
        <v>865</v>
      </c>
      <c r="FL3" s="113" t="s">
        <v>866</v>
      </c>
      <c r="FM3" s="113" t="s">
        <v>867</v>
      </c>
      <c r="FN3" s="113" t="s">
        <v>868</v>
      </c>
      <c r="FO3" s="113" t="s">
        <v>869</v>
      </c>
      <c r="FP3" s="113" t="s">
        <v>870</v>
      </c>
      <c r="FQ3" s="113" t="s">
        <v>871</v>
      </c>
      <c r="FR3" s="113" t="s">
        <v>872</v>
      </c>
      <c r="FS3" s="113" t="s">
        <v>873</v>
      </c>
      <c r="FT3" s="113" t="s">
        <v>874</v>
      </c>
      <c r="FU3" s="113" t="s">
        <v>875</v>
      </c>
      <c r="FV3" s="113" t="s">
        <v>876</v>
      </c>
      <c r="FW3" s="113" t="s">
        <v>877</v>
      </c>
      <c r="FX3" s="113" t="s">
        <v>878</v>
      </c>
      <c r="FY3" s="113" t="s">
        <v>879</v>
      </c>
      <c r="FZ3" s="113" t="s">
        <v>880</v>
      </c>
      <c r="GA3" s="113" t="s">
        <v>881</v>
      </c>
      <c r="GB3" s="113" t="s">
        <v>882</v>
      </c>
      <c r="GC3" s="113" t="s">
        <v>883</v>
      </c>
      <c r="GD3" s="113" t="s">
        <v>884</v>
      </c>
      <c r="GE3" s="113" t="s">
        <v>885</v>
      </c>
      <c r="GF3" s="113" t="s">
        <v>886</v>
      </c>
      <c r="GG3" s="113" t="s">
        <v>887</v>
      </c>
      <c r="GH3" s="113" t="s">
        <v>888</v>
      </c>
      <c r="GI3" s="113" t="s">
        <v>889</v>
      </c>
      <c r="GJ3" s="113" t="s">
        <v>890</v>
      </c>
      <c r="GK3" s="113" t="s">
        <v>891</v>
      </c>
      <c r="GL3" s="113" t="s">
        <v>892</v>
      </c>
      <c r="GM3" s="113" t="s">
        <v>893</v>
      </c>
      <c r="GN3" s="113" t="s">
        <v>894</v>
      </c>
      <c r="GO3" s="113" t="s">
        <v>895</v>
      </c>
      <c r="GP3" s="113" t="s">
        <v>896</v>
      </c>
      <c r="GQ3" s="113" t="s">
        <v>897</v>
      </c>
      <c r="GR3" s="113" t="s">
        <v>145</v>
      </c>
      <c r="GS3" s="113" t="s">
        <v>20</v>
      </c>
      <c r="GT3" s="113" t="s">
        <v>794</v>
      </c>
      <c r="GU3" s="113" t="s">
        <v>27</v>
      </c>
      <c r="GV3" s="113" t="s">
        <v>898</v>
      </c>
      <c r="GW3" s="113" t="s">
        <v>899</v>
      </c>
      <c r="GX3" s="113" t="s">
        <v>751</v>
      </c>
      <c r="GY3" s="113" t="s">
        <v>208</v>
      </c>
      <c r="GZ3" s="113" t="s">
        <v>756</v>
      </c>
      <c r="HA3" s="113" t="s">
        <v>757</v>
      </c>
      <c r="HB3" s="113" t="s">
        <v>758</v>
      </c>
      <c r="HC3" s="113" t="s">
        <v>759</v>
      </c>
      <c r="HD3" s="113" t="s">
        <v>760</v>
      </c>
      <c r="HE3" s="113" t="s">
        <v>900</v>
      </c>
      <c r="HF3" s="113" t="s">
        <v>901</v>
      </c>
      <c r="HG3" s="113" t="s">
        <v>902</v>
      </c>
      <c r="HH3" s="113" t="s">
        <v>903</v>
      </c>
      <c r="HI3" s="113" t="s">
        <v>904</v>
      </c>
      <c r="HJ3" s="113" t="s">
        <v>905</v>
      </c>
      <c r="HK3" s="113" t="s">
        <v>906</v>
      </c>
      <c r="HL3" s="113" t="s">
        <v>907</v>
      </c>
      <c r="HM3" s="113" t="s">
        <v>908</v>
      </c>
      <c r="HN3" s="113" t="s">
        <v>909</v>
      </c>
      <c r="HO3" s="113" t="s">
        <v>910</v>
      </c>
      <c r="HP3" s="113" t="s">
        <v>911</v>
      </c>
      <c r="HQ3" s="113" t="s">
        <v>912</v>
      </c>
      <c r="HR3" s="113" t="s">
        <v>913</v>
      </c>
      <c r="HS3" s="113" t="s">
        <v>914</v>
      </c>
      <c r="HT3" s="113" t="s">
        <v>914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1180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1012</v>
      </c>
      <c r="H4" s="11" t="s">
        <v>1114</v>
      </c>
      <c r="I4" s="11" t="s">
        <v>1013</v>
      </c>
      <c r="J4" s="11" t="s">
        <v>1115</v>
      </c>
      <c r="K4" s="11" t="s">
        <v>1014</v>
      </c>
      <c r="L4" s="11" t="s">
        <v>1116</v>
      </c>
      <c r="M4" s="11" t="s">
        <v>1015</v>
      </c>
      <c r="N4" s="11" t="s">
        <v>1117</v>
      </c>
      <c r="O4" s="11" t="s">
        <v>1016</v>
      </c>
      <c r="P4" s="11" t="s">
        <v>1017</v>
      </c>
      <c r="Q4" s="11" t="s">
        <v>1018</v>
      </c>
      <c r="R4" s="11" t="s">
        <v>1019</v>
      </c>
      <c r="S4" s="11" t="s">
        <v>1020</v>
      </c>
      <c r="T4" s="11" t="s">
        <v>1021</v>
      </c>
      <c r="U4" s="11" t="s">
        <v>1022</v>
      </c>
      <c r="V4" s="11" t="s">
        <v>1023</v>
      </c>
      <c r="W4" s="11" t="s">
        <v>1024</v>
      </c>
      <c r="X4" s="11" t="s">
        <v>1025</v>
      </c>
      <c r="Y4" s="11" t="s">
        <v>1130</v>
      </c>
      <c r="Z4" s="11" t="s">
        <v>1131</v>
      </c>
      <c r="AA4" s="11" t="s">
        <v>1132</v>
      </c>
      <c r="AB4" s="11" t="s">
        <v>1026</v>
      </c>
      <c r="AC4" s="11" t="s">
        <v>1156</v>
      </c>
      <c r="AD4" s="11" t="s">
        <v>1157</v>
      </c>
      <c r="AE4" s="11" t="s">
        <v>1158</v>
      </c>
      <c r="AF4" s="11" t="s">
        <v>1027</v>
      </c>
      <c r="AG4" s="11" t="s">
        <v>1159</v>
      </c>
      <c r="AH4" s="11" t="s">
        <v>1160</v>
      </c>
      <c r="AI4" s="11" t="s">
        <v>1030</v>
      </c>
      <c r="AJ4" s="11" t="s">
        <v>1028</v>
      </c>
      <c r="AK4" s="11" t="s">
        <v>1029</v>
      </c>
      <c r="AL4" s="11" t="s">
        <v>1161</v>
      </c>
      <c r="AM4" s="11" t="s">
        <v>1133</v>
      </c>
      <c r="AN4" s="11" t="s">
        <v>1134</v>
      </c>
      <c r="AO4" s="11" t="s">
        <v>1135</v>
      </c>
      <c r="AP4" s="11" t="s">
        <v>1031</v>
      </c>
      <c r="AQ4" s="11" t="s">
        <v>1032</v>
      </c>
      <c r="AR4" s="11" t="s">
        <v>1033</v>
      </c>
      <c r="AS4" s="11" t="s">
        <v>1034</v>
      </c>
      <c r="AT4" s="11" t="s">
        <v>1035</v>
      </c>
      <c r="AU4" s="11" t="s">
        <v>1036</v>
      </c>
      <c r="AV4" s="11" t="s">
        <v>1037</v>
      </c>
      <c r="AW4" s="11" t="s">
        <v>1038</v>
      </c>
      <c r="AX4" s="11" t="s">
        <v>1039</v>
      </c>
      <c r="AY4" s="11" t="s">
        <v>1040</v>
      </c>
      <c r="AZ4" s="11" t="s">
        <v>1041</v>
      </c>
      <c r="BA4" s="11" t="s">
        <v>1042</v>
      </c>
      <c r="BB4" s="11" t="s">
        <v>1043</v>
      </c>
      <c r="BC4" s="11" t="s">
        <v>1044</v>
      </c>
      <c r="BD4" s="11" t="s">
        <v>1045</v>
      </c>
      <c r="BE4" s="11" t="s">
        <v>1046</v>
      </c>
      <c r="BF4" s="11" t="s">
        <v>1047</v>
      </c>
      <c r="BG4" s="11" t="s">
        <v>1048</v>
      </c>
      <c r="BH4" s="11" t="s">
        <v>1049</v>
      </c>
      <c r="BI4" s="11" t="s">
        <v>1050</v>
      </c>
      <c r="BJ4" s="11" t="s">
        <v>1051</v>
      </c>
      <c r="BK4" s="11" t="s">
        <v>1052</v>
      </c>
      <c r="BL4" s="11" t="s">
        <v>1053</v>
      </c>
      <c r="BM4" s="11" t="s">
        <v>1054</v>
      </c>
      <c r="BN4" s="11" t="s">
        <v>1055</v>
      </c>
      <c r="BO4" s="11" t="s">
        <v>1056</v>
      </c>
      <c r="BP4" s="11" t="s">
        <v>1057</v>
      </c>
      <c r="BQ4" s="11" t="s">
        <v>1058</v>
      </c>
      <c r="BR4" s="11" t="s">
        <v>1059</v>
      </c>
      <c r="BS4" s="11" t="s">
        <v>1060</v>
      </c>
      <c r="BT4" s="11" t="s">
        <v>1061</v>
      </c>
      <c r="BU4" s="11" t="s">
        <v>1062</v>
      </c>
      <c r="BV4" s="11" t="s">
        <v>1063</v>
      </c>
      <c r="BW4" s="11" t="s">
        <v>1064</v>
      </c>
      <c r="BX4" s="11" t="s">
        <v>1065</v>
      </c>
      <c r="BY4" s="11" t="s">
        <v>1066</v>
      </c>
      <c r="BZ4" s="11" t="s">
        <v>1067</v>
      </c>
      <c r="CA4" s="11" t="s">
        <v>1068</v>
      </c>
      <c r="CB4" s="11" t="s">
        <v>1069</v>
      </c>
      <c r="CC4" s="11" t="s">
        <v>1070</v>
      </c>
      <c r="CD4" s="11" t="s">
        <v>1071</v>
      </c>
      <c r="CE4" s="11" t="s">
        <v>1072</v>
      </c>
      <c r="CF4" s="11" t="s">
        <v>1073</v>
      </c>
      <c r="CG4" s="11" t="s">
        <v>1074</v>
      </c>
      <c r="CH4" s="11" t="s">
        <v>1075</v>
      </c>
      <c r="CI4" s="11" t="s">
        <v>1076</v>
      </c>
      <c r="CJ4" s="11" t="s">
        <v>1077</v>
      </c>
      <c r="CK4" s="11" t="s">
        <v>1136</v>
      </c>
      <c r="CL4" s="11" t="s">
        <v>1078</v>
      </c>
      <c r="CM4" s="11" t="s">
        <v>1079</v>
      </c>
      <c r="CN4" s="11" t="s">
        <v>1080</v>
      </c>
      <c r="CO4" s="11" t="s">
        <v>1081</v>
      </c>
      <c r="CP4" s="11" t="s">
        <v>1082</v>
      </c>
      <c r="CQ4" s="11" t="s">
        <v>1083</v>
      </c>
      <c r="CR4" s="11" t="s">
        <v>1084</v>
      </c>
      <c r="CS4" s="11" t="s">
        <v>1086</v>
      </c>
      <c r="CT4" s="11" t="s">
        <v>1085</v>
      </c>
      <c r="CU4" s="11" t="s">
        <v>1087</v>
      </c>
      <c r="CV4" s="11" t="s">
        <v>1088</v>
      </c>
      <c r="CW4" s="11" t="s">
        <v>1089</v>
      </c>
      <c r="CX4" s="11" t="s">
        <v>1090</v>
      </c>
      <c r="CY4" s="11" t="s">
        <v>1091</v>
      </c>
      <c r="CZ4" s="11" t="s">
        <v>1092</v>
      </c>
      <c r="DA4" s="11" t="s">
        <v>1093</v>
      </c>
      <c r="DB4" s="11" t="s">
        <v>1094</v>
      </c>
      <c r="DC4" s="11" t="s">
        <v>1095</v>
      </c>
      <c r="DD4" s="11" t="s">
        <v>1096</v>
      </c>
      <c r="DE4" s="11" t="s">
        <v>1097</v>
      </c>
      <c r="DF4" s="11" t="s">
        <v>1098</v>
      </c>
      <c r="DG4" s="11" t="s">
        <v>1099</v>
      </c>
      <c r="DH4" s="11" t="s">
        <v>1100</v>
      </c>
      <c r="DI4" s="11" t="s">
        <v>1101</v>
      </c>
      <c r="DJ4" s="11" t="s">
        <v>1137</v>
      </c>
      <c r="DK4" s="11" t="s">
        <v>1102</v>
      </c>
      <c r="DL4" s="11" t="s">
        <v>1103</v>
      </c>
      <c r="DM4" s="11" t="s">
        <v>1104</v>
      </c>
      <c r="DN4" s="11" t="s">
        <v>1105</v>
      </c>
      <c r="DO4" s="11" t="s">
        <v>1106</v>
      </c>
      <c r="DP4" s="10" t="s">
        <v>915</v>
      </c>
      <c r="DQ4" s="11" t="s">
        <v>1113</v>
      </c>
      <c r="DR4" s="11" t="s">
        <v>916</v>
      </c>
      <c r="DS4" s="11" t="s">
        <v>1111</v>
      </c>
      <c r="DT4" s="11" t="s">
        <v>917</v>
      </c>
      <c r="DU4" s="11" t="s">
        <v>1112</v>
      </c>
      <c r="DV4" s="11" t="s">
        <v>918</v>
      </c>
      <c r="DW4" s="11" t="s">
        <v>1110</v>
      </c>
      <c r="DX4" s="11" t="s">
        <v>919</v>
      </c>
      <c r="DY4" s="11" t="s">
        <v>920</v>
      </c>
      <c r="DZ4" s="11" t="s">
        <v>921</v>
      </c>
      <c r="EA4" s="11" t="s">
        <v>922</v>
      </c>
      <c r="EB4" s="11" t="s">
        <v>923</v>
      </c>
      <c r="EC4" s="11" t="s">
        <v>924</v>
      </c>
      <c r="ED4" s="11" t="s">
        <v>925</v>
      </c>
      <c r="EE4" s="11" t="s">
        <v>926</v>
      </c>
      <c r="EF4" s="11" t="s">
        <v>927</v>
      </c>
      <c r="EG4" s="11" t="s">
        <v>928</v>
      </c>
      <c r="EH4" s="11" t="s">
        <v>1138</v>
      </c>
      <c r="EI4" s="11" t="s">
        <v>1139</v>
      </c>
      <c r="EJ4" s="11" t="s">
        <v>1140</v>
      </c>
      <c r="EK4" s="11" t="s">
        <v>929</v>
      </c>
      <c r="EL4" s="11" t="s">
        <v>1162</v>
      </c>
      <c r="EM4" s="11" t="s">
        <v>1163</v>
      </c>
      <c r="EN4" s="11" t="s">
        <v>1164</v>
      </c>
      <c r="EO4" s="11" t="s">
        <v>930</v>
      </c>
      <c r="EP4" s="11" t="s">
        <v>1165</v>
      </c>
      <c r="EQ4" s="11" t="s">
        <v>1166</v>
      </c>
      <c r="ER4" s="11" t="s">
        <v>933</v>
      </c>
      <c r="ES4" s="11" t="s">
        <v>931</v>
      </c>
      <c r="ET4" s="11" t="s">
        <v>932</v>
      </c>
      <c r="EU4" s="11" t="s">
        <v>1167</v>
      </c>
      <c r="EV4" s="11" t="s">
        <v>1141</v>
      </c>
      <c r="EW4" s="11" t="s">
        <v>1142</v>
      </c>
      <c r="EX4" s="11" t="s">
        <v>1143</v>
      </c>
      <c r="EY4" s="11" t="s">
        <v>934</v>
      </c>
      <c r="EZ4" s="11" t="s">
        <v>935</v>
      </c>
      <c r="FA4" s="11" t="s">
        <v>936</v>
      </c>
      <c r="FB4" s="11" t="s">
        <v>937</v>
      </c>
      <c r="FC4" s="11" t="s">
        <v>938</v>
      </c>
      <c r="FD4" s="11" t="s">
        <v>939</v>
      </c>
      <c r="FE4" s="11" t="s">
        <v>940</v>
      </c>
      <c r="FF4" s="11" t="s">
        <v>941</v>
      </c>
      <c r="FG4" s="11" t="s">
        <v>942</v>
      </c>
      <c r="FH4" s="11" t="s">
        <v>943</v>
      </c>
      <c r="FI4" s="11" t="s">
        <v>944</v>
      </c>
      <c r="FJ4" s="11" t="s">
        <v>945</v>
      </c>
      <c r="FK4" s="11" t="s">
        <v>946</v>
      </c>
      <c r="FL4" s="11" t="s">
        <v>947</v>
      </c>
      <c r="FM4" s="11" t="s">
        <v>948</v>
      </c>
      <c r="FN4" s="11" t="s">
        <v>949</v>
      </c>
      <c r="FO4" s="11" t="s">
        <v>950</v>
      </c>
      <c r="FP4" s="11" t="s">
        <v>951</v>
      </c>
      <c r="FQ4" s="11" t="s">
        <v>952</v>
      </c>
      <c r="FR4" s="11" t="s">
        <v>953</v>
      </c>
      <c r="FS4" s="11" t="s">
        <v>954</v>
      </c>
      <c r="FT4" s="11" t="s">
        <v>955</v>
      </c>
      <c r="FU4" s="11" t="s">
        <v>956</v>
      </c>
      <c r="FV4" s="11" t="s">
        <v>957</v>
      </c>
      <c r="FW4" s="11" t="s">
        <v>958</v>
      </c>
      <c r="FX4" s="11" t="s">
        <v>959</v>
      </c>
      <c r="FY4" s="11" t="s">
        <v>960</v>
      </c>
      <c r="FZ4" s="11" t="s">
        <v>961</v>
      </c>
      <c r="GA4" s="11" t="s">
        <v>962</v>
      </c>
      <c r="GB4" s="11" t="s">
        <v>963</v>
      </c>
      <c r="GC4" s="11" t="s">
        <v>964</v>
      </c>
      <c r="GD4" s="11" t="s">
        <v>965</v>
      </c>
      <c r="GE4" s="11" t="s">
        <v>966</v>
      </c>
      <c r="GF4" s="11" t="s">
        <v>967</v>
      </c>
      <c r="GG4" s="11" t="s">
        <v>968</v>
      </c>
      <c r="GH4" s="11" t="s">
        <v>969</v>
      </c>
      <c r="GI4" s="11" t="s">
        <v>970</v>
      </c>
      <c r="GJ4" s="11" t="s">
        <v>971</v>
      </c>
      <c r="GK4" s="11" t="s">
        <v>972</v>
      </c>
      <c r="GL4" s="11" t="s">
        <v>973</v>
      </c>
      <c r="GM4" s="11" t="s">
        <v>974</v>
      </c>
      <c r="GN4" s="11" t="s">
        <v>975</v>
      </c>
      <c r="GO4" s="11" t="s">
        <v>976</v>
      </c>
      <c r="GP4" s="11" t="s">
        <v>977</v>
      </c>
      <c r="GQ4" s="11" t="s">
        <v>978</v>
      </c>
      <c r="GR4" s="11" t="s">
        <v>979</v>
      </c>
      <c r="GS4" s="11" t="s">
        <v>980</v>
      </c>
      <c r="GT4" s="11" t="s">
        <v>1144</v>
      </c>
      <c r="GU4" s="11" t="s">
        <v>981</v>
      </c>
      <c r="GV4" s="11" t="s">
        <v>982</v>
      </c>
      <c r="GW4" s="11" t="s">
        <v>983</v>
      </c>
      <c r="GX4" s="11" t="s">
        <v>986</v>
      </c>
      <c r="GY4" s="11" t="s">
        <v>987</v>
      </c>
      <c r="GZ4" s="11" t="s">
        <v>988</v>
      </c>
      <c r="HA4" s="11" t="s">
        <v>989</v>
      </c>
      <c r="HB4" s="11" t="s">
        <v>991</v>
      </c>
      <c r="HC4" s="11" t="s">
        <v>990</v>
      </c>
      <c r="HD4" s="11" t="s">
        <v>992</v>
      </c>
      <c r="HE4" s="11" t="s">
        <v>993</v>
      </c>
      <c r="HF4" s="11" t="s">
        <v>994</v>
      </c>
      <c r="HG4" s="11" t="s">
        <v>995</v>
      </c>
      <c r="HH4" s="11" t="s">
        <v>996</v>
      </c>
      <c r="HI4" s="11" t="s">
        <v>997</v>
      </c>
      <c r="HJ4" s="11" t="s">
        <v>998</v>
      </c>
      <c r="HK4" s="11" t="s">
        <v>999</v>
      </c>
      <c r="HL4" s="11" t="s">
        <v>1000</v>
      </c>
      <c r="HM4" s="11" t="s">
        <v>1001</v>
      </c>
      <c r="HN4" s="11" t="s">
        <v>1002</v>
      </c>
      <c r="HO4" s="11" t="s">
        <v>1003</v>
      </c>
      <c r="HP4" s="11" t="s">
        <v>1004</v>
      </c>
      <c r="HQ4" s="11" t="s">
        <v>1005</v>
      </c>
      <c r="HR4" s="11" t="s">
        <v>1006</v>
      </c>
      <c r="HS4" s="11" t="s">
        <v>1145</v>
      </c>
      <c r="HT4" s="11" t="s">
        <v>1007</v>
      </c>
      <c r="HU4" s="11" t="s">
        <v>1008</v>
      </c>
      <c r="HV4" s="11" t="s">
        <v>1009</v>
      </c>
      <c r="HW4" s="11" t="s">
        <v>1010</v>
      </c>
      <c r="HX4" s="12" t="s">
        <v>1011</v>
      </c>
    </row>
    <row r="5" spans="1:232" x14ac:dyDescent="0.25">
      <c r="A5" s="14"/>
      <c r="C5" s="1" t="s">
        <v>1108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1181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1012</v>
      </c>
      <c r="H6" s="26" t="s">
        <v>1114</v>
      </c>
      <c r="I6" s="26" t="s">
        <v>1013</v>
      </c>
      <c r="J6" s="26" t="s">
        <v>1115</v>
      </c>
      <c r="K6" s="26" t="s">
        <v>1014</v>
      </c>
      <c r="L6" s="26" t="s">
        <v>1116</v>
      </c>
      <c r="M6" s="26" t="s">
        <v>1015</v>
      </c>
      <c r="N6" s="26" t="s">
        <v>1117</v>
      </c>
      <c r="O6" s="26" t="s">
        <v>1016</v>
      </c>
      <c r="P6" s="26" t="s">
        <v>1017</v>
      </c>
      <c r="Q6" s="26" t="s">
        <v>1018</v>
      </c>
      <c r="R6" s="26" t="s">
        <v>1019</v>
      </c>
      <c r="S6" s="26" t="s">
        <v>1020</v>
      </c>
      <c r="T6" s="26" t="s">
        <v>1021</v>
      </c>
      <c r="U6" s="26" t="s">
        <v>1022</v>
      </c>
      <c r="V6" s="26" t="s">
        <v>1023</v>
      </c>
      <c r="W6" s="26" t="s">
        <v>1024</v>
      </c>
      <c r="X6" s="26" t="s">
        <v>1025</v>
      </c>
      <c r="Y6" s="26" t="s">
        <v>1130</v>
      </c>
      <c r="Z6" s="26" t="s">
        <v>1131</v>
      </c>
      <c r="AA6" s="26" t="s">
        <v>1132</v>
      </c>
      <c r="AB6" s="26" t="s">
        <v>1026</v>
      </c>
      <c r="AC6" s="26" t="s">
        <v>1156</v>
      </c>
      <c r="AD6" s="26" t="s">
        <v>1157</v>
      </c>
      <c r="AE6" s="26" t="s">
        <v>1158</v>
      </c>
      <c r="AF6" s="26" t="s">
        <v>1027</v>
      </c>
      <c r="AG6" s="26" t="s">
        <v>1159</v>
      </c>
      <c r="AH6" s="26" t="s">
        <v>1160</v>
      </c>
      <c r="AI6" s="26" t="s">
        <v>1030</v>
      </c>
      <c r="AJ6" s="26" t="s">
        <v>1028</v>
      </c>
      <c r="AK6" s="26" t="s">
        <v>1029</v>
      </c>
      <c r="AL6" s="26" t="s">
        <v>1161</v>
      </c>
      <c r="AM6" s="26" t="s">
        <v>1133</v>
      </c>
      <c r="AN6" s="26" t="s">
        <v>1134</v>
      </c>
      <c r="AO6" s="26" t="s">
        <v>1135</v>
      </c>
      <c r="AP6" s="26" t="s">
        <v>1031</v>
      </c>
      <c r="AQ6" s="26" t="s">
        <v>1032</v>
      </c>
      <c r="AR6" s="26" t="s">
        <v>1033</v>
      </c>
      <c r="AS6" s="26" t="s">
        <v>1034</v>
      </c>
      <c r="AT6" s="26" t="s">
        <v>1035</v>
      </c>
      <c r="AU6" s="26" t="s">
        <v>1036</v>
      </c>
      <c r="AV6" s="26" t="s">
        <v>1037</v>
      </c>
      <c r="AW6" s="26" t="s">
        <v>1038</v>
      </c>
      <c r="AX6" s="26" t="s">
        <v>1039</v>
      </c>
      <c r="AY6" s="26" t="s">
        <v>1040</v>
      </c>
      <c r="AZ6" s="26" t="s">
        <v>1041</v>
      </c>
      <c r="BA6" s="26" t="s">
        <v>1042</v>
      </c>
      <c r="BB6" s="26" t="s">
        <v>1043</v>
      </c>
      <c r="BC6" s="26" t="s">
        <v>1044</v>
      </c>
      <c r="BD6" s="26" t="s">
        <v>1045</v>
      </c>
      <c r="BE6" s="26" t="s">
        <v>1046</v>
      </c>
      <c r="BF6" s="26" t="s">
        <v>1047</v>
      </c>
      <c r="BG6" s="26" t="s">
        <v>1048</v>
      </c>
      <c r="BH6" s="26" t="s">
        <v>1049</v>
      </c>
      <c r="BI6" s="26" t="s">
        <v>1050</v>
      </c>
      <c r="BJ6" s="26" t="s">
        <v>1051</v>
      </c>
      <c r="BK6" s="26" t="s">
        <v>1052</v>
      </c>
      <c r="BL6" s="26" t="s">
        <v>1053</v>
      </c>
      <c r="BM6" s="26" t="s">
        <v>1054</v>
      </c>
      <c r="BN6" s="26" t="s">
        <v>1055</v>
      </c>
      <c r="BO6" s="26" t="s">
        <v>1056</v>
      </c>
      <c r="BP6" s="26" t="s">
        <v>1057</v>
      </c>
      <c r="BQ6" s="26" t="s">
        <v>1058</v>
      </c>
      <c r="BR6" s="26" t="s">
        <v>1059</v>
      </c>
      <c r="BS6" s="26" t="s">
        <v>1060</v>
      </c>
      <c r="BT6" s="26" t="s">
        <v>1061</v>
      </c>
      <c r="BU6" s="26" t="s">
        <v>1062</v>
      </c>
      <c r="BV6" s="26" t="s">
        <v>1063</v>
      </c>
      <c r="BW6" s="26" t="s">
        <v>1064</v>
      </c>
      <c r="BX6" s="26" t="s">
        <v>1065</v>
      </c>
      <c r="BY6" s="26" t="s">
        <v>1066</v>
      </c>
      <c r="BZ6" s="26" t="s">
        <v>1067</v>
      </c>
      <c r="CA6" s="26" t="s">
        <v>1068</v>
      </c>
      <c r="CB6" s="26" t="s">
        <v>1069</v>
      </c>
      <c r="CC6" s="26" t="s">
        <v>1070</v>
      </c>
      <c r="CD6" s="26" t="s">
        <v>1071</v>
      </c>
      <c r="CE6" s="26" t="s">
        <v>1072</v>
      </c>
      <c r="CF6" s="26" t="s">
        <v>1073</v>
      </c>
      <c r="CG6" s="26" t="s">
        <v>1074</v>
      </c>
      <c r="CH6" s="26" t="s">
        <v>1075</v>
      </c>
      <c r="CI6" s="26" t="s">
        <v>1076</v>
      </c>
      <c r="CJ6" s="26" t="s">
        <v>1077</v>
      </c>
      <c r="CK6" s="26" t="s">
        <v>1136</v>
      </c>
      <c r="CL6" s="26" t="s">
        <v>1078</v>
      </c>
      <c r="CM6" s="26" t="s">
        <v>1079</v>
      </c>
      <c r="CN6" s="26" t="s">
        <v>1080</v>
      </c>
      <c r="CO6" s="26" t="s">
        <v>1081</v>
      </c>
      <c r="CP6" s="26" t="s">
        <v>1082</v>
      </c>
      <c r="CQ6" s="26" t="s">
        <v>1083</v>
      </c>
      <c r="CR6" s="26" t="s">
        <v>1084</v>
      </c>
      <c r="CS6" s="26" t="s">
        <v>1086</v>
      </c>
      <c r="CT6" s="26" t="s">
        <v>1085</v>
      </c>
      <c r="CU6" s="26" t="s">
        <v>1087</v>
      </c>
      <c r="CV6" s="26" t="s">
        <v>1088</v>
      </c>
      <c r="CW6" s="26" t="s">
        <v>1089</v>
      </c>
      <c r="CX6" s="26" t="s">
        <v>1090</v>
      </c>
      <c r="CY6" s="26" t="s">
        <v>1091</v>
      </c>
      <c r="CZ6" s="26" t="s">
        <v>1092</v>
      </c>
      <c r="DA6" s="26" t="s">
        <v>1093</v>
      </c>
      <c r="DB6" s="26" t="s">
        <v>1094</v>
      </c>
      <c r="DC6" s="26" t="s">
        <v>1095</v>
      </c>
      <c r="DD6" s="26" t="s">
        <v>1096</v>
      </c>
      <c r="DE6" s="26" t="s">
        <v>1097</v>
      </c>
      <c r="DF6" s="26" t="s">
        <v>1098</v>
      </c>
      <c r="DG6" s="26" t="s">
        <v>1099</v>
      </c>
      <c r="DH6" s="26" t="s">
        <v>1100</v>
      </c>
      <c r="DI6" s="26" t="s">
        <v>1101</v>
      </c>
      <c r="DJ6" s="26" t="s">
        <v>1137</v>
      </c>
      <c r="DK6" s="26" t="s">
        <v>1102</v>
      </c>
      <c r="DL6" s="26" t="s">
        <v>1103</v>
      </c>
      <c r="DM6" s="26" t="s">
        <v>1104</v>
      </c>
      <c r="DN6" s="26" t="s">
        <v>1105</v>
      </c>
      <c r="DO6" s="26" t="s">
        <v>1106</v>
      </c>
      <c r="DP6" s="26" t="s">
        <v>915</v>
      </c>
      <c r="DQ6" s="26" t="s">
        <v>1113</v>
      </c>
      <c r="DR6" s="26" t="s">
        <v>916</v>
      </c>
      <c r="DS6" s="26" t="s">
        <v>1111</v>
      </c>
      <c r="DT6" s="26" t="s">
        <v>917</v>
      </c>
      <c r="DU6" s="26" t="s">
        <v>1112</v>
      </c>
      <c r="DV6" s="26" t="s">
        <v>918</v>
      </c>
      <c r="DW6" s="26" t="s">
        <v>1110</v>
      </c>
      <c r="DX6" s="26" t="s">
        <v>919</v>
      </c>
      <c r="DY6" s="26" t="s">
        <v>920</v>
      </c>
      <c r="DZ6" s="26" t="s">
        <v>921</v>
      </c>
      <c r="EA6" s="26" t="s">
        <v>922</v>
      </c>
      <c r="EB6" s="26" t="s">
        <v>923</v>
      </c>
      <c r="EC6" s="26" t="s">
        <v>924</v>
      </c>
      <c r="ED6" s="26" t="s">
        <v>925</v>
      </c>
      <c r="EE6" s="26" t="s">
        <v>926</v>
      </c>
      <c r="EF6" s="26" t="s">
        <v>927</v>
      </c>
      <c r="EG6" s="26" t="s">
        <v>928</v>
      </c>
      <c r="EH6" s="26" t="s">
        <v>1138</v>
      </c>
      <c r="EI6" s="26" t="s">
        <v>1139</v>
      </c>
      <c r="EJ6" s="26" t="s">
        <v>1140</v>
      </c>
      <c r="EK6" s="26" t="s">
        <v>929</v>
      </c>
      <c r="EL6" s="26" t="s">
        <v>1162</v>
      </c>
      <c r="EM6" s="26" t="s">
        <v>1163</v>
      </c>
      <c r="EN6" s="26" t="s">
        <v>1164</v>
      </c>
      <c r="EO6" s="26" t="s">
        <v>930</v>
      </c>
      <c r="EP6" s="26" t="s">
        <v>1165</v>
      </c>
      <c r="EQ6" s="26" t="s">
        <v>1166</v>
      </c>
      <c r="ER6" s="26" t="s">
        <v>933</v>
      </c>
      <c r="ES6" s="26" t="s">
        <v>931</v>
      </c>
      <c r="ET6" s="26" t="s">
        <v>932</v>
      </c>
      <c r="EU6" s="26" t="s">
        <v>1167</v>
      </c>
      <c r="EV6" s="26" t="s">
        <v>1141</v>
      </c>
      <c r="EW6" s="26" t="s">
        <v>1142</v>
      </c>
      <c r="EX6" s="26" t="s">
        <v>1143</v>
      </c>
      <c r="EY6" s="26" t="s">
        <v>934</v>
      </c>
      <c r="EZ6" s="26" t="s">
        <v>935</v>
      </c>
      <c r="FA6" s="26" t="s">
        <v>936</v>
      </c>
      <c r="FB6" s="26" t="s">
        <v>937</v>
      </c>
      <c r="FC6" s="26" t="s">
        <v>938</v>
      </c>
      <c r="FD6" s="26" t="s">
        <v>939</v>
      </c>
      <c r="FE6" s="26" t="s">
        <v>940</v>
      </c>
      <c r="FF6" s="26" t="s">
        <v>941</v>
      </c>
      <c r="FG6" s="26" t="s">
        <v>942</v>
      </c>
      <c r="FH6" s="26" t="s">
        <v>943</v>
      </c>
      <c r="FI6" s="26" t="s">
        <v>944</v>
      </c>
      <c r="FJ6" s="26" t="s">
        <v>945</v>
      </c>
      <c r="FK6" s="26" t="s">
        <v>946</v>
      </c>
      <c r="FL6" s="26" t="s">
        <v>947</v>
      </c>
      <c r="FM6" s="26" t="s">
        <v>948</v>
      </c>
      <c r="FN6" s="26" t="s">
        <v>949</v>
      </c>
      <c r="FO6" s="26" t="s">
        <v>950</v>
      </c>
      <c r="FP6" s="26" t="s">
        <v>951</v>
      </c>
      <c r="FQ6" s="26" t="s">
        <v>952</v>
      </c>
      <c r="FR6" s="26" t="s">
        <v>953</v>
      </c>
      <c r="FS6" s="26" t="s">
        <v>954</v>
      </c>
      <c r="FT6" s="26" t="s">
        <v>955</v>
      </c>
      <c r="FU6" s="26" t="s">
        <v>956</v>
      </c>
      <c r="FV6" s="26" t="s">
        <v>957</v>
      </c>
      <c r="FW6" s="26" t="s">
        <v>958</v>
      </c>
      <c r="FX6" s="26" t="s">
        <v>959</v>
      </c>
      <c r="FY6" s="26" t="s">
        <v>960</v>
      </c>
      <c r="FZ6" s="26" t="s">
        <v>961</v>
      </c>
      <c r="GA6" s="26" t="s">
        <v>962</v>
      </c>
      <c r="GB6" s="26" t="s">
        <v>963</v>
      </c>
      <c r="GC6" s="26" t="s">
        <v>964</v>
      </c>
      <c r="GD6" s="26" t="s">
        <v>965</v>
      </c>
      <c r="GE6" s="26" t="s">
        <v>966</v>
      </c>
      <c r="GF6" s="26" t="s">
        <v>967</v>
      </c>
      <c r="GG6" s="26" t="s">
        <v>968</v>
      </c>
      <c r="GH6" s="26" t="s">
        <v>969</v>
      </c>
      <c r="GI6" s="26" t="s">
        <v>970</v>
      </c>
      <c r="GJ6" s="26" t="s">
        <v>971</v>
      </c>
      <c r="GK6" s="26" t="s">
        <v>972</v>
      </c>
      <c r="GL6" s="26" t="s">
        <v>973</v>
      </c>
      <c r="GM6" s="26" t="s">
        <v>974</v>
      </c>
      <c r="GN6" s="26" t="s">
        <v>975</v>
      </c>
      <c r="GO6" s="26" t="s">
        <v>976</v>
      </c>
      <c r="GP6" s="26" t="s">
        <v>977</v>
      </c>
      <c r="GQ6" s="26" t="s">
        <v>978</v>
      </c>
      <c r="GR6" s="26" t="s">
        <v>979</v>
      </c>
      <c r="GS6" s="26" t="s">
        <v>980</v>
      </c>
      <c r="GT6" s="26" t="s">
        <v>1144</v>
      </c>
      <c r="GU6" s="26" t="s">
        <v>981</v>
      </c>
      <c r="GV6" s="26" t="s">
        <v>982</v>
      </c>
      <c r="GW6" s="26" t="s">
        <v>983</v>
      </c>
      <c r="GX6" s="26" t="s">
        <v>986</v>
      </c>
      <c r="GY6" s="26" t="s">
        <v>987</v>
      </c>
      <c r="GZ6" s="26" t="s">
        <v>988</v>
      </c>
      <c r="HA6" s="26" t="s">
        <v>989</v>
      </c>
      <c r="HB6" s="26" t="s">
        <v>991</v>
      </c>
      <c r="HC6" s="26" t="s">
        <v>990</v>
      </c>
      <c r="HD6" s="26" t="s">
        <v>992</v>
      </c>
      <c r="HE6" s="26" t="s">
        <v>993</v>
      </c>
      <c r="HF6" s="26" t="s">
        <v>994</v>
      </c>
      <c r="HG6" s="26" t="s">
        <v>995</v>
      </c>
      <c r="HH6" s="26" t="s">
        <v>996</v>
      </c>
      <c r="HI6" s="26" t="s">
        <v>997</v>
      </c>
      <c r="HJ6" s="26" t="s">
        <v>998</v>
      </c>
      <c r="HK6" s="26" t="s">
        <v>999</v>
      </c>
      <c r="HL6" s="26" t="s">
        <v>1000</v>
      </c>
      <c r="HM6" s="26" t="s">
        <v>1001</v>
      </c>
      <c r="HN6" s="26" t="s">
        <v>1002</v>
      </c>
      <c r="HO6" s="26" t="s">
        <v>1003</v>
      </c>
      <c r="HP6" s="26" t="s">
        <v>1004</v>
      </c>
      <c r="HQ6" s="26" t="s">
        <v>1005</v>
      </c>
      <c r="HR6" s="26" t="s">
        <v>1006</v>
      </c>
      <c r="HS6" s="26" t="s">
        <v>1145</v>
      </c>
      <c r="HT6" s="26" t="s">
        <v>1007</v>
      </c>
      <c r="HU6" s="26" t="s">
        <v>1008</v>
      </c>
      <c r="HV6" s="26" t="s">
        <v>1009</v>
      </c>
      <c r="HW6" s="26" t="s">
        <v>1010</v>
      </c>
      <c r="HX6" s="26" t="s">
        <v>1011</v>
      </c>
    </row>
    <row r="7" spans="1:232" x14ac:dyDescent="0.25">
      <c r="A7" s="15"/>
      <c r="B7" s="166" t="str">
        <f>targets[Dsnulist]&amp;" "&amp;targets[D_indicatortype]&amp;" "&amp;targets[D_mechanismid]</f>
        <v xml:space="preserve">Paste Data Pack Values here (starting in cell C7)  </v>
      </c>
      <c r="C7" s="40" t="s">
        <v>1650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topLeftCell="AM1" zoomScaleNormal="100" workbookViewId="0">
      <pane ySplit="4" topLeftCell="A5" activePane="bottomLeft" state="frozen"/>
      <selection sqref="A1:A2"/>
      <selection pane="bottomLeft" activeCell="AU7" sqref="AU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8"/>
      <c r="C1" s="131" t="s">
        <v>103</v>
      </c>
      <c r="D1" s="2"/>
      <c r="J1" s="120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1"/>
      <c r="AU1" s="150" t="s">
        <v>1645</v>
      </c>
      <c r="AV1" s="124" t="s">
        <v>1185</v>
      </c>
      <c r="AW1" s="53" t="s">
        <v>1184</v>
      </c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118"/>
      <c r="BQ1" s="118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</row>
    <row r="2" spans="1:87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42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55"/>
      <c r="AU3" s="155" t="s">
        <v>1643</v>
      </c>
      <c r="AV3" s="62" t="s">
        <v>748</v>
      </c>
      <c r="AW3" s="125" t="s">
        <v>104</v>
      </c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36" t="s">
        <v>434</v>
      </c>
      <c r="CH3" s="125" t="s">
        <v>143</v>
      </c>
      <c r="CI3" s="127"/>
    </row>
    <row r="4" spans="1:8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53" t="s">
        <v>434</v>
      </c>
      <c r="AU4" s="156" t="s">
        <v>104</v>
      </c>
      <c r="AV4" s="10" t="s">
        <v>103</v>
      </c>
      <c r="AW4" s="128" t="s">
        <v>105</v>
      </c>
      <c r="AX4" s="129" t="s">
        <v>106</v>
      </c>
      <c r="AY4" s="129" t="s">
        <v>107</v>
      </c>
      <c r="AZ4" s="129" t="s">
        <v>108</v>
      </c>
      <c r="BA4" s="129" t="s">
        <v>109</v>
      </c>
      <c r="BB4" s="129" t="s">
        <v>110</v>
      </c>
      <c r="BC4" s="129" t="s">
        <v>111</v>
      </c>
      <c r="BD4" s="129" t="s">
        <v>112</v>
      </c>
      <c r="BE4" s="129" t="s">
        <v>113</v>
      </c>
      <c r="BF4" s="129" t="s">
        <v>114</v>
      </c>
      <c r="BG4" s="129" t="s">
        <v>115</v>
      </c>
      <c r="BH4" s="129" t="s">
        <v>116</v>
      </c>
      <c r="BI4" s="129" t="s">
        <v>117</v>
      </c>
      <c r="BJ4" s="129" t="s">
        <v>118</v>
      </c>
      <c r="BK4" s="129" t="s">
        <v>119</v>
      </c>
      <c r="BL4" s="129" t="s">
        <v>120</v>
      </c>
      <c r="BM4" s="129" t="s">
        <v>121</v>
      </c>
      <c r="BN4" s="129" t="s">
        <v>122</v>
      </c>
      <c r="BO4" s="129" t="s">
        <v>123</v>
      </c>
      <c r="BP4" s="129" t="s">
        <v>124</v>
      </c>
      <c r="BQ4" s="129" t="s">
        <v>125</v>
      </c>
      <c r="BR4" s="129" t="s">
        <v>126</v>
      </c>
      <c r="BS4" s="129" t="s">
        <v>127</v>
      </c>
      <c r="BT4" s="129" t="s">
        <v>128</v>
      </c>
      <c r="BU4" s="129" t="s">
        <v>129</v>
      </c>
      <c r="BV4" s="129" t="s">
        <v>130</v>
      </c>
      <c r="BW4" s="129" t="s">
        <v>131</v>
      </c>
      <c r="BX4" s="129" t="s">
        <v>132</v>
      </c>
      <c r="BY4" s="129" t="s">
        <v>133</v>
      </c>
      <c r="BZ4" s="129" t="s">
        <v>134</v>
      </c>
      <c r="CA4" s="129" t="s">
        <v>135</v>
      </c>
      <c r="CB4" s="129" t="s">
        <v>136</v>
      </c>
      <c r="CC4" s="129" t="s">
        <v>137</v>
      </c>
      <c r="CD4" s="129" t="s">
        <v>138</v>
      </c>
      <c r="CE4" s="129" t="s">
        <v>139</v>
      </c>
      <c r="CF4" s="129" t="s">
        <v>140</v>
      </c>
      <c r="CG4" s="137" t="s">
        <v>434</v>
      </c>
      <c r="CH4" s="128" t="s">
        <v>141</v>
      </c>
      <c r="CI4" s="130" t="s">
        <v>142</v>
      </c>
    </row>
    <row r="5" spans="1:8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W5" s="61">
        <f>SUBTOTAL(109,gend_gbv_T[gend_gbv_u10_f_pev])</f>
        <v>0</v>
      </c>
      <c r="AX5" s="61">
        <f>SUBTOTAL(109,gend_gbv_T[gend_gbv_u10_f_sv])</f>
        <v>0</v>
      </c>
      <c r="AY5" s="61">
        <f>SUBTOTAL(109,gend_gbv_T[gend_gbv_u10_m_pev])</f>
        <v>0</v>
      </c>
      <c r="AZ5" s="61">
        <f>SUBTOTAL(109,gend_gbv_T[gend_gbv_u10_m_sv])</f>
        <v>0</v>
      </c>
      <c r="BA5" s="61">
        <f>SUBTOTAL(109,gend_gbv_T[gend_gbv_1014_f_pev])</f>
        <v>0</v>
      </c>
      <c r="BB5" s="61">
        <f>SUBTOTAL(109,gend_gbv_T[gend_gbv_1014_f_sv])</f>
        <v>0</v>
      </c>
      <c r="BC5" s="61">
        <f>SUBTOTAL(109,gend_gbv_T[gend_gbv_1014_m_pev])</f>
        <v>0</v>
      </c>
      <c r="BD5" s="61">
        <f>SUBTOTAL(109,gend_gbv_T[gend_gbv_1014_m_sv])</f>
        <v>0</v>
      </c>
      <c r="BE5" s="61">
        <f>SUBTOTAL(109,gend_gbv_T[gend_gbv_1519_f_pev])</f>
        <v>0</v>
      </c>
      <c r="BF5" s="61">
        <f>SUBTOTAL(109,gend_gbv_T[gend_gbv_1519_f_sv])</f>
        <v>0</v>
      </c>
      <c r="BG5" s="61">
        <f>SUBTOTAL(109,gend_gbv_T[gend_gbv_1519_m_pev])</f>
        <v>0</v>
      </c>
      <c r="BH5" s="61">
        <f>SUBTOTAL(109,gend_gbv_T[gend_gbv_1519_m_sv])</f>
        <v>0</v>
      </c>
      <c r="BI5" s="61">
        <f>SUBTOTAL(109,gend_gbv_T[gend_gbv_2024_f_pev])</f>
        <v>0</v>
      </c>
      <c r="BJ5" s="61">
        <f>SUBTOTAL(109,gend_gbv_T[gend_gbv_2024_f_sv])</f>
        <v>0</v>
      </c>
      <c r="BK5" s="61">
        <f>SUBTOTAL(109,gend_gbv_T[gend_gbv_2024_m_pev])</f>
        <v>0</v>
      </c>
      <c r="BL5" s="61">
        <f>SUBTOTAL(109,gend_gbv_T[gend_gbv_2024_m_sv])</f>
        <v>0</v>
      </c>
      <c r="BM5" s="61">
        <f>SUBTOTAL(109,gend_gbv_T[gend_gbv_2529_f_pev])</f>
        <v>0</v>
      </c>
      <c r="BN5" s="61">
        <f>SUBTOTAL(109,gend_gbv_T[gend_gbv_2529_f_sv])</f>
        <v>0</v>
      </c>
      <c r="BO5" s="61">
        <f>SUBTOTAL(109,gend_gbv_T[gend_gbv_2529_m_pev])</f>
        <v>0</v>
      </c>
      <c r="BP5" s="61">
        <f>SUBTOTAL(109,gend_gbv_T[gend_gbv_2529_m_sv])</f>
        <v>0</v>
      </c>
      <c r="BQ5" s="61">
        <f>SUBTOTAL(109,gend_gbv_T[gend_gbv_3034_f_pev])</f>
        <v>0</v>
      </c>
      <c r="BR5" s="61">
        <f>SUBTOTAL(109,gend_gbv_T[gend_gbv_3034_f_sv])</f>
        <v>0</v>
      </c>
      <c r="BS5" s="61">
        <f>SUBTOTAL(109,gend_gbv_T[gend_gbv_3034_m_pev])</f>
        <v>0</v>
      </c>
      <c r="BT5" s="61">
        <f>SUBTOTAL(109,gend_gbv_T[gend_gbv_3034_m_sv])</f>
        <v>0</v>
      </c>
      <c r="BU5" s="61">
        <f>SUBTOTAL(109,gend_gbv_T[gend_gbv_3539_f_pev])</f>
        <v>0</v>
      </c>
      <c r="BV5" s="61">
        <f>SUBTOTAL(109,gend_gbv_T[gend_gbv_3539_f_sv])</f>
        <v>0</v>
      </c>
      <c r="BW5" s="61">
        <f>SUBTOTAL(109,gend_gbv_T[gend_gbv_3539_m_pev])</f>
        <v>0</v>
      </c>
      <c r="BX5" s="61">
        <f>SUBTOTAL(109,gend_gbv_T[gend_gbv_3539_m_sv])</f>
        <v>0</v>
      </c>
      <c r="BY5" s="61">
        <f>SUBTOTAL(109,gend_gbv_T[gend_gbv_4049_f_pev])</f>
        <v>0</v>
      </c>
      <c r="BZ5" s="61">
        <f>SUBTOTAL(109,gend_gbv_T[gend_gbv_4049_f_sv])</f>
        <v>0</v>
      </c>
      <c r="CA5" s="61">
        <f>SUBTOTAL(109,gend_gbv_T[gend_gbv_4049_m_pev])</f>
        <v>0</v>
      </c>
      <c r="CB5" s="61">
        <f>SUBTOTAL(109,gend_gbv_T[gend_gbv_4049_m_sv])</f>
        <v>0</v>
      </c>
      <c r="CC5" s="61">
        <f>SUBTOTAL(109,gend_gbv_T[gend_gbv_o50_f_pev])</f>
        <v>0</v>
      </c>
      <c r="CD5" s="61">
        <f>SUBTOTAL(109,gend_gbv_T[gend_gbv_o50_f_sv])</f>
        <v>0</v>
      </c>
      <c r="CE5" s="61">
        <f>SUBTOTAL(109,gend_gbv_T[gend_gbv_o50_m_pev])</f>
        <v>0</v>
      </c>
      <c r="CF5" s="61">
        <f>SUBTOTAL(109,gend_gbv_T[gend_gbv_o50_m_sv])</f>
        <v>0</v>
      </c>
      <c r="CG5" s="61">
        <f>SUBTOTAL(109,gend_gbv_T[gend_gbv_pep])</f>
        <v>0</v>
      </c>
      <c r="CH5" s="61">
        <f>SUBTOTAL(109,gend_gbv_T[gend_gbv_pev])</f>
        <v>0</v>
      </c>
      <c r="CI5" s="61">
        <f>SUBTOTAL(109,gend_gbv_T[gend_gbv_sv])</f>
        <v>0</v>
      </c>
    </row>
    <row r="6" spans="1:8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1186</v>
      </c>
      <c r="K6" s="26" t="s">
        <v>1187</v>
      </c>
      <c r="L6" s="26" t="s">
        <v>1188</v>
      </c>
      <c r="M6" s="26" t="s">
        <v>1189</v>
      </c>
      <c r="N6" s="26" t="s">
        <v>1190</v>
      </c>
      <c r="O6" s="26" t="s">
        <v>1191</v>
      </c>
      <c r="P6" s="26" t="s">
        <v>1192</v>
      </c>
      <c r="Q6" s="26" t="s">
        <v>1193</v>
      </c>
      <c r="R6" s="26" t="s">
        <v>1194</v>
      </c>
      <c r="S6" s="26" t="s">
        <v>1195</v>
      </c>
      <c r="T6" s="26" t="s">
        <v>1196</v>
      </c>
      <c r="U6" s="26" t="s">
        <v>1197</v>
      </c>
      <c r="V6" s="26" t="s">
        <v>1198</v>
      </c>
      <c r="W6" s="26" t="s">
        <v>1199</v>
      </c>
      <c r="X6" s="26" t="s">
        <v>1200</v>
      </c>
      <c r="Y6" s="26" t="s">
        <v>1201</v>
      </c>
      <c r="Z6" s="26" t="s">
        <v>1202</v>
      </c>
      <c r="AA6" s="26" t="s">
        <v>1203</v>
      </c>
      <c r="AB6" s="26" t="s">
        <v>1204</v>
      </c>
      <c r="AC6" s="26" t="s">
        <v>1205</v>
      </c>
      <c r="AD6" s="26" t="s">
        <v>1206</v>
      </c>
      <c r="AE6" s="26" t="s">
        <v>1207</v>
      </c>
      <c r="AF6" s="26" t="s">
        <v>1208</v>
      </c>
      <c r="AG6" s="26" t="s">
        <v>1209</v>
      </c>
      <c r="AH6" s="26" t="s">
        <v>1210</v>
      </c>
      <c r="AI6" s="26" t="s">
        <v>1211</v>
      </c>
      <c r="AJ6" s="26" t="s">
        <v>1212</v>
      </c>
      <c r="AK6" s="26" t="s">
        <v>1213</v>
      </c>
      <c r="AL6" s="26" t="s">
        <v>1214</v>
      </c>
      <c r="AM6" s="26" t="s">
        <v>1215</v>
      </c>
      <c r="AN6" s="26" t="s">
        <v>1216</v>
      </c>
      <c r="AO6" s="26" t="s">
        <v>1217</v>
      </c>
      <c r="AP6" s="26" t="s">
        <v>1218</v>
      </c>
      <c r="AQ6" s="26" t="s">
        <v>1219</v>
      </c>
      <c r="AR6" s="26" t="s">
        <v>1220</v>
      </c>
      <c r="AS6" s="26" t="s">
        <v>1221</v>
      </c>
      <c r="AT6" s="26" t="s">
        <v>1222</v>
      </c>
      <c r="AU6" s="26" t="s">
        <v>1641</v>
      </c>
      <c r="AV6" s="26" t="s">
        <v>1010</v>
      </c>
      <c r="AW6" s="26" t="s">
        <v>395</v>
      </c>
      <c r="AX6" s="26" t="s">
        <v>396</v>
      </c>
      <c r="AY6" s="26" t="s">
        <v>397</v>
      </c>
      <c r="AZ6" s="26" t="s">
        <v>398</v>
      </c>
      <c r="BA6" s="26" t="s">
        <v>399</v>
      </c>
      <c r="BB6" s="26" t="s">
        <v>400</v>
      </c>
      <c r="BC6" s="26" t="s">
        <v>401</v>
      </c>
      <c r="BD6" s="26" t="s">
        <v>402</v>
      </c>
      <c r="BE6" s="26" t="s">
        <v>403</v>
      </c>
      <c r="BF6" s="26" t="s">
        <v>404</v>
      </c>
      <c r="BG6" s="26" t="s">
        <v>405</v>
      </c>
      <c r="BH6" s="26" t="s">
        <v>406</v>
      </c>
      <c r="BI6" s="26" t="s">
        <v>407</v>
      </c>
      <c r="BJ6" s="26" t="s">
        <v>408</v>
      </c>
      <c r="BK6" s="26" t="s">
        <v>409</v>
      </c>
      <c r="BL6" s="26" t="s">
        <v>410</v>
      </c>
      <c r="BM6" s="26" t="s">
        <v>411</v>
      </c>
      <c r="BN6" s="26" t="s">
        <v>412</v>
      </c>
      <c r="BO6" s="26" t="s">
        <v>413</v>
      </c>
      <c r="BP6" s="26" t="s">
        <v>414</v>
      </c>
      <c r="BQ6" s="26" t="s">
        <v>415</v>
      </c>
      <c r="BR6" s="26" t="s">
        <v>416</v>
      </c>
      <c r="BS6" s="26" t="s">
        <v>417</v>
      </c>
      <c r="BT6" s="26" t="s">
        <v>418</v>
      </c>
      <c r="BU6" s="26" t="s">
        <v>419</v>
      </c>
      <c r="BV6" s="26" t="s">
        <v>420</v>
      </c>
      <c r="BW6" s="26" t="s">
        <v>421</v>
      </c>
      <c r="BX6" s="26" t="s">
        <v>422</v>
      </c>
      <c r="BY6" s="26" t="s">
        <v>423</v>
      </c>
      <c r="BZ6" s="26" t="s">
        <v>424</v>
      </c>
      <c r="CA6" s="26" t="s">
        <v>425</v>
      </c>
      <c r="CB6" s="26" t="s">
        <v>426</v>
      </c>
      <c r="CC6" s="26" t="s">
        <v>427</v>
      </c>
      <c r="CD6" s="26" t="s">
        <v>428</v>
      </c>
      <c r="CE6" s="26" t="s">
        <v>429</v>
      </c>
      <c r="CF6" s="26" t="s">
        <v>430</v>
      </c>
      <c r="CG6" s="26" t="s">
        <v>431</v>
      </c>
      <c r="CH6" s="26" t="s">
        <v>432</v>
      </c>
      <c r="CI6" s="26" t="s">
        <v>433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7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50">
        <f>SUMIF($AW$4:$CF$4,"*Violence*",gend_gbv_T[[gend_gbv_u10_f_pev]:[gend_gbv_o50_m_sv]])</f>
        <v>0</v>
      </c>
      <c r="CI7" s="50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/>
    </row>
    <row r="13" spans="1:8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/>
    </row>
    <row r="14" spans="1:8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/>
    </row>
    <row r="15" spans="1:8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/>
    </row>
    <row r="16" spans="1:8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/>
    </row>
    <row r="17" spans="1:4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/>
    </row>
    <row r="18" spans="1:4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/>
    </row>
    <row r="19" spans="1:4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/>
    </row>
    <row r="20" spans="1:4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/>
    </row>
    <row r="21" spans="1:4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/>
    </row>
    <row r="22" spans="1:4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/>
    </row>
    <row r="23" spans="1:4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/>
    </row>
    <row r="24" spans="1:4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/>
    </row>
    <row r="25" spans="1:4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/>
    </row>
    <row r="26" spans="1:4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/>
    </row>
    <row r="27" spans="1:4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/>
    </row>
    <row r="28" spans="1:4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/>
    </row>
    <row r="29" spans="1:4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/>
    </row>
    <row r="30" spans="1:4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/>
    </row>
    <row r="31" spans="1:4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/>
    </row>
    <row r="32" spans="1:4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/>
    </row>
    <row r="33" spans="1:4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/>
    </row>
    <row r="34" spans="1:4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/>
    </row>
    <row r="35" spans="1:4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/>
    </row>
    <row r="36" spans="1:4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/>
    </row>
    <row r="37" spans="1:4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/>
    </row>
    <row r="38" spans="1:4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/>
    </row>
    <row r="39" spans="1:4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/>
    </row>
    <row r="40" spans="1:4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/>
    </row>
    <row r="41" spans="1:4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/>
    </row>
    <row r="42" spans="1:4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/>
    </row>
    <row r="43" spans="1:4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/>
    </row>
    <row r="44" spans="1:4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/>
    </row>
    <row r="45" spans="1:4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/>
    </row>
    <row r="46" spans="1:4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/>
    </row>
    <row r="47" spans="1:4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/>
    </row>
    <row r="48" spans="1:4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/>
    </row>
    <row r="49" spans="1:4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/>
    </row>
    <row r="50" spans="1:4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/>
    </row>
    <row r="51" spans="1:4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/>
    </row>
    <row r="52" spans="1:4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/>
    </row>
    <row r="53" spans="1:4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/>
    </row>
    <row r="54" spans="1:4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/>
    </row>
    <row r="55" spans="1:4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/>
    </row>
    <row r="56" spans="1:4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/>
    </row>
    <row r="57" spans="1:4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/>
    </row>
    <row r="58" spans="1:4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/>
    </row>
    <row r="59" spans="1:4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/>
    </row>
    <row r="60" spans="1:4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/>
    </row>
    <row r="61" spans="1:4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/>
    </row>
    <row r="62" spans="1:4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/>
    </row>
    <row r="63" spans="1:4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/>
    </row>
    <row r="64" spans="1:4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/>
    </row>
    <row r="65" spans="1:4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/>
    </row>
    <row r="66" spans="1:4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/>
    </row>
    <row r="67" spans="1:4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/>
    </row>
    <row r="68" spans="1:4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/>
    </row>
    <row r="69" spans="1:4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/>
    </row>
    <row r="70" spans="1:4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/>
    </row>
    <row r="71" spans="1:4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/>
    </row>
    <row r="72" spans="1:4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/>
    </row>
    <row r="73" spans="1:4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/>
    </row>
    <row r="74" spans="1:4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/>
    </row>
    <row r="75" spans="1:4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/>
    </row>
    <row r="76" spans="1:4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/>
    </row>
    <row r="77" spans="1:4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/>
    </row>
    <row r="78" spans="1:4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/>
    </row>
    <row r="79" spans="1:4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/>
    </row>
    <row r="80" spans="1:4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/>
    </row>
    <row r="81" spans="1:4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/>
    </row>
    <row r="82" spans="1:4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/>
    </row>
    <row r="83" spans="1:4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/>
    </row>
    <row r="84" spans="1:4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/>
    </row>
    <row r="85" spans="1:4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/>
    </row>
    <row r="86" spans="1:4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/>
    </row>
    <row r="87" spans="1:4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/>
    </row>
    <row r="88" spans="1:4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/>
    </row>
    <row r="89" spans="1:4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/>
    </row>
    <row r="90" spans="1:4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/>
    </row>
    <row r="91" spans="1:4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/>
    </row>
    <row r="92" spans="1:4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/>
    </row>
    <row r="93" spans="1:4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/>
    </row>
    <row r="94" spans="1:4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/>
    </row>
    <row r="95" spans="1:4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/>
    </row>
    <row r="96" spans="1:4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/>
    </row>
    <row r="97" spans="1:4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/>
    </row>
    <row r="98" spans="1:4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/>
    </row>
    <row r="99" spans="1:4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/>
    </row>
    <row r="100" spans="1:4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/>
    </row>
    <row r="101" spans="1:4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/>
    </row>
    <row r="102" spans="1:4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/>
    </row>
    <row r="103" spans="1:4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/>
    </row>
    <row r="104" spans="1:4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/>
    </row>
    <row r="105" spans="1:4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/>
    </row>
    <row r="106" spans="1:4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/>
    </row>
    <row r="107" spans="1:4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/>
    </row>
    <row r="108" spans="1:4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/>
    </row>
    <row r="109" spans="1:4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/>
    </row>
    <row r="110" spans="1:4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/>
    </row>
    <row r="111" spans="1:4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/>
    </row>
    <row r="112" spans="1:4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/>
    </row>
    <row r="113" spans="1:4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/>
    </row>
    <row r="114" spans="1:4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/>
    </row>
    <row r="115" spans="1:4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/>
    </row>
    <row r="116" spans="1:4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/>
    </row>
    <row r="117" spans="1:4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/>
    </row>
    <row r="118" spans="1:4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/>
    </row>
    <row r="119" spans="1:4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/>
    </row>
    <row r="120" spans="1:4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/>
    </row>
    <row r="121" spans="1:4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/>
    </row>
    <row r="122" spans="1:4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/>
    </row>
    <row r="123" spans="1:4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/>
    </row>
    <row r="124" spans="1:4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/>
    </row>
    <row r="125" spans="1:4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/>
    </row>
    <row r="126" spans="1:4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/>
    </row>
    <row r="127" spans="1:4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/>
    </row>
    <row r="128" spans="1:4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/>
    </row>
    <row r="129" spans="1:4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/>
    </row>
    <row r="130" spans="1:4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/>
    </row>
    <row r="131" spans="1:4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/>
    </row>
    <row r="132" spans="1:4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/>
    </row>
    <row r="133" spans="1:4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/>
    </row>
    <row r="134" spans="1:4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/>
    </row>
    <row r="135" spans="1:4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/>
    </row>
    <row r="136" spans="1:4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/>
    </row>
    <row r="137" spans="1:4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/>
    </row>
    <row r="138" spans="1:4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/>
    </row>
    <row r="139" spans="1:4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/>
    </row>
    <row r="140" spans="1:4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/>
    </row>
    <row r="141" spans="1:4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/>
    </row>
    <row r="142" spans="1:4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/>
    </row>
    <row r="143" spans="1:4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/>
    </row>
    <row r="144" spans="1:4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/>
    </row>
    <row r="145" spans="1:4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/>
    </row>
    <row r="146" spans="1:4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/>
    </row>
    <row r="147" spans="1:4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/>
    </row>
    <row r="148" spans="1:4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/>
    </row>
    <row r="149" spans="1:4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/>
    </row>
    <row r="150" spans="1:4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/>
    </row>
    <row r="151" spans="1:4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/>
    </row>
    <row r="152" spans="1:4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/>
    </row>
    <row r="153" spans="1:4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/>
    </row>
    <row r="154" spans="1:4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/>
    </row>
    <row r="155" spans="1:4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/>
    </row>
    <row r="156" spans="1:4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/>
    </row>
    <row r="157" spans="1:4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/>
    </row>
    <row r="158" spans="1:4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/>
    </row>
    <row r="159" spans="1:4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/>
    </row>
    <row r="160" spans="1:4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/>
    </row>
    <row r="161" spans="1:4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/>
    </row>
    <row r="162" spans="1:4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/>
    </row>
    <row r="163" spans="1:4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/>
    </row>
    <row r="164" spans="1:4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/>
    </row>
    <row r="165" spans="1:4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/>
    </row>
    <row r="166" spans="1:4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/>
    </row>
    <row r="167" spans="1:4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/>
    </row>
    <row r="168" spans="1:4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/>
    </row>
    <row r="169" spans="1:4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/>
    </row>
    <row r="170" spans="1:4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/>
    </row>
    <row r="171" spans="1:4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/>
    </row>
    <row r="172" spans="1:4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/>
    </row>
    <row r="173" spans="1:4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/>
    </row>
    <row r="174" spans="1:4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/>
    </row>
    <row r="175" spans="1:4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/>
    </row>
    <row r="176" spans="1:4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/>
    </row>
    <row r="177" spans="1:4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/>
    </row>
    <row r="178" spans="1:4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/>
    </row>
    <row r="179" spans="1:4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/>
    </row>
    <row r="180" spans="1:4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/>
    </row>
    <row r="181" spans="1:4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/>
    </row>
    <row r="182" spans="1:4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/>
    </row>
    <row r="183" spans="1:4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/>
    </row>
    <row r="184" spans="1:4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/>
    </row>
    <row r="185" spans="1:4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/>
    </row>
    <row r="186" spans="1:4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/>
    </row>
    <row r="187" spans="1:4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/>
    </row>
    <row r="188" spans="1:4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/>
    </row>
    <row r="189" spans="1:4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/>
    </row>
    <row r="190" spans="1:4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/>
    </row>
    <row r="191" spans="1:4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/>
    </row>
    <row r="192" spans="1:4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/>
    </row>
    <row r="193" spans="1:4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/>
    </row>
    <row r="194" spans="1:4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/>
    </row>
    <row r="195" spans="1:4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/>
    </row>
    <row r="196" spans="1:4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/>
    </row>
    <row r="197" spans="1:4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/>
    </row>
    <row r="198" spans="1:4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/>
    </row>
    <row r="199" spans="1:4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/>
    </row>
    <row r="200" spans="1:4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/>
    </row>
    <row r="201" spans="1:4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/>
    </row>
    <row r="202" spans="1:4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/>
    </row>
    <row r="203" spans="1:4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/>
    </row>
    <row r="204" spans="1:4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/>
    </row>
    <row r="205" spans="1:4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/>
    </row>
    <row r="206" spans="1:4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/>
    </row>
    <row r="207" spans="1:4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/>
    </row>
    <row r="208" spans="1:4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/>
    </row>
    <row r="209" spans="1:4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/>
    </row>
    <row r="210" spans="1:4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/>
    </row>
    <row r="211" spans="1:4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/>
    </row>
    <row r="212" spans="1:4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/>
    </row>
    <row r="213" spans="1:4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/>
    </row>
    <row r="214" spans="1:4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/>
    </row>
    <row r="215" spans="1:4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/>
    </row>
    <row r="216" spans="1:4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/>
    </row>
    <row r="217" spans="1:4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/>
    </row>
    <row r="218" spans="1:4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/>
    </row>
    <row r="219" spans="1:4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/>
    </row>
    <row r="220" spans="1:4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/>
    </row>
    <row r="221" spans="1:4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/>
    </row>
    <row r="222" spans="1:4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/>
    </row>
    <row r="223" spans="1:4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/>
    </row>
    <row r="224" spans="1:4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/>
    </row>
    <row r="225" spans="1:4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/>
    </row>
    <row r="226" spans="1:4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/>
    </row>
    <row r="227" spans="1:4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/>
    </row>
    <row r="228" spans="1:4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/>
    </row>
    <row r="229" spans="1:4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/>
    </row>
    <row r="230" spans="1:4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/>
    </row>
    <row r="231" spans="1:4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/>
    </row>
    <row r="232" spans="1:4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/>
    </row>
    <row r="233" spans="1:4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/>
    </row>
    <row r="234" spans="1:4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/>
    </row>
    <row r="235" spans="1:4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/>
    </row>
    <row r="236" spans="1:4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/>
    </row>
    <row r="237" spans="1:4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/>
    </row>
    <row r="238" spans="1:4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/>
    </row>
    <row r="239" spans="1:4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/>
    </row>
    <row r="240" spans="1:4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/>
    </row>
    <row r="241" spans="1:4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/>
    </row>
    <row r="242" spans="1:4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/>
    </row>
    <row r="243" spans="1:4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/>
    </row>
    <row r="244" spans="1:4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/>
    </row>
    <row r="245" spans="1:4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/>
    </row>
    <row r="246" spans="1:4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/>
    </row>
    <row r="247" spans="1:4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/>
    </row>
    <row r="248" spans="1:4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/>
    </row>
    <row r="249" spans="1:4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/>
    </row>
    <row r="250" spans="1:4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/>
    </row>
    <row r="251" spans="1:4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/>
    </row>
    <row r="252" spans="1:4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/>
    </row>
    <row r="253" spans="1:4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/>
    </row>
    <row r="254" spans="1:4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/>
    </row>
    <row r="255" spans="1:4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/>
    </row>
    <row r="256" spans="1:4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/>
    </row>
    <row r="257" spans="1:4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/>
    </row>
    <row r="258" spans="1:4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/>
    </row>
    <row r="259" spans="1:4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/>
    </row>
    <row r="260" spans="1:4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/>
    </row>
    <row r="261" spans="1:4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/>
    </row>
    <row r="262" spans="1:4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/>
    </row>
    <row r="263" spans="1:4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/>
    </row>
    <row r="264" spans="1:4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/>
    </row>
    <row r="265" spans="1:4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/>
    </row>
    <row r="266" spans="1:4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/>
    </row>
    <row r="267" spans="1:4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/>
    </row>
    <row r="268" spans="1:4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/>
    </row>
    <row r="269" spans="1:4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/>
    </row>
    <row r="270" spans="1:4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/>
    </row>
    <row r="271" spans="1:4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/>
    </row>
    <row r="272" spans="1:4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/>
    </row>
    <row r="273" spans="1:4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/>
    </row>
    <row r="274" spans="1:4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/>
    </row>
    <row r="275" spans="1:4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/>
    </row>
    <row r="276" spans="1:4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/>
    </row>
    <row r="277" spans="1:4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/>
    </row>
    <row r="278" spans="1:4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/>
    </row>
    <row r="279" spans="1:4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/>
    </row>
    <row r="280" spans="1:4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/>
    </row>
    <row r="281" spans="1:4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/>
    </row>
    <row r="282" spans="1:4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/>
    </row>
    <row r="283" spans="1:4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/>
    </row>
    <row r="284" spans="1:4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/>
    </row>
    <row r="285" spans="1:4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/>
    </row>
    <row r="286" spans="1:4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/>
    </row>
    <row r="287" spans="1:4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/>
    </row>
    <row r="288" spans="1:4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/>
    </row>
    <row r="289" spans="1:4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/>
    </row>
    <row r="290" spans="1:4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/>
    </row>
    <row r="291" spans="1:4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/>
    </row>
    <row r="292" spans="1:4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/>
    </row>
    <row r="293" spans="1:4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/>
    </row>
    <row r="294" spans="1:4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/>
    </row>
    <row r="295" spans="1:4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/>
    </row>
    <row r="296" spans="1:4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/>
    </row>
    <row r="297" spans="1:4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/>
    </row>
    <row r="298" spans="1:4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/>
    </row>
    <row r="299" spans="1:4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/>
    </row>
    <row r="300" spans="1:4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/>
    </row>
    <row r="301" spans="1:4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/>
    </row>
    <row r="302" spans="1:4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/>
    </row>
    <row r="303" spans="1:4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/>
    </row>
    <row r="304" spans="1:4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/>
    </row>
    <row r="305" spans="1:4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/>
    </row>
    <row r="306" spans="1:4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/>
    </row>
    <row r="307" spans="1:4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/>
    </row>
    <row r="308" spans="1:4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/>
    </row>
    <row r="309" spans="1:4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/>
    </row>
    <row r="310" spans="1:4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/>
    </row>
    <row r="311" spans="1:4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/>
    </row>
    <row r="312" spans="1:4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/>
    </row>
    <row r="313" spans="1:4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/>
    </row>
    <row r="314" spans="1:4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/>
    </row>
    <row r="315" spans="1:4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/>
    </row>
    <row r="316" spans="1:4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/>
    </row>
    <row r="317" spans="1:4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/>
    </row>
    <row r="318" spans="1:4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/>
    </row>
    <row r="319" spans="1:4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/>
    </row>
    <row r="320" spans="1:4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/>
    </row>
    <row r="321" spans="1:4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/>
    </row>
    <row r="322" spans="1:4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/>
    </row>
    <row r="323" spans="1:4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/>
    </row>
    <row r="324" spans="1:4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/>
    </row>
    <row r="325" spans="1:4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/>
    </row>
    <row r="326" spans="1:4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/>
    </row>
    <row r="327" spans="1:4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/>
    </row>
    <row r="328" spans="1:4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/>
    </row>
    <row r="329" spans="1:4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/>
    </row>
    <row r="330" spans="1:4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/>
    </row>
    <row r="331" spans="1:4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/>
    </row>
    <row r="332" spans="1:4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/>
    </row>
    <row r="333" spans="1:4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/>
    </row>
    <row r="334" spans="1:4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/>
    </row>
    <row r="335" spans="1:4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/>
    </row>
    <row r="336" spans="1:4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/>
    </row>
    <row r="337" spans="1:4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/>
    </row>
    <row r="338" spans="1:4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/>
    </row>
    <row r="339" spans="1:4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/>
    </row>
    <row r="340" spans="1:4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/>
    </row>
    <row r="341" spans="1:4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/>
    </row>
    <row r="342" spans="1:4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/>
    </row>
    <row r="343" spans="1:4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/>
    </row>
    <row r="344" spans="1:4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/>
    </row>
    <row r="345" spans="1:4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/>
    </row>
    <row r="346" spans="1:4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/>
    </row>
    <row r="347" spans="1:4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/>
    </row>
    <row r="348" spans="1:4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/>
    </row>
    <row r="349" spans="1:4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/>
    </row>
    <row r="350" spans="1:4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/>
    </row>
    <row r="351" spans="1:4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/>
    </row>
    <row r="352" spans="1:4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/>
    </row>
    <row r="353" spans="1:4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/>
    </row>
    <row r="354" spans="1:4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/>
    </row>
    <row r="355" spans="1:4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/>
    </row>
    <row r="356" spans="1:4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/>
    </row>
    <row r="357" spans="1:4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/>
    </row>
    <row r="358" spans="1:4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/>
    </row>
    <row r="359" spans="1:4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/>
    </row>
    <row r="360" spans="1:4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/>
    </row>
    <row r="361" spans="1:4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/>
    </row>
    <row r="362" spans="1:4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/>
    </row>
    <row r="363" spans="1:4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/>
    </row>
    <row r="364" spans="1:4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/>
    </row>
    <row r="365" spans="1:4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/>
    </row>
    <row r="366" spans="1:4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/>
    </row>
    <row r="367" spans="1:4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/>
    </row>
    <row r="368" spans="1:4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/>
    </row>
    <row r="369" spans="1:4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/>
    </row>
    <row r="370" spans="1:4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/>
    </row>
    <row r="371" spans="1:4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/>
    </row>
    <row r="372" spans="1:4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/>
    </row>
    <row r="373" spans="1:4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/>
    </row>
    <row r="374" spans="1:4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/>
    </row>
    <row r="375" spans="1:4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/>
    </row>
    <row r="376" spans="1:4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/>
    </row>
    <row r="377" spans="1:4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/>
    </row>
    <row r="378" spans="1:4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/>
    </row>
    <row r="379" spans="1:4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/>
    </row>
    <row r="380" spans="1:4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/>
    </row>
    <row r="381" spans="1:4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/>
    </row>
    <row r="382" spans="1:4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/>
    </row>
    <row r="383" spans="1:4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/>
    </row>
    <row r="384" spans="1:4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/>
    </row>
    <row r="385" spans="1:4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/>
    </row>
    <row r="386" spans="1:4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/>
    </row>
    <row r="387" spans="1:4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/>
    </row>
    <row r="388" spans="1:4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/>
    </row>
    <row r="389" spans="1:4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/>
    </row>
    <row r="390" spans="1:4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/>
    </row>
    <row r="391" spans="1:4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/>
    </row>
    <row r="392" spans="1:4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/>
    </row>
    <row r="393" spans="1:4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/>
    </row>
    <row r="394" spans="1:4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/>
    </row>
    <row r="395" spans="1:4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/>
    </row>
    <row r="396" spans="1:4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/>
    </row>
    <row r="397" spans="1:4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/>
    </row>
    <row r="398" spans="1:4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/>
    </row>
    <row r="399" spans="1:4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/>
    </row>
    <row r="400" spans="1:4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/>
    </row>
    <row r="401" spans="1:4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/>
    </row>
    <row r="402" spans="1:4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/>
    </row>
    <row r="403" spans="1:4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/>
    </row>
    <row r="404" spans="1:4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/>
    </row>
    <row r="405" spans="1:4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/>
    </row>
    <row r="406" spans="1:4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/>
    </row>
    <row r="407" spans="1:4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/>
    </row>
    <row r="408" spans="1:4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/>
    </row>
    <row r="409" spans="1:4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/>
    </row>
    <row r="410" spans="1:4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/>
    </row>
    <row r="411" spans="1:4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/>
    </row>
    <row r="412" spans="1:4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/>
    </row>
    <row r="413" spans="1:4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/>
    </row>
    <row r="414" spans="1:4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/>
    </row>
    <row r="415" spans="1:4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/>
    </row>
    <row r="416" spans="1:4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/>
    </row>
    <row r="417" spans="1:4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/>
    </row>
    <row r="418" spans="1:4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/>
    </row>
    <row r="419" spans="1:4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/>
    </row>
    <row r="420" spans="1:4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/>
    </row>
    <row r="421" spans="1:4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/>
    </row>
    <row r="422" spans="1:4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/>
    </row>
    <row r="423" spans="1:4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/>
    </row>
    <row r="424" spans="1:4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/>
    </row>
    <row r="425" spans="1:4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/>
    </row>
    <row r="426" spans="1:4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/>
    </row>
    <row r="427" spans="1:4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/>
    </row>
    <row r="428" spans="1:4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/>
    </row>
    <row r="429" spans="1:4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/>
    </row>
    <row r="430" spans="1:4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/>
    </row>
    <row r="431" spans="1:4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/>
    </row>
    <row r="432" spans="1:4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/>
    </row>
    <row r="433" spans="1:4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/>
    </row>
    <row r="434" spans="1:4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/>
    </row>
    <row r="435" spans="1:4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/>
    </row>
    <row r="436" spans="1:4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/>
    </row>
    <row r="437" spans="1:4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/>
    </row>
    <row r="438" spans="1:4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/>
    </row>
    <row r="439" spans="1:4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/>
    </row>
    <row r="440" spans="1:4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/>
    </row>
    <row r="441" spans="1:4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/>
    </row>
    <row r="442" spans="1:4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/>
    </row>
    <row r="443" spans="1:4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/>
    </row>
    <row r="444" spans="1:4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/>
    </row>
    <row r="445" spans="1:4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/>
    </row>
    <row r="446" spans="1:4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/>
    </row>
    <row r="447" spans="1:4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/>
    </row>
    <row r="448" spans="1:4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/>
    </row>
    <row r="449" spans="1:4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/>
    </row>
    <row r="450" spans="1:4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/>
    </row>
    <row r="451" spans="1:4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/>
    </row>
    <row r="452" spans="1:4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/>
    </row>
    <row r="453" spans="1:4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/>
    </row>
    <row r="454" spans="1:4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/>
    </row>
    <row r="455" spans="1:4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/>
    </row>
    <row r="456" spans="1:4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/>
    </row>
    <row r="457" spans="1:4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/>
    </row>
    <row r="458" spans="1:4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/>
    </row>
    <row r="459" spans="1:4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/>
    </row>
    <row r="460" spans="1:4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/>
    </row>
    <row r="461" spans="1:4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/>
    </row>
    <row r="462" spans="1:4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/>
    </row>
    <row r="463" spans="1:4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/>
    </row>
    <row r="464" spans="1:4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/>
    </row>
    <row r="465" spans="1:4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/>
    </row>
    <row r="466" spans="1:4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/>
    </row>
    <row r="467" spans="1:4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/>
    </row>
    <row r="468" spans="1:4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/>
    </row>
    <row r="469" spans="1:4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/>
    </row>
    <row r="470" spans="1:4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/>
    </row>
    <row r="471" spans="1:4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/>
    </row>
    <row r="472" spans="1:4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/>
    </row>
    <row r="473" spans="1:4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/>
    </row>
    <row r="474" spans="1:4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/>
    </row>
    <row r="475" spans="1:4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/>
    </row>
    <row r="476" spans="1:4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/>
    </row>
    <row r="477" spans="1:4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/>
    </row>
    <row r="478" spans="1:4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/>
    </row>
    <row r="479" spans="1:4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/>
    </row>
    <row r="480" spans="1:4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/>
    </row>
    <row r="481" spans="1:4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/>
    </row>
    <row r="482" spans="1:4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/>
    </row>
    <row r="483" spans="1:4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/>
    </row>
    <row r="484" spans="1:4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/>
    </row>
    <row r="485" spans="1:4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/>
    </row>
    <row r="486" spans="1:4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/>
    </row>
    <row r="487" spans="1:4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/>
    </row>
    <row r="488" spans="1:4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/>
    </row>
    <row r="489" spans="1:4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/>
    </row>
    <row r="490" spans="1:4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/>
    </row>
    <row r="491" spans="1:4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/>
    </row>
    <row r="492" spans="1:4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/>
    </row>
    <row r="493" spans="1:4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/>
    </row>
    <row r="494" spans="1:4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/>
    </row>
    <row r="495" spans="1:4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/>
    </row>
    <row r="496" spans="1:4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/>
    </row>
    <row r="497" spans="1:4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/>
    </row>
    <row r="498" spans="1:4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/>
    </row>
    <row r="499" spans="1:4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/>
    </row>
    <row r="500" spans="1:4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/>
    </row>
    <row r="501" spans="1:4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/>
    </row>
    <row r="502" spans="1:4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/>
    </row>
    <row r="503" spans="1:4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/>
    </row>
    <row r="504" spans="1:4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/>
    </row>
    <row r="505" spans="1:4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/>
    </row>
    <row r="506" spans="1:4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/>
    </row>
    <row r="507" spans="1:4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/>
    </row>
    <row r="508" spans="1:4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/>
    </row>
    <row r="509" spans="1:4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/>
    </row>
    <row r="510" spans="1:4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/>
    </row>
    <row r="511" spans="1:4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/>
    </row>
    <row r="512" spans="1:4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/>
    </row>
    <row r="513" spans="1:4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/>
    </row>
    <row r="514" spans="1:4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/>
    </row>
    <row r="515" spans="1:4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/>
    </row>
    <row r="516" spans="1:4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/>
    </row>
    <row r="517" spans="1:4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/>
    </row>
    <row r="518" spans="1:4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/>
    </row>
    <row r="519" spans="1:4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/>
    </row>
    <row r="520" spans="1:4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/>
    </row>
    <row r="521" spans="1:4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/>
    </row>
    <row r="522" spans="1:4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/>
    </row>
    <row r="523" spans="1:4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/>
    </row>
    <row r="524" spans="1:4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/>
    </row>
    <row r="525" spans="1:4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/>
    </row>
    <row r="526" spans="1:4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/>
    </row>
    <row r="527" spans="1:4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/>
    </row>
    <row r="528" spans="1:4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/>
    </row>
    <row r="529" spans="1:4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/>
    </row>
    <row r="530" spans="1:4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/>
    </row>
    <row r="531" spans="1:4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/>
    </row>
    <row r="532" spans="1:4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/>
    </row>
    <row r="533" spans="1:4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/>
    </row>
    <row r="534" spans="1:4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/>
    </row>
    <row r="535" spans="1:4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/>
    </row>
    <row r="536" spans="1:4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/>
    </row>
    <row r="537" spans="1:4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/>
    </row>
    <row r="538" spans="1:4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/>
    </row>
    <row r="539" spans="1:4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/>
    </row>
    <row r="540" spans="1:4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/>
    </row>
    <row r="541" spans="1:4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/>
    </row>
    <row r="542" spans="1:4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/>
    </row>
    <row r="543" spans="1:4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/>
    </row>
    <row r="544" spans="1:4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/>
    </row>
    <row r="545" spans="1:4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/>
    </row>
    <row r="546" spans="1:4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/>
    </row>
    <row r="547" spans="1:4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/>
    </row>
    <row r="548" spans="1:4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/>
    </row>
    <row r="549" spans="1:4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/>
    </row>
    <row r="550" spans="1:4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/>
    </row>
    <row r="551" spans="1:4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/>
    </row>
    <row r="552" spans="1:4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/>
    </row>
    <row r="553" spans="1:4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/>
    </row>
    <row r="554" spans="1:4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/>
    </row>
    <row r="555" spans="1:4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/>
    </row>
    <row r="556" spans="1:4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/>
    </row>
    <row r="557" spans="1:4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/>
    </row>
    <row r="558" spans="1:4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/>
    </row>
    <row r="559" spans="1:4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/>
    </row>
    <row r="560" spans="1:4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/>
    </row>
    <row r="561" spans="1:4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/>
    </row>
    <row r="562" spans="1:4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/>
    </row>
    <row r="563" spans="1:4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/>
    </row>
    <row r="564" spans="1:4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/>
    </row>
    <row r="565" spans="1:4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/>
    </row>
    <row r="566" spans="1:4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/>
    </row>
    <row r="567" spans="1:4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/>
    </row>
    <row r="568" spans="1:4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/>
    </row>
    <row r="569" spans="1:4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/>
    </row>
    <row r="570" spans="1:4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/>
    </row>
    <row r="571" spans="1:4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/>
    </row>
    <row r="572" spans="1:4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/>
    </row>
    <row r="573" spans="1:4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/>
    </row>
    <row r="574" spans="1:4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/>
    </row>
    <row r="575" spans="1:4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/>
    </row>
    <row r="576" spans="1:4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/>
    </row>
    <row r="577" spans="1:4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/>
    </row>
    <row r="578" spans="1:4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/>
    </row>
    <row r="579" spans="1:4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/>
    </row>
    <row r="580" spans="1:4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/>
    </row>
    <row r="581" spans="1:4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/>
    </row>
    <row r="582" spans="1:4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/>
    </row>
    <row r="583" spans="1:4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/>
    </row>
    <row r="584" spans="1:4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/>
    </row>
    <row r="585" spans="1:4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/>
    </row>
    <row r="586" spans="1:4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/>
    </row>
    <row r="587" spans="1:4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/>
    </row>
    <row r="588" spans="1:4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/>
    </row>
    <row r="589" spans="1:4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/>
    </row>
    <row r="590" spans="1:4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/>
    </row>
    <row r="591" spans="1:4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/>
    </row>
    <row r="592" spans="1:4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/>
    </row>
    <row r="593" spans="1:4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/>
    </row>
    <row r="594" spans="1:4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/>
    </row>
    <row r="595" spans="1:4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/>
    </row>
    <row r="596" spans="1:4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/>
    </row>
    <row r="597" spans="1:4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/>
    </row>
    <row r="598" spans="1:4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/>
    </row>
    <row r="599" spans="1:4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/>
    </row>
    <row r="600" spans="1:4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/>
    </row>
    <row r="601" spans="1:4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/>
    </row>
    <row r="602" spans="1:4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/>
    </row>
    <row r="603" spans="1:4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/>
    </row>
    <row r="604" spans="1:4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/>
    </row>
    <row r="605" spans="1:4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/>
    </row>
    <row r="606" spans="1:4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/>
    </row>
    <row r="607" spans="1:4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/>
    </row>
    <row r="608" spans="1:4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/>
    </row>
    <row r="609" spans="1:4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/>
    </row>
    <row r="610" spans="1:4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/>
    </row>
    <row r="611" spans="1:4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/>
    </row>
    <row r="612" spans="1:4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/>
    </row>
    <row r="613" spans="1:4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/>
    </row>
    <row r="614" spans="1:4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/>
    </row>
    <row r="615" spans="1:4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/>
    </row>
    <row r="616" spans="1:4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/>
    </row>
    <row r="617" spans="1:4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/>
    </row>
    <row r="618" spans="1:4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/>
    </row>
    <row r="619" spans="1:4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/>
    </row>
    <row r="620" spans="1:4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/>
    </row>
    <row r="621" spans="1:4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/>
    </row>
    <row r="622" spans="1:4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/>
    </row>
    <row r="623" spans="1:4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/>
    </row>
    <row r="624" spans="1:4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/>
    </row>
    <row r="625" spans="1:4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/>
    </row>
    <row r="626" spans="1:4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/>
    </row>
    <row r="627" spans="1:4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/>
    </row>
    <row r="628" spans="1:4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/>
    </row>
    <row r="629" spans="1:4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/>
    </row>
    <row r="630" spans="1:4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/>
    </row>
    <row r="631" spans="1:4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/>
    </row>
    <row r="632" spans="1:4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/>
    </row>
    <row r="633" spans="1:4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/>
    </row>
    <row r="634" spans="1:4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/>
    </row>
    <row r="635" spans="1:4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/>
    </row>
    <row r="636" spans="1:4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/>
    </row>
    <row r="637" spans="1:4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/>
    </row>
    <row r="638" spans="1:4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/>
    </row>
    <row r="639" spans="1:4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/>
    </row>
    <row r="640" spans="1:4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/>
    </row>
    <row r="641" spans="1:4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/>
    </row>
    <row r="642" spans="1:4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/>
    </row>
    <row r="643" spans="1:4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/>
    </row>
    <row r="644" spans="1:4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/>
    </row>
    <row r="645" spans="1:4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/>
    </row>
    <row r="646" spans="1:4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/>
    </row>
    <row r="647" spans="1:4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/>
    </row>
    <row r="648" spans="1:4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/>
    </row>
    <row r="649" spans="1:4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/>
    </row>
    <row r="650" spans="1:4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/>
    </row>
    <row r="651" spans="1:4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/>
    </row>
    <row r="652" spans="1:4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/>
    </row>
    <row r="653" spans="1:4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/>
    </row>
    <row r="654" spans="1:4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/>
    </row>
    <row r="655" spans="1:4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/>
    </row>
    <row r="656" spans="1:4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/>
    </row>
    <row r="657" spans="1:4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/>
    </row>
    <row r="658" spans="1:4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/>
    </row>
    <row r="659" spans="1:4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/>
    </row>
    <row r="660" spans="1:4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/>
    </row>
    <row r="661" spans="1:4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/>
    </row>
    <row r="662" spans="1:4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/>
    </row>
    <row r="663" spans="1:4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/>
    </row>
    <row r="664" spans="1:4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/>
    </row>
    <row r="665" spans="1:4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/>
    </row>
    <row r="666" spans="1:4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/>
    </row>
    <row r="667" spans="1:4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/>
    </row>
    <row r="668" spans="1:4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/>
    </row>
    <row r="669" spans="1:4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/>
    </row>
    <row r="670" spans="1:4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/>
    </row>
    <row r="671" spans="1:4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/>
    </row>
    <row r="672" spans="1:4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/>
    </row>
    <row r="673" spans="1:4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/>
    </row>
    <row r="674" spans="1:4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/>
    </row>
    <row r="675" spans="1:4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/>
    </row>
    <row r="676" spans="1:4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/>
    </row>
    <row r="677" spans="1:4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/>
    </row>
    <row r="678" spans="1:4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/>
    </row>
    <row r="679" spans="1:4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/>
    </row>
    <row r="680" spans="1:4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/>
    </row>
    <row r="681" spans="1:4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/>
    </row>
    <row r="682" spans="1:4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/>
    </row>
    <row r="683" spans="1:4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/>
    </row>
    <row r="684" spans="1:4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/>
    </row>
    <row r="685" spans="1:4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/>
    </row>
    <row r="686" spans="1:4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/>
    </row>
    <row r="687" spans="1:4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/>
    </row>
    <row r="688" spans="1:4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/>
    </row>
    <row r="689" spans="1:4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/>
    </row>
    <row r="690" spans="1:4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/>
    </row>
    <row r="691" spans="1:4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/>
    </row>
    <row r="692" spans="1:4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/>
    </row>
    <row r="693" spans="1:4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/>
    </row>
    <row r="694" spans="1:4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/>
    </row>
    <row r="695" spans="1:4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/>
    </row>
    <row r="696" spans="1:4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/>
    </row>
    <row r="697" spans="1:4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/>
    </row>
    <row r="698" spans="1:4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/>
    </row>
    <row r="699" spans="1:4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/>
    </row>
    <row r="700" spans="1:4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/>
    </row>
    <row r="701" spans="1:4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/>
    </row>
    <row r="702" spans="1:4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/>
    </row>
    <row r="703" spans="1:4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/>
    </row>
    <row r="704" spans="1:4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/>
    </row>
    <row r="705" spans="1:4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/>
    </row>
    <row r="706" spans="1:4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/>
    </row>
    <row r="707" spans="1:4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/>
    </row>
    <row r="708" spans="1:4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/>
    </row>
    <row r="709" spans="1:4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/>
    </row>
    <row r="710" spans="1:4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/>
    </row>
    <row r="711" spans="1:4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/>
    </row>
    <row r="712" spans="1:4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/>
    </row>
    <row r="713" spans="1:4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/>
    </row>
    <row r="714" spans="1:4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/>
    </row>
    <row r="715" spans="1:4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/>
    </row>
    <row r="716" spans="1:4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/>
    </row>
    <row r="717" spans="1:4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/>
    </row>
    <row r="718" spans="1:4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/>
    </row>
    <row r="719" spans="1:4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/>
    </row>
    <row r="720" spans="1:4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/>
    </row>
    <row r="721" spans="1:4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/>
    </row>
    <row r="722" spans="1:4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/>
    </row>
    <row r="723" spans="1:4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/>
    </row>
    <row r="724" spans="1:4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/>
    </row>
    <row r="725" spans="1:4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/>
    </row>
    <row r="726" spans="1:4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/>
    </row>
    <row r="727" spans="1:4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/>
    </row>
    <row r="728" spans="1:4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/>
    </row>
    <row r="729" spans="1:4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/>
    </row>
    <row r="730" spans="1:4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/>
    </row>
    <row r="731" spans="1:4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/>
    </row>
    <row r="732" spans="1:4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/>
    </row>
    <row r="733" spans="1:4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/>
    </row>
    <row r="734" spans="1:4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/>
    </row>
    <row r="735" spans="1:4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/>
    </row>
    <row r="736" spans="1:4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/>
    </row>
    <row r="737" spans="1:4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/>
    </row>
    <row r="738" spans="1:4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/>
    </row>
    <row r="739" spans="1:4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/>
    </row>
    <row r="740" spans="1:4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/>
    </row>
    <row r="741" spans="1:4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/>
    </row>
    <row r="742" spans="1:4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/>
    </row>
    <row r="743" spans="1:4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/>
    </row>
    <row r="744" spans="1:4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/>
    </row>
    <row r="745" spans="1:4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/>
    </row>
    <row r="746" spans="1:4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/>
    </row>
    <row r="747" spans="1:4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/>
    </row>
    <row r="748" spans="1:4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/>
    </row>
    <row r="749" spans="1:4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/>
    </row>
    <row r="750" spans="1:4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/>
    </row>
    <row r="751" spans="1:4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/>
    </row>
    <row r="752" spans="1:4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/>
    </row>
    <row r="753" spans="1:4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/>
    </row>
    <row r="754" spans="1:4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/>
    </row>
    <row r="755" spans="1:4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/>
    </row>
    <row r="756" spans="1:4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/>
    </row>
    <row r="757" spans="1:4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/>
    </row>
    <row r="758" spans="1:4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/>
    </row>
    <row r="759" spans="1:4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/>
    </row>
    <row r="760" spans="1:4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/>
    </row>
    <row r="761" spans="1:4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/>
    </row>
    <row r="762" spans="1:4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/>
    </row>
    <row r="763" spans="1:4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/>
    </row>
    <row r="764" spans="1:4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/>
    </row>
    <row r="765" spans="1:4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/>
    </row>
    <row r="766" spans="1:4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/>
    </row>
    <row r="767" spans="1:4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/>
    </row>
    <row r="768" spans="1:4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/>
    </row>
    <row r="769" spans="1:4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/>
    </row>
    <row r="770" spans="1:4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/>
    </row>
    <row r="771" spans="1:4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/>
    </row>
    <row r="772" spans="1:4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/>
    </row>
    <row r="773" spans="1:4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/>
    </row>
    <row r="774" spans="1:4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/>
    </row>
    <row r="775" spans="1:4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/>
    </row>
    <row r="776" spans="1:4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/>
    </row>
    <row r="777" spans="1:4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/>
    </row>
    <row r="778" spans="1:4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/>
    </row>
    <row r="779" spans="1:4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/>
    </row>
    <row r="780" spans="1:4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/>
    </row>
    <row r="781" spans="1:4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/>
    </row>
    <row r="782" spans="1:4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/>
    </row>
    <row r="783" spans="1:4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/>
    </row>
    <row r="784" spans="1:4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/>
    </row>
    <row r="785" spans="1:4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/>
    </row>
    <row r="786" spans="1:4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/>
    </row>
    <row r="787" spans="1:4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/>
    </row>
    <row r="788" spans="1:4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/>
    </row>
    <row r="789" spans="1:4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/>
    </row>
    <row r="790" spans="1:4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/>
    </row>
    <row r="791" spans="1:4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/>
    </row>
    <row r="792" spans="1:4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/>
    </row>
    <row r="793" spans="1:4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/>
    </row>
    <row r="794" spans="1:4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/>
    </row>
    <row r="795" spans="1:4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/>
    </row>
    <row r="796" spans="1:4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/>
    </row>
    <row r="797" spans="1:4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/>
    </row>
    <row r="798" spans="1:4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/>
    </row>
    <row r="799" spans="1:4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/>
    </row>
    <row r="800" spans="1:4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/>
    </row>
    <row r="801" spans="1:4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/>
    </row>
    <row r="802" spans="1:4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/>
    </row>
    <row r="803" spans="1:4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/>
    </row>
    <row r="804" spans="1:4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/>
    </row>
    <row r="805" spans="1:4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/>
    </row>
    <row r="806" spans="1:4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/>
    </row>
    <row r="807" spans="1:4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/>
    </row>
    <row r="808" spans="1:4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/>
    </row>
    <row r="809" spans="1:4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/>
    </row>
    <row r="810" spans="1:4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/>
    </row>
    <row r="811" spans="1:4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/>
    </row>
    <row r="812" spans="1:4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/>
    </row>
    <row r="813" spans="1:4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/>
    </row>
    <row r="814" spans="1:4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/>
    </row>
    <row r="815" spans="1:4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/>
    </row>
    <row r="816" spans="1:4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/>
    </row>
    <row r="817" spans="1:4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/>
    </row>
    <row r="818" spans="1:4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/>
    </row>
    <row r="819" spans="1:4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/>
    </row>
    <row r="820" spans="1:4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/>
    </row>
    <row r="821" spans="1:4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/>
    </row>
    <row r="822" spans="1:4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/>
    </row>
    <row r="823" spans="1:4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/>
    </row>
    <row r="824" spans="1:4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/>
    </row>
    <row r="825" spans="1:4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/>
    </row>
    <row r="826" spans="1:4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/>
    </row>
    <row r="827" spans="1:4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/>
    </row>
    <row r="828" spans="1:4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/>
    </row>
    <row r="829" spans="1:4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/>
    </row>
    <row r="830" spans="1:4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/>
    </row>
    <row r="831" spans="1:4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/>
    </row>
    <row r="832" spans="1:4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/>
    </row>
    <row r="833" spans="1:4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/>
    </row>
    <row r="834" spans="1:4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/>
    </row>
    <row r="835" spans="1:4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/>
    </row>
    <row r="836" spans="1:4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/>
    </row>
    <row r="837" spans="1:4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/>
    </row>
    <row r="838" spans="1:4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/>
    </row>
    <row r="839" spans="1:4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/>
    </row>
    <row r="840" spans="1:4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/>
    </row>
    <row r="841" spans="1:4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/>
    </row>
    <row r="842" spans="1:4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/>
    </row>
    <row r="843" spans="1:4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/>
    </row>
    <row r="844" spans="1:4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/>
    </row>
    <row r="845" spans="1:4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/>
    </row>
    <row r="846" spans="1:4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/>
    </row>
    <row r="847" spans="1:4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/>
    </row>
    <row r="848" spans="1:4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/>
    </row>
    <row r="849" spans="1:4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/>
    </row>
    <row r="850" spans="1:4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/>
    </row>
    <row r="851" spans="1:4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/>
    </row>
    <row r="852" spans="1:4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/>
    </row>
    <row r="853" spans="1:4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/>
    </row>
    <row r="854" spans="1:4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/>
    </row>
    <row r="855" spans="1:4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/>
    </row>
    <row r="856" spans="1:4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/>
    </row>
    <row r="857" spans="1:4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/>
    </row>
    <row r="858" spans="1:4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/>
    </row>
    <row r="859" spans="1:4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/>
    </row>
    <row r="860" spans="1:4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/>
    </row>
    <row r="861" spans="1:4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/>
    </row>
    <row r="862" spans="1:4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/>
    </row>
    <row r="863" spans="1:4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/>
    </row>
    <row r="864" spans="1:4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/>
    </row>
    <row r="865" spans="1:4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/>
    </row>
    <row r="866" spans="1:4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/>
    </row>
    <row r="867" spans="1:4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/>
    </row>
    <row r="868" spans="1:4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/>
    </row>
    <row r="869" spans="1:4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/>
    </row>
    <row r="870" spans="1:4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/>
    </row>
    <row r="871" spans="1:4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/>
    </row>
    <row r="872" spans="1:4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/>
    </row>
    <row r="873" spans="1:4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/>
    </row>
    <row r="874" spans="1:4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/>
    </row>
    <row r="875" spans="1:4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/>
    </row>
    <row r="876" spans="1:4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/>
    </row>
    <row r="877" spans="1:4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/>
    </row>
    <row r="878" spans="1:4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/>
    </row>
    <row r="879" spans="1:4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/>
    </row>
    <row r="880" spans="1:4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/>
    </row>
    <row r="881" spans="1:4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/>
    </row>
    <row r="882" spans="1:4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/>
    </row>
    <row r="883" spans="1:4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/>
    </row>
    <row r="884" spans="1:4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/>
    </row>
    <row r="885" spans="1:4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/>
    </row>
    <row r="886" spans="1:4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/>
    </row>
    <row r="887" spans="1:4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/>
    </row>
    <row r="888" spans="1:4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/>
    </row>
    <row r="889" spans="1:4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/>
    </row>
    <row r="890" spans="1:4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/>
    </row>
    <row r="891" spans="1:4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/>
    </row>
    <row r="892" spans="1:4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/>
    </row>
    <row r="893" spans="1:4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/>
    </row>
    <row r="894" spans="1:4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/>
    </row>
    <row r="895" spans="1:4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/>
    </row>
    <row r="896" spans="1:4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/>
    </row>
    <row r="897" spans="1:4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/>
    </row>
    <row r="898" spans="1:4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/>
    </row>
    <row r="899" spans="1:4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/>
    </row>
    <row r="900" spans="1:4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/>
    </row>
    <row r="901" spans="1:4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/>
    </row>
    <row r="902" spans="1:4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/>
    </row>
    <row r="903" spans="1:4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/>
    </row>
    <row r="904" spans="1:4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/>
    </row>
    <row r="905" spans="1:4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/>
    </row>
    <row r="906" spans="1:4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/>
    </row>
    <row r="907" spans="1:4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/>
    </row>
    <row r="908" spans="1:4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/>
    </row>
    <row r="909" spans="1:4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/>
    </row>
    <row r="910" spans="1:4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/>
    </row>
    <row r="911" spans="1:4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/>
    </row>
    <row r="912" spans="1:4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/>
    </row>
    <row r="913" spans="1:4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/>
    </row>
    <row r="914" spans="1:4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/>
    </row>
    <row r="915" spans="1:4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/>
    </row>
    <row r="916" spans="1:4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/>
    </row>
    <row r="917" spans="1:4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/>
    </row>
    <row r="918" spans="1:4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/>
    </row>
    <row r="919" spans="1:4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/>
    </row>
    <row r="920" spans="1:4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/>
    </row>
    <row r="921" spans="1:4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/>
    </row>
    <row r="922" spans="1:4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/>
    </row>
    <row r="923" spans="1:4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/>
    </row>
    <row r="924" spans="1:4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/>
    </row>
    <row r="925" spans="1:4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/>
    </row>
    <row r="926" spans="1:4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/>
    </row>
    <row r="927" spans="1:4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/>
    </row>
    <row r="928" spans="1:4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/>
    </row>
    <row r="929" spans="1:4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/>
    </row>
    <row r="930" spans="1:4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/>
    </row>
    <row r="931" spans="1:4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/>
    </row>
    <row r="932" spans="1:4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/>
    </row>
    <row r="933" spans="1:4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/>
    </row>
    <row r="934" spans="1:4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/>
    </row>
    <row r="935" spans="1:4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/>
    </row>
    <row r="936" spans="1:4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/>
    </row>
    <row r="937" spans="1:4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/>
    </row>
    <row r="938" spans="1:4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/>
    </row>
    <row r="939" spans="1:4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/>
    </row>
    <row r="940" spans="1:4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/>
    </row>
    <row r="941" spans="1:4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/>
    </row>
    <row r="942" spans="1:4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/>
    </row>
    <row r="943" spans="1:4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/>
    </row>
    <row r="944" spans="1:4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/>
    </row>
    <row r="945" spans="1:4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/>
    </row>
    <row r="946" spans="1:4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/>
    </row>
    <row r="947" spans="1:4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/>
    </row>
    <row r="948" spans="1:4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/>
    </row>
    <row r="949" spans="1:4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/>
    </row>
    <row r="950" spans="1:4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/>
    </row>
    <row r="951" spans="1:4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/>
    </row>
    <row r="952" spans="1:4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/>
    </row>
    <row r="953" spans="1:4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/>
    </row>
    <row r="954" spans="1:4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/>
    </row>
    <row r="955" spans="1:4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/>
    </row>
    <row r="956" spans="1:4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/>
    </row>
    <row r="957" spans="1:4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/>
    </row>
    <row r="958" spans="1:4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/>
    </row>
    <row r="959" spans="1:4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/>
    </row>
    <row r="960" spans="1:4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/>
    </row>
    <row r="961" spans="1:4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/>
    </row>
    <row r="962" spans="1:4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/>
    </row>
    <row r="963" spans="1:4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/>
    </row>
    <row r="964" spans="1:4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/>
    </row>
    <row r="965" spans="1:4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/>
    </row>
    <row r="966" spans="1:4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/>
    </row>
    <row r="967" spans="1:4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/>
    </row>
    <row r="968" spans="1:4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/>
    </row>
    <row r="969" spans="1:4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/>
    </row>
    <row r="970" spans="1:4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/>
    </row>
    <row r="971" spans="1:4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/>
    </row>
    <row r="972" spans="1:4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/>
    </row>
    <row r="973" spans="1:4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/>
    </row>
    <row r="974" spans="1:4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/>
    </row>
    <row r="975" spans="1:4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/>
    </row>
    <row r="976" spans="1:4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/>
    </row>
    <row r="977" spans="1:4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/>
    </row>
    <row r="978" spans="1:4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/>
    </row>
    <row r="979" spans="1:4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/>
    </row>
    <row r="980" spans="1:4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/>
    </row>
    <row r="981" spans="1:4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/>
    </row>
    <row r="982" spans="1:4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/>
    </row>
    <row r="983" spans="1:4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/>
    </row>
    <row r="984" spans="1:4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/>
    </row>
    <row r="985" spans="1:4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/>
    </row>
    <row r="986" spans="1:4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/>
    </row>
    <row r="987" spans="1:4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/>
    </row>
    <row r="988" spans="1:4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/>
    </row>
    <row r="989" spans="1:4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/>
    </row>
    <row r="990" spans="1:4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/>
    </row>
    <row r="991" spans="1:4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/>
    </row>
    <row r="992" spans="1:4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/>
    </row>
    <row r="993" spans="1:4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/>
    </row>
    <row r="994" spans="1:4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/>
    </row>
    <row r="995" spans="1:4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/>
    </row>
    <row r="996" spans="1:4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/>
    </row>
    <row r="997" spans="1:4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/>
    </row>
    <row r="998" spans="1:4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/>
    </row>
    <row r="999" spans="1:4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/>
    </row>
    <row r="1000" spans="1:4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/>
    </row>
    <row r="1001" spans="1:4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/>
    </row>
    <row r="1002" spans="1:4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/>
    </row>
    <row r="1003" spans="1:4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/>
    </row>
    <row r="1004" spans="1:4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/>
    </row>
    <row r="1005" spans="1:4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/>
    </row>
    <row r="1006" spans="1:4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/>
    </row>
    <row r="1007" spans="1:4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/>
    </row>
    <row r="1008" spans="1:4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/>
    </row>
    <row r="1009" spans="1:4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/>
    </row>
    <row r="1010" spans="1:4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/>
    </row>
    <row r="1011" spans="1:4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/>
    </row>
    <row r="1012" spans="1:4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/>
    </row>
    <row r="1013" spans="1:4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/>
    </row>
    <row r="1014" spans="1:4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/>
    </row>
    <row r="1015" spans="1:4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/>
    </row>
    <row r="1016" spans="1:4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/>
    </row>
    <row r="1017" spans="1:4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/>
    </row>
    <row r="1018" spans="1:4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/>
    </row>
    <row r="1019" spans="1:4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/>
    </row>
    <row r="1020" spans="1:4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/>
    </row>
    <row r="1021" spans="1:4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/>
    </row>
    <row r="1022" spans="1:4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/>
    </row>
    <row r="1023" spans="1:4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/>
    </row>
    <row r="1024" spans="1:4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/>
    </row>
    <row r="1025" spans="1:4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/>
    </row>
    <row r="1026" spans="1:4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/>
    </row>
    <row r="1027" spans="1:4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/>
    </row>
    <row r="1028" spans="1:4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/>
    </row>
    <row r="1029" spans="1:4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/>
    </row>
    <row r="1030" spans="1:4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/>
    </row>
    <row r="1031" spans="1:4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/>
    </row>
    <row r="1032" spans="1:4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/>
    </row>
    <row r="1033" spans="1:4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/>
    </row>
    <row r="1034" spans="1:4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/>
    </row>
    <row r="1035" spans="1:4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/>
    </row>
    <row r="1036" spans="1:4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/>
    </row>
    <row r="1037" spans="1:4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/>
    </row>
    <row r="1038" spans="1:4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/>
    </row>
    <row r="1039" spans="1:4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/>
    </row>
    <row r="1040" spans="1:4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/>
    </row>
    <row r="1041" spans="1:4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/>
    </row>
    <row r="1042" spans="1:4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/>
    </row>
    <row r="1043" spans="1:4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/>
    </row>
    <row r="1044" spans="1:4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/>
    </row>
    <row r="1045" spans="1:4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/>
    </row>
    <row r="1046" spans="1:4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/>
    </row>
    <row r="1047" spans="1:4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/>
    </row>
    <row r="1048" spans="1:4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/>
    </row>
    <row r="1049" spans="1:4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/>
    </row>
    <row r="1050" spans="1:4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/>
    </row>
    <row r="1051" spans="1:4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/>
    </row>
    <row r="1052" spans="1:4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/>
    </row>
    <row r="1053" spans="1:4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/>
    </row>
    <row r="1054" spans="1:4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/>
    </row>
    <row r="1055" spans="1:4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/>
    </row>
    <row r="1056" spans="1:4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/>
    </row>
    <row r="1057" spans="1:4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/>
    </row>
    <row r="1058" spans="1:4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/>
    </row>
    <row r="1059" spans="1:4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/>
    </row>
    <row r="1060" spans="1:4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/>
    </row>
    <row r="1061" spans="1:4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/>
    </row>
    <row r="1062" spans="1:4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/>
    </row>
    <row r="1063" spans="1:4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/>
    </row>
    <row r="1064" spans="1:4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/>
    </row>
    <row r="1065" spans="1:4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/>
    </row>
    <row r="1066" spans="1:4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/>
    </row>
    <row r="1067" spans="1:4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/>
    </row>
    <row r="1068" spans="1:4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/>
    </row>
    <row r="1069" spans="1:4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/>
    </row>
    <row r="1070" spans="1:4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/>
    </row>
    <row r="1071" spans="1:4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/>
    </row>
    <row r="1072" spans="1:4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/>
    </row>
    <row r="1073" spans="1:4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/>
    </row>
    <row r="1074" spans="1:4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/>
    </row>
    <row r="1075" spans="1:4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/>
    </row>
    <row r="1076" spans="1:4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/>
    </row>
    <row r="1077" spans="1:4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/>
    </row>
    <row r="1078" spans="1:4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/>
    </row>
    <row r="1079" spans="1:4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/>
    </row>
    <row r="1080" spans="1:4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/>
    </row>
    <row r="1081" spans="1:4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/>
    </row>
    <row r="1082" spans="1:4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/>
    </row>
    <row r="1083" spans="1:4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/>
    </row>
    <row r="1084" spans="1:4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/>
    </row>
    <row r="1085" spans="1:4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/>
    </row>
    <row r="1086" spans="1:4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/>
    </row>
    <row r="1087" spans="1:4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/>
    </row>
    <row r="1088" spans="1:4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/>
    </row>
    <row r="1089" spans="1:4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/>
    </row>
    <row r="1090" spans="1:4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/>
    </row>
    <row r="1091" spans="1:4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/>
    </row>
    <row r="1092" spans="1:4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/>
    </row>
    <row r="1093" spans="1:4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/>
    </row>
    <row r="1094" spans="1:4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/>
    </row>
    <row r="1095" spans="1:4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/>
    </row>
    <row r="1096" spans="1:4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/>
    </row>
    <row r="1097" spans="1:4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/>
    </row>
    <row r="1098" spans="1:4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/>
    </row>
    <row r="1099" spans="1:4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/>
    </row>
    <row r="1100" spans="1:4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/>
    </row>
    <row r="1101" spans="1:4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/>
    </row>
    <row r="1102" spans="1:4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/>
    </row>
    <row r="1103" spans="1:4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/>
    </row>
    <row r="1104" spans="1:4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/>
    </row>
    <row r="1105" spans="1:4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/>
    </row>
    <row r="1106" spans="1:4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/>
    </row>
    <row r="1107" spans="1:4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/>
    </row>
    <row r="1108" spans="1:4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/>
    </row>
    <row r="1109" spans="1:4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/>
    </row>
    <row r="1110" spans="1:4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/>
    </row>
    <row r="1111" spans="1:4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/>
    </row>
    <row r="1112" spans="1:4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/>
    </row>
    <row r="1113" spans="1:4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/>
    </row>
    <row r="1114" spans="1:4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/>
    </row>
    <row r="1115" spans="1:4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/>
    </row>
    <row r="1116" spans="1:4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/>
    </row>
    <row r="1117" spans="1:4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/>
    </row>
    <row r="1118" spans="1:4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/>
    </row>
    <row r="1119" spans="1:4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/>
    </row>
    <row r="1120" spans="1:4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/>
    </row>
    <row r="1121" spans="1:4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/>
    </row>
    <row r="1122" spans="1:4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/>
    </row>
    <row r="1123" spans="1:4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/>
    </row>
    <row r="1124" spans="1:4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/>
    </row>
    <row r="1125" spans="1:4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/>
    </row>
    <row r="1126" spans="1:4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/>
    </row>
    <row r="1127" spans="1:4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/>
    </row>
    <row r="1128" spans="1:4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/>
    </row>
    <row r="1129" spans="1:4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/>
    </row>
    <row r="1130" spans="1:4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/>
    </row>
    <row r="1131" spans="1:4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/>
    </row>
    <row r="1132" spans="1:4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/>
    </row>
    <row r="1133" spans="1:4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/>
    </row>
    <row r="1134" spans="1:4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/>
    </row>
    <row r="1135" spans="1:4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/>
    </row>
    <row r="1136" spans="1:4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/>
    </row>
    <row r="1137" spans="1:4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/>
    </row>
    <row r="1138" spans="1:4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/>
    </row>
    <row r="1139" spans="1:4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/>
    </row>
    <row r="1140" spans="1:4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/>
    </row>
    <row r="1141" spans="1:4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/>
    </row>
    <row r="1142" spans="1:4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/>
    </row>
    <row r="1143" spans="1:4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/>
    </row>
    <row r="1144" spans="1:4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/>
    </row>
    <row r="1145" spans="1:4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/>
    </row>
    <row r="1146" spans="1:4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/>
    </row>
    <row r="1147" spans="1:4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/>
    </row>
    <row r="1148" spans="1:4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/>
    </row>
    <row r="1149" spans="1:4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/>
    </row>
    <row r="1150" spans="1:4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/>
    </row>
    <row r="1151" spans="1:4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/>
    </row>
    <row r="1152" spans="1:4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/>
    </row>
    <row r="1153" spans="3:4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/>
    </row>
    <row r="1154" spans="3:4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/>
    </row>
  </sheetData>
  <mergeCells count="1">
    <mergeCell ref="A1:A2"/>
  </mergeCells>
  <conditionalFormatting sqref="J7:AU7">
    <cfRule type="expression" dxfId="957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topLeftCell="AR1" zoomScaleNormal="100" workbookViewId="0">
      <pane ySplit="4" topLeftCell="A5" activePane="bottomLeft" state="frozen"/>
      <selection pane="bottomLeft" activeCell="BC7" sqref="BC7:BE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8"/>
      <c r="C1" s="141" t="s">
        <v>145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48" t="s">
        <v>1645</v>
      </c>
      <c r="BD1" s="149"/>
      <c r="BE1" s="149"/>
      <c r="BF1" s="53" t="s">
        <v>1185</v>
      </c>
      <c r="BG1" s="119" t="s">
        <v>1184</v>
      </c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46"/>
      <c r="CA1" s="53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</row>
    <row r="2" spans="1:105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159" t="s">
        <v>1643</v>
      </c>
      <c r="BD3" s="159"/>
      <c r="BE3" s="159"/>
      <c r="BF3" s="62" t="s">
        <v>748</v>
      </c>
      <c r="BG3" s="125" t="s">
        <v>146</v>
      </c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5" t="s">
        <v>147</v>
      </c>
      <c r="CN3" s="127"/>
      <c r="CO3" s="125" t="s">
        <v>148</v>
      </c>
      <c r="CP3" s="126"/>
      <c r="CQ3" s="127"/>
      <c r="CR3" s="125" t="s">
        <v>149</v>
      </c>
      <c r="CS3" s="132"/>
      <c r="CT3" s="132"/>
      <c r="CU3" s="132"/>
      <c r="CV3" s="132"/>
      <c r="CW3" s="132"/>
      <c r="CX3" s="132"/>
      <c r="CY3" s="132"/>
      <c r="CZ3" s="132"/>
      <c r="DA3" s="133"/>
    </row>
    <row r="4" spans="1:105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58" t="s">
        <v>146</v>
      </c>
      <c r="BD4" s="158" t="s">
        <v>148</v>
      </c>
      <c r="BE4" s="158" t="s">
        <v>149</v>
      </c>
      <c r="BF4" s="10" t="s">
        <v>145</v>
      </c>
      <c r="BG4" s="128" t="s">
        <v>150</v>
      </c>
      <c r="BH4" s="129" t="s">
        <v>151</v>
      </c>
      <c r="BI4" s="129" t="s">
        <v>152</v>
      </c>
      <c r="BJ4" s="129" t="s">
        <v>153</v>
      </c>
      <c r="BK4" s="129" t="s">
        <v>154</v>
      </c>
      <c r="BL4" s="129" t="s">
        <v>155</v>
      </c>
      <c r="BM4" s="129" t="s">
        <v>156</v>
      </c>
      <c r="BN4" s="129" t="s">
        <v>157</v>
      </c>
      <c r="BO4" s="129" t="s">
        <v>158</v>
      </c>
      <c r="BP4" s="129" t="s">
        <v>159</v>
      </c>
      <c r="BQ4" s="129" t="s">
        <v>160</v>
      </c>
      <c r="BR4" s="129" t="s">
        <v>161</v>
      </c>
      <c r="BS4" s="129" t="s">
        <v>162</v>
      </c>
      <c r="BT4" s="129" t="s">
        <v>163</v>
      </c>
      <c r="BU4" s="129" t="s">
        <v>164</v>
      </c>
      <c r="BV4" s="129" t="s">
        <v>165</v>
      </c>
      <c r="BW4" s="129" t="s">
        <v>166</v>
      </c>
      <c r="BX4" s="129" t="s">
        <v>167</v>
      </c>
      <c r="BY4" s="129" t="s">
        <v>168</v>
      </c>
      <c r="BZ4" s="129" t="s">
        <v>169</v>
      </c>
      <c r="CA4" s="129" t="s">
        <v>170</v>
      </c>
      <c r="CB4" s="129" t="s">
        <v>171</v>
      </c>
      <c r="CC4" s="129" t="s">
        <v>172</v>
      </c>
      <c r="CD4" s="129" t="s">
        <v>173</v>
      </c>
      <c r="CE4" s="129" t="s">
        <v>174</v>
      </c>
      <c r="CF4" s="129" t="s">
        <v>175</v>
      </c>
      <c r="CG4" s="129" t="s">
        <v>176</v>
      </c>
      <c r="CH4" s="129" t="s">
        <v>177</v>
      </c>
      <c r="CI4" s="129" t="s">
        <v>178</v>
      </c>
      <c r="CJ4" s="129" t="s">
        <v>179</v>
      </c>
      <c r="CK4" s="129" t="s">
        <v>180</v>
      </c>
      <c r="CL4" s="129" t="s">
        <v>181</v>
      </c>
      <c r="CM4" s="128" t="s">
        <v>182</v>
      </c>
      <c r="CN4" s="130" t="s">
        <v>183</v>
      </c>
      <c r="CO4" s="128" t="s">
        <v>184</v>
      </c>
      <c r="CP4" s="129" t="s">
        <v>185</v>
      </c>
      <c r="CQ4" s="130" t="s">
        <v>186</v>
      </c>
      <c r="CR4" s="128" t="s">
        <v>187</v>
      </c>
      <c r="CS4" s="129" t="s">
        <v>188</v>
      </c>
      <c r="CT4" s="129" t="s">
        <v>189</v>
      </c>
      <c r="CU4" s="129" t="s">
        <v>190</v>
      </c>
      <c r="CV4" s="129" t="s">
        <v>191</v>
      </c>
      <c r="CW4" s="129" t="s">
        <v>192</v>
      </c>
      <c r="CX4" s="129" t="s">
        <v>193</v>
      </c>
      <c r="CY4" s="129" t="s">
        <v>194</v>
      </c>
      <c r="CZ4" s="129" t="s">
        <v>195</v>
      </c>
      <c r="DA4" s="130" t="s">
        <v>196</v>
      </c>
    </row>
    <row r="5" spans="1:105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G5" s="63">
        <f>SUBTOTAL(109,hts_self_T[hts_self_1014_f_direct])</f>
        <v>0</v>
      </c>
      <c r="BH5" s="63">
        <f>SUBTOTAL(109,hts_self_T[hts_self_1014_f_unasst])</f>
        <v>0</v>
      </c>
      <c r="BI5" s="63">
        <f>SUBTOTAL(109,hts_self_T[hts_self_1014_m_direct])</f>
        <v>0</v>
      </c>
      <c r="BJ5" s="63">
        <f>SUBTOTAL(109,hts_self_T[hts_self_1014_m_unasst])</f>
        <v>0</v>
      </c>
      <c r="BK5" s="63">
        <f>SUBTOTAL(109,hts_self_T[hts_self_1519_f_direct])</f>
        <v>0</v>
      </c>
      <c r="BL5" s="63">
        <f>SUBTOTAL(109,hts_self_T[hts_self_1519_f_unasst])</f>
        <v>0</v>
      </c>
      <c r="BM5" s="63">
        <f>SUBTOTAL(109,hts_self_T[hts_self_1519_m_direct])</f>
        <v>0</v>
      </c>
      <c r="BN5" s="63">
        <f>SUBTOTAL(109,hts_self_T[hts_self_1519_m_unasst])</f>
        <v>0</v>
      </c>
      <c r="BO5" s="63">
        <f>SUBTOTAL(109,hts_self_T[hts_self_2024_f_direct])</f>
        <v>0</v>
      </c>
      <c r="BP5" s="63">
        <f>SUBTOTAL(109,hts_self_T[hts_self_2024_f_unasst])</f>
        <v>0</v>
      </c>
      <c r="BQ5" s="63">
        <f>SUBTOTAL(109,hts_self_T[hts_self_2024_m_direct])</f>
        <v>0</v>
      </c>
      <c r="BR5" s="63">
        <f>SUBTOTAL(109,hts_self_T[hts_self_2024_m_unasst])</f>
        <v>0</v>
      </c>
      <c r="BS5" s="63">
        <f>SUBTOTAL(109,hts_self_T[hts_self_2529_f_direct])</f>
        <v>0</v>
      </c>
      <c r="BT5" s="63">
        <f>SUBTOTAL(109,hts_self_T[hts_self_2529_f_unasst])</f>
        <v>0</v>
      </c>
      <c r="BU5" s="63">
        <f>SUBTOTAL(109,hts_self_T[hts_self_2529_m_direct])</f>
        <v>0</v>
      </c>
      <c r="BV5" s="63">
        <f>SUBTOTAL(109,hts_self_T[hts_self_2529_m_unasst])</f>
        <v>0</v>
      </c>
      <c r="BW5" s="63">
        <f>SUBTOTAL(109,hts_self_T[hts_self_3034_f_direct])</f>
        <v>0</v>
      </c>
      <c r="BX5" s="63">
        <f>SUBTOTAL(109,hts_self_T[hts_self_3034_f_unasst])</f>
        <v>0</v>
      </c>
      <c r="BY5" s="63">
        <f>SUBTOTAL(109,hts_self_T[hts_self_3034_m_direct])</f>
        <v>0</v>
      </c>
      <c r="BZ5" s="63">
        <f>SUBTOTAL(109,hts_self_T[hts_self_3034_m_unasst])</f>
        <v>0</v>
      </c>
      <c r="CA5" s="63">
        <f>SUBTOTAL(109,hts_self_T[hts_self_3539_f_direct])</f>
        <v>0</v>
      </c>
      <c r="CB5" s="63">
        <f>SUBTOTAL(109,hts_self_T[hts_self_3539_f_unasst])</f>
        <v>0</v>
      </c>
      <c r="CC5" s="63">
        <f>SUBTOTAL(109,hts_self_T[hts_self_3539_m_direct])</f>
        <v>0</v>
      </c>
      <c r="CD5" s="63">
        <f>SUBTOTAL(109,hts_self_T[hts_self_3539_m_unasst])</f>
        <v>0</v>
      </c>
      <c r="CE5" s="63">
        <f>SUBTOTAL(109,hts_self_T[hts_self_4049_f_direct])</f>
        <v>0</v>
      </c>
      <c r="CF5" s="63">
        <f>SUBTOTAL(109,hts_self_T[hts_self_4049_f_unasst])</f>
        <v>0</v>
      </c>
      <c r="CG5" s="63">
        <f>SUBTOTAL(109,hts_self_T[hts_self_4049_m_direct])</f>
        <v>0</v>
      </c>
      <c r="CH5" s="63">
        <f>SUBTOTAL(109,hts_self_T[hts_self_4049_m_unasst])</f>
        <v>0</v>
      </c>
      <c r="CI5" s="63">
        <f>SUBTOTAL(109,hts_self_T[hts_self_o50_f_direct])</f>
        <v>0</v>
      </c>
      <c r="CJ5" s="63">
        <f>SUBTOTAL(109,hts_self_T[hts_self_o50_f_unasst])</f>
        <v>0</v>
      </c>
      <c r="CK5" s="63">
        <f>SUBTOTAL(109,hts_self_T[hts_self_o50_m_direct])</f>
        <v>0</v>
      </c>
      <c r="CL5" s="63">
        <f>SUBTOTAL(109,hts_self_T[hts_self_o50_m_unasst])</f>
        <v>0</v>
      </c>
      <c r="CM5" s="63">
        <f ca="1">SUBTOTAL(109,hts_self_T[hts_self_direct])</f>
        <v>0</v>
      </c>
      <c r="CN5" s="63">
        <f>SUBTOTAL(109,hts_self_T[hts_self_unasst])</f>
        <v>0</v>
      </c>
      <c r="CO5" s="63">
        <f>SUBTOTAL(109,hts_self_T[hts_self_unasst_oth])</f>
        <v>0</v>
      </c>
      <c r="CP5" s="63">
        <f>SUBTOTAL(109,hts_self_T[hts_self_unasst_self])</f>
        <v>0</v>
      </c>
      <c r="CQ5" s="63">
        <f>SUBTOTAL(109,hts_self_T[hts_self_unasst_partner])</f>
        <v>0</v>
      </c>
      <c r="CR5" s="63">
        <f>SUBTOTAL(109,hts_self_T[hts_self_fsw_direct])</f>
        <v>0</v>
      </c>
      <c r="CS5" s="63">
        <f>SUBTOTAL(109,hts_self_T[hts_self_fsw_unasst])</f>
        <v>0</v>
      </c>
      <c r="CT5" s="63">
        <f>SUBTOTAL(109,hts_self_T[hts_self_msm_direct])</f>
        <v>0</v>
      </c>
      <c r="CU5" s="63">
        <f>SUBTOTAL(109,hts_self_T[hts_self_msm_unasst])</f>
        <v>0</v>
      </c>
      <c r="CV5" s="63">
        <f>SUBTOTAL(109,hts_self_T[hts_self_prison_direct])</f>
        <v>0</v>
      </c>
      <c r="CW5" s="63">
        <f>SUBTOTAL(109,hts_self_T[hts_self_prison_unasst])</f>
        <v>0</v>
      </c>
      <c r="CX5" s="63">
        <f>SUBTOTAL(109,hts_self_T[hts_self_pwid_direct])</f>
        <v>0</v>
      </c>
      <c r="CY5" s="63">
        <f>SUBTOTAL(109,hts_self_T[hts_self_pwid_unasst])</f>
        <v>0</v>
      </c>
      <c r="CZ5" s="63">
        <f>SUBTOTAL(109,hts_self_T[hts_self_tg_direct])</f>
        <v>0</v>
      </c>
      <c r="DA5" s="63">
        <f>SUBTOTAL(109,hts_self_T[hts_self_tg_unasst])</f>
        <v>0</v>
      </c>
    </row>
    <row r="6" spans="1:105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1223</v>
      </c>
      <c r="K6" s="26" t="s">
        <v>1224</v>
      </c>
      <c r="L6" s="26" t="s">
        <v>1225</v>
      </c>
      <c r="M6" s="26" t="s">
        <v>1226</v>
      </c>
      <c r="N6" s="26" t="s">
        <v>1227</v>
      </c>
      <c r="O6" s="26" t="s">
        <v>1228</v>
      </c>
      <c r="P6" s="26" t="s">
        <v>1229</v>
      </c>
      <c r="Q6" s="26" t="s">
        <v>1230</v>
      </c>
      <c r="R6" s="26" t="s">
        <v>1231</v>
      </c>
      <c r="S6" s="26" t="s">
        <v>1232</v>
      </c>
      <c r="T6" s="26" t="s">
        <v>1233</v>
      </c>
      <c r="U6" s="26" t="s">
        <v>1234</v>
      </c>
      <c r="V6" s="26" t="s">
        <v>1235</v>
      </c>
      <c r="W6" s="26" t="s">
        <v>1236</v>
      </c>
      <c r="X6" s="26" t="s">
        <v>1237</v>
      </c>
      <c r="Y6" s="26" t="s">
        <v>1238</v>
      </c>
      <c r="Z6" s="26" t="s">
        <v>1239</v>
      </c>
      <c r="AA6" s="26" t="s">
        <v>1240</v>
      </c>
      <c r="AB6" s="26" t="s">
        <v>1241</v>
      </c>
      <c r="AC6" s="26" t="s">
        <v>1242</v>
      </c>
      <c r="AD6" s="26" t="s">
        <v>1243</v>
      </c>
      <c r="AE6" s="26" t="s">
        <v>1244</v>
      </c>
      <c r="AF6" s="26" t="s">
        <v>1245</v>
      </c>
      <c r="AG6" s="26" t="s">
        <v>1246</v>
      </c>
      <c r="AH6" s="26" t="s">
        <v>1247</v>
      </c>
      <c r="AI6" s="26" t="s">
        <v>1248</v>
      </c>
      <c r="AJ6" s="26" t="s">
        <v>1249</v>
      </c>
      <c r="AK6" s="26" t="s">
        <v>1250</v>
      </c>
      <c r="AL6" s="26" t="s">
        <v>1251</v>
      </c>
      <c r="AM6" s="26" t="s">
        <v>1252</v>
      </c>
      <c r="AN6" s="26" t="s">
        <v>1253</v>
      </c>
      <c r="AO6" s="26" t="s">
        <v>1254</v>
      </c>
      <c r="AP6" s="26" t="s">
        <v>1255</v>
      </c>
      <c r="AQ6" s="26" t="s">
        <v>1256</v>
      </c>
      <c r="AR6" s="26" t="s">
        <v>1257</v>
      </c>
      <c r="AS6" s="26" t="s">
        <v>1258</v>
      </c>
      <c r="AT6" s="26" t="s">
        <v>1259</v>
      </c>
      <c r="AU6" s="26" t="s">
        <v>1260</v>
      </c>
      <c r="AV6" s="26" t="s">
        <v>1261</v>
      </c>
      <c r="AW6" s="26" t="s">
        <v>1262</v>
      </c>
      <c r="AX6" s="26" t="s">
        <v>1263</v>
      </c>
      <c r="AY6" s="26" t="s">
        <v>1264</v>
      </c>
      <c r="AZ6" s="26" t="s">
        <v>1265</v>
      </c>
      <c r="BA6" s="26" t="s">
        <v>1266</v>
      </c>
      <c r="BB6" s="26" t="s">
        <v>1267</v>
      </c>
      <c r="BC6" s="26" t="s">
        <v>1641</v>
      </c>
      <c r="BD6" s="26" t="s">
        <v>1642</v>
      </c>
      <c r="BE6" s="26" t="s">
        <v>1644</v>
      </c>
      <c r="BF6" s="26" t="s">
        <v>979</v>
      </c>
      <c r="BG6" s="26" t="s">
        <v>437</v>
      </c>
      <c r="BH6" s="26" t="s">
        <v>438</v>
      </c>
      <c r="BI6" s="26" t="s">
        <v>439</v>
      </c>
      <c r="BJ6" s="26" t="s">
        <v>440</v>
      </c>
      <c r="BK6" s="26" t="s">
        <v>441</v>
      </c>
      <c r="BL6" s="26" t="s">
        <v>442</v>
      </c>
      <c r="BM6" s="26" t="s">
        <v>443</v>
      </c>
      <c r="BN6" s="26" t="s">
        <v>444</v>
      </c>
      <c r="BO6" s="26" t="s">
        <v>445</v>
      </c>
      <c r="BP6" s="26" t="s">
        <v>446</v>
      </c>
      <c r="BQ6" s="26" t="s">
        <v>447</v>
      </c>
      <c r="BR6" s="26" t="s">
        <v>448</v>
      </c>
      <c r="BS6" s="26" t="s">
        <v>449</v>
      </c>
      <c r="BT6" s="26" t="s">
        <v>450</v>
      </c>
      <c r="BU6" s="26" t="s">
        <v>451</v>
      </c>
      <c r="BV6" s="26" t="s">
        <v>452</v>
      </c>
      <c r="BW6" s="26" t="s">
        <v>453</v>
      </c>
      <c r="BX6" s="26" t="s">
        <v>454</v>
      </c>
      <c r="BY6" s="26" t="s">
        <v>455</v>
      </c>
      <c r="BZ6" s="26" t="s">
        <v>456</v>
      </c>
      <c r="CA6" s="26" t="s">
        <v>457</v>
      </c>
      <c r="CB6" s="26" t="s">
        <v>458</v>
      </c>
      <c r="CC6" s="26" t="s">
        <v>459</v>
      </c>
      <c r="CD6" s="26" t="s">
        <v>460</v>
      </c>
      <c r="CE6" s="26" t="s">
        <v>461</v>
      </c>
      <c r="CF6" s="26" t="s">
        <v>462</v>
      </c>
      <c r="CG6" s="26" t="s">
        <v>463</v>
      </c>
      <c r="CH6" s="26" t="s">
        <v>464</v>
      </c>
      <c r="CI6" s="26" t="s">
        <v>465</v>
      </c>
      <c r="CJ6" s="26" t="s">
        <v>466</v>
      </c>
      <c r="CK6" s="26" t="s">
        <v>467</v>
      </c>
      <c r="CL6" s="26" t="s">
        <v>468</v>
      </c>
      <c r="CM6" s="26" t="s">
        <v>469</v>
      </c>
      <c r="CN6" s="26" t="s">
        <v>470</v>
      </c>
      <c r="CO6" s="26" t="s">
        <v>471</v>
      </c>
      <c r="CP6" s="26" t="s">
        <v>472</v>
      </c>
      <c r="CQ6" s="26" t="s">
        <v>473</v>
      </c>
      <c r="CR6" s="26" t="s">
        <v>474</v>
      </c>
      <c r="CS6" s="26" t="s">
        <v>475</v>
      </c>
      <c r="CT6" s="26" t="s">
        <v>476</v>
      </c>
      <c r="CU6" s="26" t="s">
        <v>477</v>
      </c>
      <c r="CV6" s="26" t="s">
        <v>478</v>
      </c>
      <c r="CW6" s="26" t="s">
        <v>479</v>
      </c>
      <c r="CX6" s="26" t="s">
        <v>480</v>
      </c>
      <c r="CY6" s="26" t="s">
        <v>481</v>
      </c>
      <c r="CZ6" s="26" t="s">
        <v>482</v>
      </c>
      <c r="DA6" s="26" t="s">
        <v>483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7">
        <f>SUM(hts_self_T[[#This Row],[A_hts_self_1014_f_direct]:[A_hts_self_o50_m_unasst]])</f>
        <v>0</v>
      </c>
      <c r="BD7" s="167">
        <f>SUM(hts_self_T[[#This Row],[A_hts_self_unasst_oth]:[A_hts_self_unasst_partner]])</f>
        <v>0</v>
      </c>
      <c r="BE7" s="167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/>
    </row>
    <row r="13" spans="1:10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/>
    </row>
    <row r="14" spans="1:10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/>
    </row>
    <row r="15" spans="1:10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/>
    </row>
    <row r="16" spans="1:10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/>
    </row>
    <row r="17" spans="1:5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/>
    </row>
    <row r="18" spans="1:5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/>
    </row>
    <row r="19" spans="1:5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/>
    </row>
    <row r="20" spans="1:5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/>
    </row>
    <row r="21" spans="1:5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/>
    </row>
    <row r="22" spans="1:5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/>
    </row>
    <row r="23" spans="1:5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/>
    </row>
    <row r="24" spans="1:5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/>
    </row>
    <row r="25" spans="1:5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/>
    </row>
    <row r="26" spans="1:5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/>
    </row>
    <row r="27" spans="1:5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/>
    </row>
    <row r="28" spans="1:5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/>
    </row>
    <row r="29" spans="1:5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/>
    </row>
    <row r="30" spans="1:5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/>
    </row>
    <row r="31" spans="1:5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/>
    </row>
    <row r="32" spans="1:5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/>
    </row>
    <row r="33" spans="1:5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/>
    </row>
    <row r="34" spans="1:5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/>
    </row>
    <row r="35" spans="1:5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/>
    </row>
    <row r="36" spans="1:5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/>
    </row>
    <row r="37" spans="1:5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/>
    </row>
    <row r="38" spans="1:5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/>
    </row>
    <row r="39" spans="1:5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/>
    </row>
    <row r="40" spans="1:5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/>
    </row>
    <row r="41" spans="1:5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/>
    </row>
    <row r="42" spans="1:5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/>
    </row>
    <row r="43" spans="1:5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/>
    </row>
    <row r="44" spans="1:5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/>
    </row>
    <row r="45" spans="1:5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/>
    </row>
    <row r="46" spans="1:5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/>
    </row>
    <row r="47" spans="1:5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/>
    </row>
    <row r="48" spans="1:5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/>
    </row>
    <row r="49" spans="1:5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/>
    </row>
    <row r="50" spans="1:5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/>
    </row>
    <row r="51" spans="1:5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/>
    </row>
    <row r="52" spans="1:5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/>
    </row>
    <row r="53" spans="1:5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/>
    </row>
    <row r="54" spans="1:5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/>
    </row>
    <row r="55" spans="1:5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/>
    </row>
    <row r="56" spans="1:5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/>
    </row>
    <row r="57" spans="1:5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/>
    </row>
    <row r="58" spans="1:5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/>
    </row>
    <row r="59" spans="1:5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/>
    </row>
    <row r="60" spans="1:5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/>
    </row>
    <row r="61" spans="1:5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/>
    </row>
    <row r="62" spans="1:5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/>
    </row>
    <row r="63" spans="1:5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/>
    </row>
    <row r="64" spans="1:5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/>
    </row>
    <row r="65" spans="1:5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/>
    </row>
    <row r="66" spans="1:5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/>
    </row>
    <row r="67" spans="1:5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/>
    </row>
    <row r="68" spans="1:5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/>
    </row>
    <row r="69" spans="1:5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/>
    </row>
    <row r="70" spans="1:5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/>
    </row>
    <row r="71" spans="1:5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/>
    </row>
    <row r="72" spans="1:5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/>
    </row>
    <row r="73" spans="1:5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/>
    </row>
    <row r="74" spans="1:5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/>
    </row>
    <row r="75" spans="1:5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/>
    </row>
    <row r="76" spans="1:5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/>
    </row>
    <row r="77" spans="1:5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/>
    </row>
    <row r="78" spans="1:5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/>
    </row>
    <row r="79" spans="1:5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/>
    </row>
    <row r="80" spans="1:5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/>
    </row>
    <row r="81" spans="1:5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/>
    </row>
    <row r="82" spans="1:5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/>
    </row>
    <row r="83" spans="1:5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/>
    </row>
    <row r="84" spans="1:5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/>
    </row>
    <row r="85" spans="1:5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/>
    </row>
    <row r="86" spans="1:5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/>
    </row>
    <row r="87" spans="1:5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/>
    </row>
    <row r="88" spans="1:5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/>
    </row>
    <row r="89" spans="1:5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/>
    </row>
    <row r="90" spans="1:5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/>
    </row>
    <row r="91" spans="1:5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/>
    </row>
    <row r="92" spans="1:5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/>
    </row>
    <row r="93" spans="1:5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/>
    </row>
    <row r="94" spans="1:5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/>
    </row>
    <row r="95" spans="1:5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/>
    </row>
    <row r="96" spans="1:5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/>
    </row>
    <row r="97" spans="1:5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/>
    </row>
    <row r="98" spans="1:5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/>
    </row>
    <row r="99" spans="1:5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/>
    </row>
    <row r="100" spans="1:5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/>
    </row>
    <row r="101" spans="1:5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/>
    </row>
    <row r="102" spans="1:5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/>
    </row>
    <row r="103" spans="1:5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/>
    </row>
    <row r="104" spans="1:5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/>
    </row>
    <row r="105" spans="1:5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/>
    </row>
    <row r="106" spans="1:5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/>
    </row>
    <row r="107" spans="1:5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/>
    </row>
    <row r="108" spans="1:5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/>
    </row>
    <row r="109" spans="1:5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/>
    </row>
    <row r="110" spans="1:5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/>
    </row>
    <row r="111" spans="1:5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/>
    </row>
    <row r="112" spans="1:5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/>
    </row>
    <row r="113" spans="1:5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/>
    </row>
    <row r="114" spans="1:5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/>
    </row>
    <row r="115" spans="1:5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/>
    </row>
    <row r="116" spans="1:5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/>
    </row>
    <row r="117" spans="1:5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/>
    </row>
    <row r="118" spans="1:5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/>
    </row>
    <row r="119" spans="1:5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/>
    </row>
    <row r="120" spans="1:5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/>
    </row>
    <row r="121" spans="1:5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/>
    </row>
    <row r="122" spans="1:5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/>
    </row>
    <row r="123" spans="1:5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/>
    </row>
    <row r="124" spans="1:5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/>
    </row>
    <row r="125" spans="1:5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/>
    </row>
    <row r="126" spans="1:5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/>
    </row>
    <row r="127" spans="1:5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/>
    </row>
    <row r="128" spans="1:5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/>
    </row>
    <row r="129" spans="1:5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/>
    </row>
    <row r="130" spans="1:5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/>
    </row>
    <row r="131" spans="1:5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/>
    </row>
    <row r="132" spans="1:5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/>
    </row>
    <row r="133" spans="1:5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/>
    </row>
    <row r="134" spans="1:5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/>
    </row>
    <row r="135" spans="1:5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/>
    </row>
    <row r="136" spans="1:5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/>
    </row>
    <row r="137" spans="1:5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/>
    </row>
    <row r="138" spans="1:5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/>
    </row>
    <row r="139" spans="1:5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/>
    </row>
    <row r="140" spans="1:5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/>
    </row>
    <row r="141" spans="1:5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/>
    </row>
    <row r="142" spans="1:5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/>
    </row>
    <row r="143" spans="1:5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/>
    </row>
    <row r="144" spans="1:5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/>
    </row>
    <row r="145" spans="1:5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/>
    </row>
    <row r="146" spans="1:5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/>
    </row>
    <row r="147" spans="1:5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/>
    </row>
    <row r="148" spans="1:5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/>
    </row>
    <row r="149" spans="1:5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/>
    </row>
    <row r="150" spans="1:5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/>
    </row>
    <row r="151" spans="1:5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/>
    </row>
    <row r="152" spans="1:5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/>
    </row>
    <row r="153" spans="1:5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/>
    </row>
    <row r="154" spans="1:5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/>
    </row>
    <row r="155" spans="1:5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/>
    </row>
    <row r="156" spans="1:5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/>
    </row>
    <row r="157" spans="1:5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/>
    </row>
    <row r="158" spans="1:5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/>
    </row>
    <row r="159" spans="1:5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/>
    </row>
    <row r="160" spans="1:5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/>
    </row>
    <row r="161" spans="1:5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/>
    </row>
    <row r="162" spans="1:5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/>
    </row>
    <row r="163" spans="1:5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/>
    </row>
    <row r="164" spans="1:5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/>
    </row>
    <row r="165" spans="1:5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/>
    </row>
    <row r="166" spans="1:5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/>
    </row>
    <row r="167" spans="1:5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/>
    </row>
    <row r="168" spans="1:5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/>
    </row>
    <row r="169" spans="1:5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/>
    </row>
    <row r="170" spans="1:5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/>
    </row>
    <row r="171" spans="1:5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/>
    </row>
    <row r="172" spans="1:5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/>
    </row>
    <row r="173" spans="1:5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/>
    </row>
    <row r="174" spans="1:5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/>
    </row>
    <row r="175" spans="1:5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/>
    </row>
    <row r="176" spans="1:5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/>
    </row>
    <row r="177" spans="1:5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/>
    </row>
    <row r="178" spans="1:5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/>
    </row>
    <row r="179" spans="1:5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/>
    </row>
    <row r="180" spans="1:5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/>
    </row>
    <row r="181" spans="1:5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/>
    </row>
    <row r="182" spans="1:5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/>
    </row>
    <row r="183" spans="1:5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/>
    </row>
    <row r="184" spans="1:5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/>
    </row>
    <row r="185" spans="1:5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/>
    </row>
    <row r="186" spans="1:5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/>
    </row>
    <row r="187" spans="1:5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/>
    </row>
    <row r="188" spans="1:5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/>
    </row>
    <row r="189" spans="1:5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/>
    </row>
    <row r="190" spans="1:5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/>
    </row>
    <row r="191" spans="1:5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/>
    </row>
    <row r="192" spans="1:5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/>
    </row>
    <row r="193" spans="1:5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/>
    </row>
    <row r="194" spans="1:5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/>
    </row>
    <row r="195" spans="1:5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/>
    </row>
    <row r="196" spans="1:5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/>
    </row>
    <row r="197" spans="1:5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/>
    </row>
    <row r="198" spans="1:5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/>
    </row>
    <row r="199" spans="1:5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/>
    </row>
    <row r="200" spans="1:5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/>
    </row>
    <row r="201" spans="1:5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/>
    </row>
    <row r="202" spans="1:5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/>
    </row>
    <row r="203" spans="1:5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/>
    </row>
    <row r="204" spans="1:5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/>
    </row>
    <row r="205" spans="1:5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/>
    </row>
    <row r="206" spans="1:5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/>
    </row>
    <row r="207" spans="1:5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/>
    </row>
    <row r="208" spans="1:5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/>
    </row>
    <row r="209" spans="1:5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/>
    </row>
    <row r="210" spans="1:5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/>
    </row>
    <row r="211" spans="1:5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/>
    </row>
    <row r="212" spans="1:5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/>
    </row>
    <row r="213" spans="1:5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/>
    </row>
    <row r="214" spans="1:5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/>
    </row>
    <row r="215" spans="1:5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/>
    </row>
    <row r="216" spans="1:5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/>
    </row>
    <row r="217" spans="1:5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/>
    </row>
    <row r="218" spans="1:5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/>
    </row>
    <row r="219" spans="1:5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/>
    </row>
    <row r="220" spans="1:5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/>
    </row>
    <row r="221" spans="1:5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/>
    </row>
    <row r="222" spans="1:5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/>
    </row>
    <row r="223" spans="1:5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/>
    </row>
    <row r="224" spans="1:5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/>
    </row>
    <row r="225" spans="1:5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/>
    </row>
    <row r="226" spans="1:5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/>
    </row>
    <row r="227" spans="1:5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/>
    </row>
    <row r="228" spans="1:5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/>
    </row>
    <row r="229" spans="1:5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/>
    </row>
    <row r="230" spans="1:5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/>
    </row>
    <row r="231" spans="1:5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/>
    </row>
    <row r="232" spans="1:5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/>
    </row>
    <row r="233" spans="1:5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/>
    </row>
    <row r="234" spans="1:5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/>
    </row>
    <row r="235" spans="1:5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/>
    </row>
    <row r="236" spans="1:5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/>
    </row>
    <row r="237" spans="1:5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/>
    </row>
    <row r="238" spans="1:5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/>
    </row>
    <row r="239" spans="1:5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/>
    </row>
    <row r="240" spans="1:5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/>
    </row>
    <row r="241" spans="1:5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/>
    </row>
    <row r="242" spans="1:5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/>
    </row>
    <row r="243" spans="1:5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/>
    </row>
    <row r="244" spans="1:5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/>
    </row>
    <row r="245" spans="1:5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/>
    </row>
    <row r="246" spans="1:5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/>
    </row>
    <row r="247" spans="1:5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/>
    </row>
    <row r="248" spans="1:5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/>
    </row>
    <row r="249" spans="1:5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/>
    </row>
    <row r="250" spans="1:5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/>
    </row>
    <row r="251" spans="1:5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/>
    </row>
    <row r="252" spans="1:5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/>
    </row>
    <row r="253" spans="1:5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/>
    </row>
    <row r="254" spans="1:5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/>
    </row>
    <row r="255" spans="1:5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/>
    </row>
    <row r="256" spans="1:5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/>
    </row>
    <row r="257" spans="1:5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/>
    </row>
    <row r="258" spans="1:5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/>
    </row>
    <row r="259" spans="1:5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/>
    </row>
    <row r="260" spans="1:5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/>
    </row>
    <row r="261" spans="1:5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/>
    </row>
    <row r="262" spans="1:5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/>
    </row>
    <row r="263" spans="1:5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/>
    </row>
    <row r="264" spans="1:5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/>
    </row>
    <row r="265" spans="1:5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/>
    </row>
    <row r="266" spans="1:5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/>
    </row>
    <row r="267" spans="1:5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/>
    </row>
    <row r="268" spans="1:5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/>
    </row>
    <row r="269" spans="1:5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/>
    </row>
    <row r="270" spans="1:5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/>
    </row>
    <row r="271" spans="1:5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/>
    </row>
    <row r="272" spans="1:5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/>
    </row>
    <row r="273" spans="1:5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/>
    </row>
    <row r="274" spans="1:5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/>
    </row>
    <row r="275" spans="1:5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/>
    </row>
    <row r="276" spans="1:5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/>
    </row>
    <row r="277" spans="1:5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/>
    </row>
    <row r="278" spans="1:5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/>
    </row>
    <row r="279" spans="1:5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/>
    </row>
    <row r="280" spans="1:5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/>
    </row>
    <row r="281" spans="1:5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/>
    </row>
    <row r="282" spans="1:5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/>
    </row>
    <row r="283" spans="1:5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/>
    </row>
    <row r="284" spans="1:5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/>
    </row>
    <row r="285" spans="1:5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/>
    </row>
    <row r="286" spans="1:5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/>
    </row>
    <row r="287" spans="1:5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/>
    </row>
    <row r="288" spans="1:5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/>
    </row>
    <row r="289" spans="1:5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/>
    </row>
    <row r="290" spans="1:5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/>
    </row>
    <row r="291" spans="1:5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/>
    </row>
    <row r="292" spans="1:5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/>
    </row>
    <row r="293" spans="1:5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/>
    </row>
    <row r="294" spans="1:5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/>
    </row>
    <row r="295" spans="1:5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/>
    </row>
    <row r="296" spans="1:5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/>
    </row>
    <row r="297" spans="1:5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/>
    </row>
    <row r="298" spans="1:5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/>
    </row>
    <row r="299" spans="1:5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/>
    </row>
    <row r="300" spans="1:5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/>
    </row>
    <row r="301" spans="1:5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/>
    </row>
    <row r="302" spans="1:5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/>
    </row>
    <row r="303" spans="1:5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/>
    </row>
    <row r="304" spans="1:5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/>
    </row>
    <row r="305" spans="1:5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/>
    </row>
    <row r="306" spans="1:5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/>
    </row>
    <row r="307" spans="1:5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/>
    </row>
    <row r="308" spans="1:5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/>
    </row>
    <row r="309" spans="1:5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/>
    </row>
    <row r="310" spans="1:5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/>
    </row>
    <row r="311" spans="1:5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/>
    </row>
    <row r="312" spans="1:5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/>
    </row>
    <row r="313" spans="1:5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/>
    </row>
    <row r="314" spans="1:5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/>
    </row>
    <row r="315" spans="1:5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/>
    </row>
    <row r="316" spans="1:5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/>
    </row>
    <row r="317" spans="1:5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/>
    </row>
    <row r="318" spans="1:5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/>
    </row>
    <row r="319" spans="1:5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/>
    </row>
    <row r="320" spans="1:5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/>
    </row>
    <row r="321" spans="1:5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/>
    </row>
    <row r="322" spans="1:5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/>
    </row>
    <row r="323" spans="1:5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/>
    </row>
    <row r="324" spans="1:5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/>
    </row>
    <row r="325" spans="1:5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/>
    </row>
    <row r="326" spans="1:5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/>
    </row>
    <row r="327" spans="1:5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/>
    </row>
    <row r="328" spans="1:5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/>
    </row>
    <row r="329" spans="1:5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/>
    </row>
    <row r="330" spans="1:5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/>
    </row>
    <row r="331" spans="1:5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/>
    </row>
    <row r="332" spans="1:5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/>
    </row>
    <row r="333" spans="1:5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/>
    </row>
    <row r="334" spans="1:5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/>
    </row>
    <row r="335" spans="1:5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/>
    </row>
    <row r="336" spans="1:5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/>
    </row>
    <row r="337" spans="1:5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/>
    </row>
    <row r="338" spans="1:5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/>
    </row>
    <row r="339" spans="1:5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/>
    </row>
    <row r="340" spans="1:5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/>
    </row>
    <row r="341" spans="1:5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/>
    </row>
    <row r="342" spans="1:5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/>
    </row>
    <row r="343" spans="1:5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/>
    </row>
    <row r="344" spans="1:5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/>
    </row>
    <row r="345" spans="1:5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/>
    </row>
    <row r="346" spans="1:5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/>
    </row>
    <row r="347" spans="1:5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/>
    </row>
    <row r="348" spans="1:5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/>
    </row>
    <row r="349" spans="1:5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/>
    </row>
    <row r="350" spans="1:5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/>
    </row>
    <row r="351" spans="1:5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/>
    </row>
    <row r="352" spans="1:5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/>
    </row>
    <row r="353" spans="1:5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/>
    </row>
    <row r="354" spans="1:5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/>
    </row>
    <row r="355" spans="1:5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/>
    </row>
    <row r="356" spans="1:5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/>
    </row>
    <row r="357" spans="1:5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/>
    </row>
    <row r="358" spans="1:5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/>
    </row>
    <row r="359" spans="1:5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/>
    </row>
    <row r="360" spans="1:5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/>
    </row>
    <row r="361" spans="1:5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/>
    </row>
    <row r="362" spans="1:5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/>
    </row>
    <row r="363" spans="1:5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/>
    </row>
    <row r="364" spans="1:5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/>
    </row>
    <row r="365" spans="1:5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/>
    </row>
    <row r="366" spans="1:5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/>
    </row>
    <row r="367" spans="1:5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/>
    </row>
    <row r="368" spans="1:5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/>
    </row>
    <row r="369" spans="1:5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/>
    </row>
    <row r="370" spans="1:5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/>
    </row>
    <row r="371" spans="1:5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/>
    </row>
    <row r="372" spans="1:5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/>
    </row>
    <row r="373" spans="1:5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/>
    </row>
    <row r="374" spans="1:5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/>
    </row>
    <row r="375" spans="1:5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/>
    </row>
    <row r="376" spans="1:5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/>
    </row>
    <row r="377" spans="1:5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/>
    </row>
    <row r="378" spans="1:5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/>
    </row>
    <row r="379" spans="1:5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/>
    </row>
    <row r="380" spans="1:5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/>
    </row>
    <row r="381" spans="1:5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/>
    </row>
    <row r="382" spans="1:5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/>
    </row>
    <row r="383" spans="1:5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/>
    </row>
    <row r="384" spans="1:5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/>
    </row>
    <row r="385" spans="1:5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/>
    </row>
    <row r="386" spans="1:5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/>
    </row>
    <row r="387" spans="1:5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/>
    </row>
    <row r="388" spans="1:5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/>
    </row>
    <row r="389" spans="1:5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/>
    </row>
    <row r="390" spans="1:5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/>
    </row>
    <row r="391" spans="1:5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/>
    </row>
    <row r="392" spans="1:5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/>
    </row>
    <row r="393" spans="1:5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/>
    </row>
    <row r="394" spans="1:5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/>
    </row>
    <row r="395" spans="1:5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/>
    </row>
    <row r="396" spans="1:5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/>
    </row>
    <row r="397" spans="1:5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/>
    </row>
    <row r="398" spans="1:5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/>
    </row>
    <row r="399" spans="1:5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/>
    </row>
    <row r="400" spans="1:5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/>
    </row>
    <row r="401" spans="1:5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/>
    </row>
    <row r="402" spans="1:5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/>
    </row>
    <row r="403" spans="1:5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/>
    </row>
    <row r="404" spans="1:5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/>
    </row>
    <row r="405" spans="1:5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/>
    </row>
    <row r="406" spans="1:5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/>
    </row>
    <row r="407" spans="1:5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/>
    </row>
    <row r="408" spans="1:5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/>
    </row>
    <row r="409" spans="1:5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/>
    </row>
    <row r="410" spans="1:5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/>
    </row>
    <row r="411" spans="1:5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/>
    </row>
    <row r="412" spans="1:5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/>
    </row>
    <row r="413" spans="1:5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/>
    </row>
    <row r="414" spans="1:5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/>
    </row>
    <row r="415" spans="1:5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/>
    </row>
    <row r="416" spans="1:5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/>
    </row>
    <row r="417" spans="1:5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/>
    </row>
    <row r="418" spans="1:5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/>
    </row>
    <row r="419" spans="1:5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/>
    </row>
    <row r="420" spans="1:5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/>
    </row>
    <row r="421" spans="1:5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/>
    </row>
    <row r="422" spans="1:5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/>
    </row>
    <row r="423" spans="1:5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/>
    </row>
    <row r="424" spans="1:5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/>
    </row>
    <row r="425" spans="1:5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/>
    </row>
    <row r="426" spans="1:5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/>
    </row>
    <row r="427" spans="1:5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/>
    </row>
    <row r="428" spans="1:5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/>
    </row>
    <row r="429" spans="1:5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/>
    </row>
    <row r="430" spans="1:5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/>
    </row>
    <row r="431" spans="1:5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/>
    </row>
    <row r="432" spans="1:5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/>
    </row>
    <row r="433" spans="1:5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/>
    </row>
    <row r="434" spans="1:5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/>
    </row>
    <row r="435" spans="1:5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/>
    </row>
    <row r="436" spans="1:5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/>
    </row>
    <row r="437" spans="1:5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/>
    </row>
    <row r="438" spans="1:5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/>
    </row>
    <row r="439" spans="1:5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/>
    </row>
    <row r="440" spans="1:5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/>
    </row>
    <row r="441" spans="1:5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/>
    </row>
    <row r="442" spans="1:5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/>
    </row>
    <row r="443" spans="1:5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/>
    </row>
    <row r="444" spans="1:5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/>
    </row>
    <row r="445" spans="1:5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/>
    </row>
    <row r="446" spans="1:5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/>
    </row>
    <row r="447" spans="1:5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/>
    </row>
    <row r="448" spans="1:5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/>
    </row>
    <row r="449" spans="1:5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/>
    </row>
    <row r="450" spans="1:5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/>
    </row>
    <row r="451" spans="1:5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/>
    </row>
    <row r="452" spans="1:5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/>
    </row>
    <row r="453" spans="1:5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/>
    </row>
    <row r="454" spans="1:5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/>
    </row>
    <row r="455" spans="1:5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/>
    </row>
    <row r="456" spans="1:5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/>
    </row>
    <row r="457" spans="1:5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/>
    </row>
    <row r="458" spans="1:5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/>
    </row>
    <row r="459" spans="1:5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/>
    </row>
    <row r="460" spans="1:5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/>
    </row>
    <row r="461" spans="1:5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/>
    </row>
    <row r="462" spans="1:5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/>
    </row>
    <row r="463" spans="1:5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/>
    </row>
    <row r="464" spans="1:5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/>
    </row>
    <row r="465" spans="1:5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/>
    </row>
    <row r="466" spans="1:5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/>
    </row>
    <row r="467" spans="1:5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/>
    </row>
    <row r="468" spans="1:5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/>
    </row>
    <row r="469" spans="1:5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/>
    </row>
    <row r="470" spans="1:5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/>
    </row>
    <row r="471" spans="1:5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/>
    </row>
    <row r="472" spans="1:5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/>
    </row>
    <row r="473" spans="1:5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/>
    </row>
    <row r="474" spans="1:5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/>
    </row>
    <row r="475" spans="1:5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/>
    </row>
    <row r="476" spans="1:5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/>
    </row>
    <row r="477" spans="1:5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/>
    </row>
    <row r="478" spans="1:5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/>
    </row>
    <row r="479" spans="1:5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/>
    </row>
    <row r="480" spans="1:5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/>
    </row>
    <row r="481" spans="1:5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/>
    </row>
    <row r="482" spans="1:5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/>
    </row>
    <row r="483" spans="1:5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/>
    </row>
    <row r="484" spans="1:5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/>
    </row>
    <row r="485" spans="1:5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/>
    </row>
    <row r="486" spans="1:5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/>
    </row>
    <row r="487" spans="1:5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/>
    </row>
    <row r="488" spans="1:5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/>
    </row>
    <row r="489" spans="1:5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/>
    </row>
    <row r="490" spans="1:5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/>
    </row>
    <row r="491" spans="1:5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/>
    </row>
    <row r="492" spans="1:5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/>
    </row>
    <row r="493" spans="1:5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/>
    </row>
    <row r="494" spans="1:5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/>
    </row>
    <row r="495" spans="1:5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/>
    </row>
    <row r="496" spans="1:5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/>
    </row>
    <row r="497" spans="1:5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/>
    </row>
    <row r="498" spans="1:5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/>
    </row>
    <row r="499" spans="1:5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/>
    </row>
    <row r="500" spans="1:5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/>
    </row>
    <row r="501" spans="1:5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/>
    </row>
    <row r="502" spans="1:5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/>
    </row>
    <row r="503" spans="1:5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/>
    </row>
    <row r="504" spans="1:5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/>
    </row>
    <row r="505" spans="1:5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/>
    </row>
    <row r="506" spans="1:5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/>
    </row>
    <row r="507" spans="1:5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/>
    </row>
    <row r="508" spans="1:5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/>
    </row>
    <row r="509" spans="1:5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/>
    </row>
    <row r="510" spans="1:5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/>
    </row>
    <row r="511" spans="1:5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/>
    </row>
    <row r="512" spans="1:5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/>
    </row>
    <row r="513" spans="1:5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/>
    </row>
    <row r="514" spans="1:5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/>
    </row>
    <row r="515" spans="1:5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/>
    </row>
    <row r="516" spans="1:5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/>
    </row>
    <row r="517" spans="1:5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/>
    </row>
    <row r="518" spans="1:5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/>
    </row>
    <row r="519" spans="1:5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/>
    </row>
    <row r="520" spans="1:5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/>
    </row>
    <row r="521" spans="1:5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/>
    </row>
    <row r="522" spans="1:5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/>
    </row>
    <row r="523" spans="1:5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/>
    </row>
    <row r="524" spans="1:5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/>
    </row>
    <row r="525" spans="1:5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/>
    </row>
    <row r="526" spans="1:5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/>
    </row>
    <row r="527" spans="1:5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/>
    </row>
    <row r="528" spans="1:5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/>
    </row>
    <row r="529" spans="1:5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/>
    </row>
    <row r="530" spans="1:5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/>
    </row>
    <row r="531" spans="1:5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/>
    </row>
    <row r="532" spans="1:5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/>
    </row>
    <row r="533" spans="1:5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/>
    </row>
    <row r="534" spans="1:5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/>
    </row>
    <row r="535" spans="1:5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/>
    </row>
    <row r="536" spans="1:5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/>
    </row>
    <row r="537" spans="1:5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/>
    </row>
    <row r="538" spans="1:5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/>
    </row>
    <row r="539" spans="1:5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/>
    </row>
    <row r="540" spans="1:5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/>
    </row>
    <row r="541" spans="1:5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/>
    </row>
    <row r="542" spans="1:5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/>
    </row>
    <row r="543" spans="1:5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/>
    </row>
    <row r="544" spans="1:5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/>
    </row>
    <row r="545" spans="1:5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/>
    </row>
    <row r="546" spans="1:5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/>
    </row>
    <row r="547" spans="1:5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/>
    </row>
    <row r="548" spans="1:5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/>
    </row>
    <row r="549" spans="1:5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/>
    </row>
    <row r="550" spans="1:5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/>
    </row>
    <row r="551" spans="1:5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/>
    </row>
    <row r="552" spans="1:5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/>
    </row>
    <row r="553" spans="1:5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/>
    </row>
    <row r="554" spans="1:5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/>
    </row>
    <row r="555" spans="1:5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/>
    </row>
    <row r="556" spans="1:5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/>
    </row>
    <row r="557" spans="1:5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/>
    </row>
    <row r="558" spans="1:5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/>
    </row>
    <row r="559" spans="1:5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/>
    </row>
    <row r="560" spans="1:5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/>
    </row>
    <row r="561" spans="1:5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/>
    </row>
    <row r="562" spans="1:5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/>
    </row>
    <row r="563" spans="1:5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/>
    </row>
    <row r="564" spans="1:5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/>
    </row>
    <row r="565" spans="1:5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/>
    </row>
    <row r="566" spans="1:5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/>
    </row>
    <row r="567" spans="1:5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/>
    </row>
    <row r="568" spans="1:5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/>
    </row>
    <row r="569" spans="1:5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/>
    </row>
    <row r="570" spans="1:5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/>
    </row>
    <row r="571" spans="1:5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/>
    </row>
    <row r="572" spans="1:5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/>
    </row>
    <row r="573" spans="1:5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/>
    </row>
    <row r="574" spans="1:5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/>
    </row>
    <row r="575" spans="1:5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/>
    </row>
    <row r="576" spans="1:5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/>
    </row>
    <row r="577" spans="1:5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/>
    </row>
    <row r="578" spans="1:5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/>
    </row>
    <row r="579" spans="1:5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/>
    </row>
    <row r="580" spans="1:5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/>
    </row>
    <row r="581" spans="1:5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/>
    </row>
    <row r="582" spans="1:5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/>
    </row>
    <row r="583" spans="1:5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/>
    </row>
    <row r="584" spans="1:5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/>
    </row>
    <row r="585" spans="1:5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/>
    </row>
    <row r="586" spans="1:5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/>
    </row>
    <row r="587" spans="1:5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/>
    </row>
    <row r="588" spans="1:5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/>
    </row>
    <row r="589" spans="1:5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/>
    </row>
    <row r="590" spans="1:5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/>
    </row>
    <row r="591" spans="1:5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/>
    </row>
    <row r="592" spans="1:5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/>
    </row>
    <row r="593" spans="1:5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/>
    </row>
    <row r="594" spans="1:5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/>
    </row>
    <row r="595" spans="1:5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/>
    </row>
    <row r="596" spans="1:5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/>
    </row>
    <row r="597" spans="1:5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/>
    </row>
    <row r="598" spans="1:5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/>
    </row>
    <row r="599" spans="1:5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/>
    </row>
    <row r="600" spans="1:5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/>
    </row>
    <row r="601" spans="1:5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/>
    </row>
    <row r="602" spans="1:5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/>
    </row>
    <row r="603" spans="1:5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/>
    </row>
    <row r="604" spans="1:5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/>
    </row>
    <row r="605" spans="1:5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/>
    </row>
    <row r="606" spans="1:5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/>
    </row>
    <row r="607" spans="1:5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/>
    </row>
    <row r="608" spans="1:5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/>
    </row>
    <row r="609" spans="1:5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/>
    </row>
    <row r="610" spans="1:5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/>
    </row>
    <row r="611" spans="1:5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/>
    </row>
    <row r="612" spans="1:5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/>
    </row>
    <row r="613" spans="1:5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/>
    </row>
    <row r="614" spans="1:5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/>
    </row>
    <row r="615" spans="1:5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/>
    </row>
    <row r="616" spans="1:5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/>
    </row>
    <row r="617" spans="1:5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/>
    </row>
    <row r="618" spans="1:5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/>
    </row>
    <row r="619" spans="1:5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/>
    </row>
    <row r="620" spans="1:5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/>
    </row>
    <row r="621" spans="1:5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/>
    </row>
    <row r="622" spans="1:5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/>
    </row>
    <row r="623" spans="1:5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/>
    </row>
    <row r="624" spans="1:5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/>
    </row>
    <row r="625" spans="1:5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/>
    </row>
    <row r="626" spans="1:5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/>
    </row>
    <row r="627" spans="1:5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/>
    </row>
    <row r="628" spans="1:5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/>
    </row>
    <row r="629" spans="1:5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/>
    </row>
    <row r="630" spans="1:5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/>
    </row>
    <row r="631" spans="1:5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/>
    </row>
    <row r="632" spans="1:5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/>
    </row>
    <row r="633" spans="1:5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/>
    </row>
    <row r="634" spans="1:5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/>
    </row>
    <row r="635" spans="1:5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/>
    </row>
    <row r="636" spans="1:5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/>
    </row>
    <row r="637" spans="1:5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/>
    </row>
    <row r="638" spans="1:5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/>
    </row>
    <row r="639" spans="1:5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/>
    </row>
    <row r="640" spans="1:5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/>
    </row>
    <row r="641" spans="1:5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/>
    </row>
    <row r="642" spans="1:5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/>
    </row>
    <row r="643" spans="1:5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/>
    </row>
    <row r="644" spans="1:5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/>
    </row>
    <row r="645" spans="1:5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/>
    </row>
    <row r="646" spans="1:5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/>
    </row>
    <row r="647" spans="1:5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/>
    </row>
    <row r="648" spans="1:5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/>
    </row>
    <row r="649" spans="1:5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/>
    </row>
    <row r="650" spans="1:5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/>
    </row>
    <row r="651" spans="1:5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/>
    </row>
    <row r="652" spans="1:5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/>
    </row>
    <row r="653" spans="1:5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/>
    </row>
    <row r="654" spans="1:5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/>
    </row>
    <row r="655" spans="1:5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/>
    </row>
    <row r="656" spans="1:5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/>
    </row>
    <row r="657" spans="1:5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/>
    </row>
    <row r="658" spans="1:5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/>
    </row>
    <row r="659" spans="1:5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/>
    </row>
    <row r="660" spans="1:5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/>
    </row>
    <row r="661" spans="1:5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/>
    </row>
    <row r="662" spans="1:5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/>
    </row>
    <row r="663" spans="1:5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/>
    </row>
    <row r="664" spans="1:5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/>
    </row>
    <row r="665" spans="1:5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/>
    </row>
    <row r="666" spans="1:5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/>
    </row>
    <row r="667" spans="1:5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/>
    </row>
    <row r="668" spans="1:5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/>
    </row>
    <row r="669" spans="1:5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/>
    </row>
    <row r="670" spans="1:5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/>
    </row>
    <row r="671" spans="1:5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/>
    </row>
    <row r="672" spans="1:5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/>
    </row>
    <row r="673" spans="1:5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/>
    </row>
    <row r="674" spans="1:5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/>
    </row>
    <row r="675" spans="1:5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/>
    </row>
    <row r="676" spans="1:5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/>
    </row>
    <row r="677" spans="1:5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/>
    </row>
    <row r="678" spans="1:5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/>
    </row>
    <row r="679" spans="1:5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/>
    </row>
    <row r="680" spans="1:5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/>
    </row>
    <row r="681" spans="1:5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/>
    </row>
    <row r="682" spans="1:5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/>
    </row>
    <row r="683" spans="1:5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/>
    </row>
    <row r="684" spans="1:5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/>
    </row>
    <row r="685" spans="1:5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/>
    </row>
    <row r="686" spans="1:5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/>
    </row>
    <row r="687" spans="1:5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/>
    </row>
    <row r="688" spans="1:5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/>
    </row>
    <row r="689" spans="1:5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/>
    </row>
    <row r="690" spans="1:5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/>
    </row>
    <row r="691" spans="1:5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/>
    </row>
    <row r="692" spans="1:5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/>
    </row>
    <row r="693" spans="1:5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/>
    </row>
    <row r="694" spans="1:5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/>
    </row>
    <row r="695" spans="1:5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/>
    </row>
    <row r="696" spans="1:5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/>
    </row>
    <row r="697" spans="1:5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/>
    </row>
    <row r="698" spans="1:5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/>
    </row>
    <row r="699" spans="1:5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/>
    </row>
    <row r="700" spans="1:5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/>
    </row>
    <row r="701" spans="1:5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/>
    </row>
    <row r="702" spans="1:5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/>
    </row>
    <row r="703" spans="1:5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/>
    </row>
    <row r="704" spans="1:5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/>
    </row>
    <row r="705" spans="1:5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/>
    </row>
    <row r="706" spans="1:5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/>
    </row>
    <row r="707" spans="1:5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/>
    </row>
    <row r="708" spans="1:5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/>
    </row>
    <row r="709" spans="1:5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/>
    </row>
    <row r="710" spans="1:5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/>
    </row>
    <row r="711" spans="1:5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/>
    </row>
    <row r="712" spans="1:5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/>
    </row>
    <row r="713" spans="1:5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/>
    </row>
    <row r="714" spans="1:5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/>
    </row>
    <row r="715" spans="1:5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/>
    </row>
    <row r="716" spans="1:5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/>
    </row>
    <row r="717" spans="1:5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/>
    </row>
    <row r="718" spans="1:5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/>
    </row>
    <row r="719" spans="1:5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/>
    </row>
    <row r="720" spans="1:5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/>
    </row>
    <row r="721" spans="1:5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/>
    </row>
    <row r="722" spans="1:5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/>
    </row>
    <row r="723" spans="1:5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/>
    </row>
    <row r="724" spans="1:5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/>
    </row>
    <row r="725" spans="1:5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/>
    </row>
    <row r="726" spans="1:5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/>
    </row>
    <row r="727" spans="1:5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/>
    </row>
    <row r="728" spans="1:5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/>
    </row>
    <row r="729" spans="1:5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/>
    </row>
    <row r="730" spans="1:5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/>
    </row>
    <row r="731" spans="1:5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/>
    </row>
    <row r="732" spans="1:5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/>
    </row>
    <row r="733" spans="1:5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/>
    </row>
    <row r="734" spans="1:5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/>
    </row>
    <row r="735" spans="1:5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/>
    </row>
    <row r="736" spans="1:5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/>
    </row>
    <row r="737" spans="1:5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/>
    </row>
    <row r="738" spans="1:5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/>
    </row>
    <row r="739" spans="1:5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/>
    </row>
    <row r="740" spans="1:5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/>
    </row>
    <row r="741" spans="1:5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/>
    </row>
    <row r="742" spans="1:5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/>
    </row>
    <row r="743" spans="1:5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/>
    </row>
    <row r="744" spans="1:5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/>
    </row>
    <row r="745" spans="1:5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/>
    </row>
    <row r="746" spans="1:5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/>
    </row>
    <row r="747" spans="1:5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/>
    </row>
    <row r="748" spans="1:5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/>
    </row>
    <row r="749" spans="1:5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/>
    </row>
    <row r="750" spans="1:5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/>
    </row>
    <row r="751" spans="1:5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/>
    </row>
    <row r="752" spans="1:5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/>
    </row>
    <row r="753" spans="1:5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/>
    </row>
    <row r="754" spans="1:5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/>
    </row>
    <row r="755" spans="1:5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/>
    </row>
    <row r="756" spans="1:5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/>
    </row>
    <row r="757" spans="1:5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/>
    </row>
    <row r="758" spans="1:5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/>
    </row>
    <row r="759" spans="1:5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/>
    </row>
    <row r="760" spans="1:5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/>
    </row>
    <row r="761" spans="1:5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/>
    </row>
    <row r="762" spans="1:5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/>
    </row>
    <row r="763" spans="1:5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/>
    </row>
    <row r="764" spans="1:5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/>
    </row>
    <row r="765" spans="1:5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/>
    </row>
    <row r="766" spans="1:5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/>
    </row>
    <row r="767" spans="1:5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/>
    </row>
    <row r="768" spans="1:5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/>
    </row>
    <row r="769" spans="1:5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/>
    </row>
    <row r="770" spans="1:5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/>
    </row>
    <row r="771" spans="1:5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/>
    </row>
    <row r="772" spans="1:5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/>
    </row>
    <row r="773" spans="1:5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/>
    </row>
    <row r="774" spans="1:5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/>
    </row>
    <row r="775" spans="1:5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/>
    </row>
    <row r="776" spans="1:5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/>
    </row>
    <row r="777" spans="1:5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/>
    </row>
    <row r="778" spans="1:5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/>
    </row>
    <row r="779" spans="1:5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/>
    </row>
    <row r="780" spans="1:5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/>
    </row>
    <row r="781" spans="1:5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/>
    </row>
    <row r="782" spans="1:5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/>
    </row>
    <row r="783" spans="1:5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/>
    </row>
    <row r="784" spans="1:5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/>
    </row>
    <row r="785" spans="1:5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/>
    </row>
    <row r="786" spans="1:5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/>
    </row>
    <row r="787" spans="1:5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/>
    </row>
    <row r="788" spans="1:5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/>
    </row>
    <row r="789" spans="1:5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/>
    </row>
    <row r="790" spans="1:5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/>
    </row>
    <row r="791" spans="1:5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/>
    </row>
    <row r="792" spans="1:5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/>
    </row>
    <row r="793" spans="1:5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/>
    </row>
    <row r="794" spans="1:5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/>
    </row>
    <row r="795" spans="1:5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/>
    </row>
    <row r="796" spans="1:5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/>
    </row>
    <row r="797" spans="1:5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/>
    </row>
    <row r="798" spans="1:5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/>
    </row>
    <row r="799" spans="1:5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/>
    </row>
    <row r="800" spans="1:5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/>
    </row>
    <row r="801" spans="1:5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/>
    </row>
    <row r="802" spans="1:5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/>
    </row>
    <row r="803" spans="1:5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/>
    </row>
    <row r="804" spans="1:5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/>
    </row>
    <row r="805" spans="1:5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/>
    </row>
    <row r="806" spans="1:5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/>
    </row>
    <row r="807" spans="1:5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/>
    </row>
    <row r="808" spans="1:5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/>
    </row>
    <row r="809" spans="1:5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/>
    </row>
    <row r="810" spans="1:5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/>
    </row>
    <row r="811" spans="1:5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/>
    </row>
    <row r="812" spans="1:5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/>
    </row>
    <row r="813" spans="1:5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/>
    </row>
    <row r="814" spans="1:5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/>
    </row>
    <row r="815" spans="1:5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/>
    </row>
    <row r="816" spans="1:5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/>
    </row>
    <row r="817" spans="1:5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/>
    </row>
    <row r="818" spans="1:5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/>
    </row>
    <row r="819" spans="1:5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/>
    </row>
    <row r="820" spans="1:5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/>
    </row>
    <row r="821" spans="1:5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/>
    </row>
    <row r="822" spans="1:5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/>
    </row>
    <row r="823" spans="1:5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/>
    </row>
    <row r="824" spans="1:5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/>
    </row>
    <row r="825" spans="1:5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/>
    </row>
    <row r="826" spans="1:5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/>
    </row>
    <row r="827" spans="1:5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/>
    </row>
    <row r="828" spans="1:5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/>
    </row>
    <row r="829" spans="1:5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/>
    </row>
    <row r="830" spans="1:5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/>
    </row>
    <row r="831" spans="1:5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/>
    </row>
    <row r="832" spans="1:5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/>
    </row>
    <row r="833" spans="1:5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/>
    </row>
    <row r="834" spans="1:5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/>
    </row>
    <row r="835" spans="1:5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/>
    </row>
    <row r="836" spans="1:5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/>
    </row>
    <row r="837" spans="1:5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/>
    </row>
    <row r="838" spans="1:5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/>
    </row>
    <row r="839" spans="1:5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/>
    </row>
    <row r="840" spans="1:5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/>
    </row>
    <row r="841" spans="1:5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/>
    </row>
    <row r="842" spans="1:5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/>
    </row>
    <row r="843" spans="1:5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/>
    </row>
    <row r="844" spans="1:5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/>
    </row>
    <row r="845" spans="1:5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/>
    </row>
    <row r="846" spans="1:5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/>
    </row>
    <row r="847" spans="1:5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/>
    </row>
    <row r="848" spans="1:5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/>
    </row>
    <row r="849" spans="1:5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/>
    </row>
    <row r="850" spans="1:5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/>
    </row>
    <row r="851" spans="1:5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/>
    </row>
    <row r="852" spans="1:5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/>
    </row>
    <row r="853" spans="1:5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/>
    </row>
    <row r="854" spans="1:5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/>
    </row>
    <row r="855" spans="1:5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/>
    </row>
    <row r="856" spans="1:5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/>
    </row>
    <row r="857" spans="1:5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/>
    </row>
    <row r="858" spans="1:5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/>
    </row>
    <row r="859" spans="1:5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/>
    </row>
    <row r="860" spans="1:5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/>
    </row>
    <row r="861" spans="1:5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/>
    </row>
    <row r="862" spans="1:5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/>
    </row>
    <row r="863" spans="1:5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/>
    </row>
    <row r="864" spans="1:5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/>
    </row>
    <row r="865" spans="1:5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/>
    </row>
    <row r="866" spans="1:5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/>
    </row>
    <row r="867" spans="1:5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/>
    </row>
    <row r="868" spans="1:5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/>
    </row>
    <row r="869" spans="1:5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/>
    </row>
    <row r="870" spans="1:5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/>
    </row>
    <row r="871" spans="1:5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/>
    </row>
    <row r="872" spans="1:5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/>
    </row>
    <row r="873" spans="1:5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/>
    </row>
    <row r="874" spans="1:5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/>
    </row>
    <row r="875" spans="1:5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/>
    </row>
    <row r="876" spans="1:5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/>
    </row>
    <row r="877" spans="1:5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/>
    </row>
    <row r="878" spans="1:5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/>
    </row>
    <row r="879" spans="1:5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/>
    </row>
    <row r="880" spans="1:5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/>
    </row>
    <row r="881" spans="1:5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/>
    </row>
    <row r="882" spans="1:5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/>
    </row>
    <row r="883" spans="1:5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/>
    </row>
    <row r="884" spans="1:5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/>
    </row>
    <row r="885" spans="1:5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/>
    </row>
    <row r="886" spans="1:5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/>
    </row>
    <row r="887" spans="1:5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/>
    </row>
    <row r="888" spans="1:5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/>
    </row>
    <row r="889" spans="1:5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/>
    </row>
    <row r="890" spans="1:5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/>
    </row>
    <row r="891" spans="1:5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/>
    </row>
    <row r="892" spans="1:5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/>
    </row>
    <row r="893" spans="1:5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/>
    </row>
    <row r="894" spans="1:5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/>
    </row>
    <row r="895" spans="1:5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/>
    </row>
    <row r="896" spans="1:5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/>
    </row>
    <row r="897" spans="1:5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/>
    </row>
    <row r="898" spans="1:5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/>
    </row>
    <row r="899" spans="1:5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/>
    </row>
    <row r="900" spans="1:5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/>
    </row>
    <row r="901" spans="1:5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/>
    </row>
    <row r="902" spans="1:5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/>
    </row>
    <row r="903" spans="1:5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/>
    </row>
    <row r="904" spans="1:5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/>
    </row>
    <row r="905" spans="1:5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/>
    </row>
    <row r="906" spans="1:5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/>
    </row>
    <row r="907" spans="1:5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/>
    </row>
    <row r="908" spans="1:5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/>
    </row>
    <row r="909" spans="1:5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/>
    </row>
    <row r="910" spans="1:5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/>
    </row>
    <row r="911" spans="1:5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/>
    </row>
    <row r="912" spans="1:5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/>
    </row>
    <row r="913" spans="1:5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/>
    </row>
    <row r="914" spans="1:5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/>
    </row>
    <row r="915" spans="1:5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/>
    </row>
    <row r="916" spans="1:5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/>
    </row>
    <row r="917" spans="1:5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/>
    </row>
    <row r="918" spans="1:5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/>
    </row>
    <row r="919" spans="1:5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/>
    </row>
    <row r="920" spans="1:5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/>
    </row>
    <row r="921" spans="1:5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/>
    </row>
    <row r="922" spans="1:5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/>
    </row>
    <row r="923" spans="1:5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/>
    </row>
    <row r="924" spans="1:5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/>
    </row>
    <row r="925" spans="1:5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/>
    </row>
    <row r="926" spans="1:5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/>
    </row>
    <row r="927" spans="1:5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/>
    </row>
    <row r="928" spans="1:5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/>
    </row>
    <row r="929" spans="1:5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/>
    </row>
    <row r="930" spans="1:5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/>
    </row>
    <row r="931" spans="1:5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/>
    </row>
    <row r="932" spans="1:5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/>
    </row>
    <row r="933" spans="1:5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/>
    </row>
    <row r="934" spans="1:5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/>
    </row>
    <row r="935" spans="1:5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/>
    </row>
    <row r="936" spans="1:5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/>
    </row>
    <row r="937" spans="1:5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/>
    </row>
    <row r="938" spans="1:5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/>
    </row>
    <row r="939" spans="1:5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/>
    </row>
    <row r="940" spans="1:5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/>
    </row>
    <row r="941" spans="1:5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/>
    </row>
    <row r="942" spans="1:5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/>
    </row>
    <row r="943" spans="1:5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/>
    </row>
    <row r="944" spans="1:5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/>
    </row>
    <row r="945" spans="1:5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/>
    </row>
    <row r="946" spans="1:5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/>
    </row>
    <row r="947" spans="1:5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/>
    </row>
    <row r="948" spans="1:5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/>
    </row>
    <row r="949" spans="1:5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/>
    </row>
    <row r="950" spans="1:5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/>
    </row>
    <row r="951" spans="1:5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/>
    </row>
    <row r="952" spans="1:5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/>
    </row>
    <row r="953" spans="1:5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/>
    </row>
    <row r="954" spans="1:5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/>
    </row>
    <row r="955" spans="1:5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/>
    </row>
    <row r="956" spans="1:5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/>
    </row>
    <row r="957" spans="1:5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/>
    </row>
    <row r="958" spans="1:5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/>
    </row>
    <row r="959" spans="1:5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/>
    </row>
    <row r="960" spans="1:5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/>
    </row>
    <row r="961" spans="1:5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/>
    </row>
    <row r="962" spans="1:5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/>
    </row>
    <row r="963" spans="1:5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/>
    </row>
    <row r="964" spans="1:5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/>
    </row>
    <row r="965" spans="1:5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/>
    </row>
    <row r="966" spans="1:5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/>
    </row>
    <row r="967" spans="1:5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/>
    </row>
    <row r="968" spans="1:5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/>
    </row>
    <row r="969" spans="1:5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/>
    </row>
    <row r="970" spans="1:5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/>
    </row>
    <row r="971" spans="1:5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/>
    </row>
    <row r="972" spans="1:5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/>
    </row>
    <row r="973" spans="1:5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/>
    </row>
    <row r="974" spans="1:5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/>
    </row>
    <row r="975" spans="1:5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/>
    </row>
    <row r="976" spans="1:5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/>
    </row>
    <row r="977" spans="1:5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/>
    </row>
    <row r="978" spans="1:5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/>
    </row>
    <row r="979" spans="1:5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/>
    </row>
    <row r="980" spans="1:5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/>
    </row>
    <row r="981" spans="1:5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/>
    </row>
    <row r="982" spans="1:5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/>
    </row>
    <row r="983" spans="1:5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/>
    </row>
    <row r="984" spans="1:5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/>
    </row>
    <row r="985" spans="1:5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/>
    </row>
    <row r="986" spans="1:5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/>
    </row>
    <row r="987" spans="1:5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/>
    </row>
    <row r="988" spans="1:5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/>
    </row>
    <row r="989" spans="1:5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/>
    </row>
    <row r="990" spans="1:5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/>
    </row>
    <row r="991" spans="1:5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/>
    </row>
    <row r="992" spans="1:5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/>
    </row>
    <row r="993" spans="1:5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/>
    </row>
    <row r="994" spans="1:5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/>
    </row>
    <row r="995" spans="1:5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/>
    </row>
    <row r="996" spans="1:5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/>
    </row>
    <row r="997" spans="1:5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/>
    </row>
    <row r="998" spans="1:5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/>
    </row>
    <row r="999" spans="1:5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/>
    </row>
    <row r="1000" spans="1:5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/>
    </row>
    <row r="1001" spans="1:5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/>
    </row>
    <row r="1002" spans="1:5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/>
    </row>
    <row r="1003" spans="1:5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/>
    </row>
    <row r="1004" spans="1:5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/>
    </row>
    <row r="1005" spans="1:5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/>
    </row>
    <row r="1006" spans="1:5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/>
    </row>
    <row r="1007" spans="1:5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/>
    </row>
    <row r="1008" spans="1:5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/>
    </row>
    <row r="1009" spans="1:5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/>
    </row>
    <row r="1010" spans="1:5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/>
    </row>
    <row r="1011" spans="1:5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/>
    </row>
    <row r="1012" spans="1:5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/>
    </row>
    <row r="1013" spans="1:5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/>
    </row>
    <row r="1014" spans="1:5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/>
    </row>
    <row r="1015" spans="1:5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/>
    </row>
    <row r="1016" spans="1:5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/>
    </row>
    <row r="1017" spans="1:5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/>
    </row>
    <row r="1018" spans="1:5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/>
    </row>
    <row r="1019" spans="1:5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/>
    </row>
    <row r="1020" spans="1:5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/>
    </row>
    <row r="1021" spans="1:5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/>
    </row>
    <row r="1022" spans="1:5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/>
    </row>
    <row r="1023" spans="1:5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/>
    </row>
    <row r="1024" spans="1:5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/>
    </row>
    <row r="1025" spans="1:5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/>
    </row>
    <row r="1026" spans="1:5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/>
    </row>
    <row r="1027" spans="1:5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/>
    </row>
    <row r="1028" spans="1:5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/>
    </row>
    <row r="1029" spans="1:5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/>
    </row>
    <row r="1030" spans="1:5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/>
    </row>
    <row r="1031" spans="1:5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/>
    </row>
    <row r="1032" spans="1:5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/>
    </row>
    <row r="1033" spans="1:5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/>
    </row>
    <row r="1034" spans="1:5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/>
    </row>
    <row r="1035" spans="1:5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/>
    </row>
    <row r="1036" spans="1:5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/>
    </row>
    <row r="1037" spans="1:5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/>
    </row>
    <row r="1038" spans="1:5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/>
    </row>
    <row r="1039" spans="1:5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/>
    </row>
    <row r="1040" spans="1:5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/>
    </row>
    <row r="1041" spans="1:5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/>
    </row>
    <row r="1042" spans="1:5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/>
    </row>
    <row r="1043" spans="1:5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/>
    </row>
    <row r="1044" spans="1:5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/>
    </row>
    <row r="1045" spans="1:5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/>
    </row>
    <row r="1046" spans="1:5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/>
    </row>
    <row r="1047" spans="1:5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/>
    </row>
    <row r="1048" spans="1:5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/>
    </row>
    <row r="1049" spans="1:5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/>
    </row>
    <row r="1050" spans="1:5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/>
    </row>
    <row r="1051" spans="1:5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/>
    </row>
    <row r="1052" spans="1:5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/>
    </row>
    <row r="1053" spans="1:5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/>
    </row>
    <row r="1054" spans="1:5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/>
    </row>
    <row r="1055" spans="1:5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/>
    </row>
    <row r="1056" spans="1:5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/>
    </row>
    <row r="1057" spans="1:5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/>
    </row>
    <row r="1058" spans="1:5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/>
    </row>
    <row r="1059" spans="1:5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/>
    </row>
    <row r="1060" spans="1:5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/>
    </row>
    <row r="1061" spans="1:5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/>
    </row>
    <row r="1062" spans="1:5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/>
    </row>
    <row r="1063" spans="1:5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/>
    </row>
    <row r="1064" spans="1:5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/>
    </row>
    <row r="1065" spans="1:5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/>
    </row>
    <row r="1066" spans="1:5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/>
    </row>
    <row r="1067" spans="1:5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/>
    </row>
    <row r="1068" spans="1:5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/>
    </row>
    <row r="1069" spans="1:5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/>
    </row>
    <row r="1070" spans="1:5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/>
    </row>
    <row r="1071" spans="1:5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/>
    </row>
    <row r="1072" spans="1:5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/>
    </row>
    <row r="1073" spans="1:5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/>
    </row>
    <row r="1074" spans="1:5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/>
    </row>
    <row r="1075" spans="1:5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/>
    </row>
    <row r="1076" spans="1:5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/>
    </row>
    <row r="1077" spans="1:5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/>
    </row>
    <row r="1078" spans="1:5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/>
    </row>
    <row r="1079" spans="1:5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/>
    </row>
    <row r="1080" spans="1:5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/>
    </row>
    <row r="1081" spans="1:5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/>
    </row>
    <row r="1082" spans="1:5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/>
    </row>
    <row r="1083" spans="1:5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/>
    </row>
    <row r="1084" spans="1:5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/>
    </row>
    <row r="1085" spans="1:5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/>
    </row>
    <row r="1086" spans="1:5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/>
    </row>
    <row r="1087" spans="1:5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/>
    </row>
    <row r="1088" spans="1:5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/>
    </row>
    <row r="1089" spans="1:5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/>
    </row>
    <row r="1090" spans="1:5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/>
    </row>
    <row r="1091" spans="1:5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/>
    </row>
    <row r="1092" spans="1:5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/>
    </row>
    <row r="1093" spans="1:5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/>
    </row>
    <row r="1094" spans="1:5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/>
    </row>
    <row r="1095" spans="1:5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/>
    </row>
    <row r="1096" spans="1:5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/>
    </row>
    <row r="1097" spans="1:5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/>
    </row>
    <row r="1098" spans="1:5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/>
    </row>
    <row r="1099" spans="1:5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/>
    </row>
    <row r="1100" spans="1:5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/>
    </row>
    <row r="1101" spans="1:5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/>
    </row>
    <row r="1102" spans="1:5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/>
    </row>
    <row r="1103" spans="1:5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/>
    </row>
    <row r="1104" spans="1:5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/>
    </row>
    <row r="1105" spans="1:5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/>
    </row>
    <row r="1106" spans="1:5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/>
    </row>
    <row r="1107" spans="1:5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/>
    </row>
    <row r="1108" spans="1:5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/>
    </row>
    <row r="1109" spans="1:5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/>
    </row>
    <row r="1110" spans="1:5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/>
    </row>
    <row r="1111" spans="1:5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/>
    </row>
    <row r="1112" spans="1:5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/>
    </row>
    <row r="1113" spans="1:5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/>
    </row>
    <row r="1114" spans="1:5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/>
    </row>
    <row r="1115" spans="1:5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/>
    </row>
    <row r="1116" spans="1:5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/>
    </row>
    <row r="1117" spans="1:5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/>
    </row>
    <row r="1118" spans="1:5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/>
    </row>
    <row r="1119" spans="1:5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/>
    </row>
    <row r="1120" spans="1:5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/>
    </row>
    <row r="1121" spans="1:5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/>
    </row>
    <row r="1122" spans="1:5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/>
    </row>
    <row r="1123" spans="1:5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/>
    </row>
    <row r="1124" spans="1:5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/>
    </row>
    <row r="1125" spans="1:5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/>
    </row>
    <row r="1126" spans="1:5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/>
    </row>
    <row r="1127" spans="1:5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/>
    </row>
    <row r="1128" spans="1:5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/>
    </row>
    <row r="1129" spans="1:5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/>
    </row>
    <row r="1130" spans="1:5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/>
    </row>
    <row r="1131" spans="1:5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/>
    </row>
    <row r="1132" spans="1:5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/>
    </row>
    <row r="1133" spans="1:5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/>
    </row>
    <row r="1134" spans="1:5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/>
    </row>
    <row r="1135" spans="1:5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/>
    </row>
    <row r="1136" spans="1:5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/>
    </row>
    <row r="1137" spans="1:5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/>
    </row>
    <row r="1138" spans="1:5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/>
    </row>
    <row r="1139" spans="1:5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/>
    </row>
    <row r="1140" spans="1:5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/>
    </row>
    <row r="1141" spans="1:5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/>
    </row>
    <row r="1142" spans="1:5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/>
    </row>
    <row r="1143" spans="1:5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/>
    </row>
    <row r="1144" spans="1:5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/>
    </row>
    <row r="1145" spans="1:5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/>
    </row>
    <row r="1146" spans="1:5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/>
    </row>
    <row r="1147" spans="1:5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/>
    </row>
    <row r="1148" spans="1:5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/>
    </row>
    <row r="1149" spans="1:5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/>
    </row>
    <row r="1150" spans="1:5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/>
    </row>
    <row r="1151" spans="1:5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/>
    </row>
    <row r="1152" spans="1:5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/>
    </row>
    <row r="1153" spans="3:5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/>
    </row>
    <row r="1154" spans="3:5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/>
    </row>
  </sheetData>
  <mergeCells count="1">
    <mergeCell ref="A1:A2"/>
  </mergeCells>
  <conditionalFormatting sqref="J7:BE7">
    <cfRule type="expression" dxfId="869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topLeftCell="BF1" zoomScaleNormal="100" workbookViewId="0">
      <pane ySplit="4" topLeftCell="A5" activePane="bottomLeft" state="frozen"/>
      <selection pane="bottomLeft" activeCell="BR7" sqref="BR7:BX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8"/>
      <c r="C1" s="141" t="s">
        <v>27</v>
      </c>
      <c r="D1" s="2"/>
      <c r="J1" s="135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48" t="s">
        <v>1645</v>
      </c>
      <c r="BS1" s="134"/>
      <c r="BT1" s="134"/>
      <c r="BU1" s="134"/>
      <c r="BV1" s="134"/>
      <c r="BW1" s="134"/>
      <c r="BX1" s="134"/>
      <c r="BY1" s="53" t="s">
        <v>1185</v>
      </c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119" t="s">
        <v>1184</v>
      </c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  <c r="EL1" s="54"/>
      <c r="EM1" s="54"/>
      <c r="EN1" s="54"/>
      <c r="EO1" s="54"/>
      <c r="EP1" s="54"/>
      <c r="EQ1" s="54"/>
      <c r="ER1" s="54"/>
    </row>
    <row r="2" spans="1:148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761</v>
      </c>
      <c r="K3" s="49"/>
      <c r="L3" s="49"/>
      <c r="M3" s="49"/>
      <c r="N3" s="49"/>
      <c r="O3" s="49"/>
      <c r="P3" s="47" t="s">
        <v>762</v>
      </c>
      <c r="Q3" s="49"/>
      <c r="R3" s="49"/>
      <c r="S3" s="49"/>
      <c r="T3" s="47" t="s">
        <v>763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764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765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766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767</v>
      </c>
      <c r="BI3" s="52"/>
      <c r="BJ3" s="52"/>
      <c r="BK3" s="52"/>
      <c r="BL3" s="52"/>
      <c r="BM3" s="52"/>
      <c r="BN3" s="52"/>
      <c r="BO3" s="52"/>
      <c r="BP3" s="52"/>
      <c r="BQ3" s="51"/>
      <c r="BR3" s="159" t="s">
        <v>1643</v>
      </c>
      <c r="BS3" s="157"/>
      <c r="BT3" s="157"/>
      <c r="BU3" s="157"/>
      <c r="BV3" s="157"/>
      <c r="BW3" s="157"/>
      <c r="BX3" s="157"/>
      <c r="BY3" s="62" t="s">
        <v>748</v>
      </c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125" t="s">
        <v>761</v>
      </c>
      <c r="CL3" s="126"/>
      <c r="CM3" s="126"/>
      <c r="CN3" s="126"/>
      <c r="CO3" s="126"/>
      <c r="CP3" s="126"/>
      <c r="CQ3" s="125" t="s">
        <v>762</v>
      </c>
      <c r="CR3" s="126"/>
      <c r="CS3" s="126"/>
      <c r="CT3" s="126"/>
      <c r="CU3" s="125" t="s">
        <v>763</v>
      </c>
      <c r="CV3" s="126"/>
      <c r="CW3" s="126"/>
      <c r="CX3" s="126"/>
      <c r="CY3" s="126"/>
      <c r="CZ3" s="126"/>
      <c r="DA3" s="126"/>
      <c r="DB3" s="126"/>
      <c r="DC3" s="126"/>
      <c r="DD3" s="126"/>
      <c r="DE3" s="125" t="s">
        <v>764</v>
      </c>
      <c r="DF3" s="126"/>
      <c r="DG3" s="126"/>
      <c r="DH3" s="126"/>
      <c r="DI3" s="126"/>
      <c r="DJ3" s="126"/>
      <c r="DK3" s="126"/>
      <c r="DL3" s="126"/>
      <c r="DM3" s="126"/>
      <c r="DN3" s="126"/>
      <c r="DO3" s="125" t="s">
        <v>765</v>
      </c>
      <c r="DP3" s="126"/>
      <c r="DQ3" s="126"/>
      <c r="DR3" s="126"/>
      <c r="DS3" s="126"/>
      <c r="DT3" s="126"/>
      <c r="DU3" s="126"/>
      <c r="DV3" s="126"/>
      <c r="DW3" s="126"/>
      <c r="DX3" s="126"/>
      <c r="DY3" s="125" t="s">
        <v>766</v>
      </c>
      <c r="DZ3" s="126"/>
      <c r="EA3" s="132"/>
      <c r="EB3" s="132"/>
      <c r="EC3" s="132"/>
      <c r="ED3" s="132"/>
      <c r="EE3" s="132"/>
      <c r="EF3" s="132"/>
      <c r="EG3" s="132"/>
      <c r="EH3" s="132"/>
      <c r="EI3" s="125" t="s">
        <v>767</v>
      </c>
      <c r="EJ3" s="132"/>
      <c r="EK3" s="132"/>
      <c r="EL3" s="132"/>
      <c r="EM3" s="132"/>
      <c r="EN3" s="132"/>
      <c r="EO3" s="132"/>
      <c r="EP3" s="132"/>
      <c r="EQ3" s="132"/>
      <c r="ER3" s="133"/>
    </row>
    <row r="4" spans="1:148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1470</v>
      </c>
      <c r="U4" s="13" t="s">
        <v>1471</v>
      </c>
      <c r="V4" s="13" t="s">
        <v>1472</v>
      </c>
      <c r="W4" s="13" t="s">
        <v>1473</v>
      </c>
      <c r="X4" s="13" t="s">
        <v>1474</v>
      </c>
      <c r="Y4" s="13" t="s">
        <v>1475</v>
      </c>
      <c r="Z4" s="13" t="s">
        <v>1476</v>
      </c>
      <c r="AA4" s="13" t="s">
        <v>1477</v>
      </c>
      <c r="AB4" s="13" t="s">
        <v>1478</v>
      </c>
      <c r="AC4" s="13" t="s">
        <v>1479</v>
      </c>
      <c r="AD4" s="8" t="s">
        <v>1480</v>
      </c>
      <c r="AE4" s="13" t="s">
        <v>1481</v>
      </c>
      <c r="AF4" s="13" t="s">
        <v>1482</v>
      </c>
      <c r="AG4" s="13" t="s">
        <v>1483</v>
      </c>
      <c r="AH4" s="13" t="s">
        <v>1484</v>
      </c>
      <c r="AI4" s="13" t="s">
        <v>1485</v>
      </c>
      <c r="AJ4" s="13" t="s">
        <v>1486</v>
      </c>
      <c r="AK4" s="13" t="s">
        <v>1487</v>
      </c>
      <c r="AL4" s="13" t="s">
        <v>1488</v>
      </c>
      <c r="AM4" s="13" t="s">
        <v>1489</v>
      </c>
      <c r="AN4" s="8" t="s">
        <v>1490</v>
      </c>
      <c r="AO4" s="13" t="s">
        <v>1491</v>
      </c>
      <c r="AP4" s="13" t="s">
        <v>1492</v>
      </c>
      <c r="AQ4" s="13" t="s">
        <v>1493</v>
      </c>
      <c r="AR4" s="13" t="s">
        <v>1494</v>
      </c>
      <c r="AS4" s="13" t="s">
        <v>1495</v>
      </c>
      <c r="AT4" s="13" t="s">
        <v>1496</v>
      </c>
      <c r="AU4" s="13" t="s">
        <v>1497</v>
      </c>
      <c r="AV4" s="13" t="s">
        <v>1498</v>
      </c>
      <c r="AW4" s="13" t="s">
        <v>1499</v>
      </c>
      <c r="AX4" s="8" t="s">
        <v>1500</v>
      </c>
      <c r="AY4" s="13" t="s">
        <v>1501</v>
      </c>
      <c r="AZ4" s="13" t="s">
        <v>1502</v>
      </c>
      <c r="BA4" s="13" t="s">
        <v>1503</v>
      </c>
      <c r="BB4" s="13" t="s">
        <v>1504</v>
      </c>
      <c r="BC4" s="13" t="s">
        <v>1505</v>
      </c>
      <c r="BD4" s="13" t="s">
        <v>1506</v>
      </c>
      <c r="BE4" s="13" t="s">
        <v>1507</v>
      </c>
      <c r="BF4" s="13" t="s">
        <v>1508</v>
      </c>
      <c r="BG4" s="13" t="s">
        <v>1509</v>
      </c>
      <c r="BH4" s="8" t="s">
        <v>1510</v>
      </c>
      <c r="BI4" s="13" t="s">
        <v>1511</v>
      </c>
      <c r="BJ4" s="13" t="s">
        <v>1512</v>
      </c>
      <c r="BK4" s="13" t="s">
        <v>1513</v>
      </c>
      <c r="BL4" s="13" t="s">
        <v>1514</v>
      </c>
      <c r="BM4" s="13" t="s">
        <v>1515</v>
      </c>
      <c r="BN4" s="13" t="s">
        <v>1516</v>
      </c>
      <c r="BO4" s="13" t="s">
        <v>1517</v>
      </c>
      <c r="BP4" s="13" t="s">
        <v>1518</v>
      </c>
      <c r="BQ4" s="9" t="s">
        <v>1519</v>
      </c>
      <c r="BR4" s="158" t="s">
        <v>761</v>
      </c>
      <c r="BS4" s="158" t="s">
        <v>762</v>
      </c>
      <c r="BT4" s="158" t="s">
        <v>763</v>
      </c>
      <c r="BU4" s="158" t="s">
        <v>764</v>
      </c>
      <c r="BV4" s="158" t="s">
        <v>765</v>
      </c>
      <c r="BW4" s="158" t="s">
        <v>766</v>
      </c>
      <c r="BX4" s="158" t="s">
        <v>767</v>
      </c>
      <c r="BY4" s="10" t="s">
        <v>27</v>
      </c>
      <c r="BZ4" s="11" t="s">
        <v>751</v>
      </c>
      <c r="CA4" s="11" t="s">
        <v>1622</v>
      </c>
      <c r="CB4" s="11" t="s">
        <v>756</v>
      </c>
      <c r="CC4" s="11" t="s">
        <v>757</v>
      </c>
      <c r="CD4" s="11" t="s">
        <v>758</v>
      </c>
      <c r="CE4" s="11" t="s">
        <v>759</v>
      </c>
      <c r="CF4" s="11" t="s">
        <v>760</v>
      </c>
      <c r="CG4" s="11" t="s">
        <v>752</v>
      </c>
      <c r="CH4" s="11" t="s">
        <v>753</v>
      </c>
      <c r="CI4" s="11" t="s">
        <v>754</v>
      </c>
      <c r="CJ4" s="11" t="s">
        <v>755</v>
      </c>
      <c r="CK4" s="128" t="s">
        <v>209</v>
      </c>
      <c r="CL4" s="129" t="s">
        <v>216</v>
      </c>
      <c r="CM4" s="129" t="s">
        <v>210</v>
      </c>
      <c r="CN4" s="129" t="s">
        <v>211</v>
      </c>
      <c r="CO4" s="129" t="s">
        <v>212</v>
      </c>
      <c r="CP4" s="129" t="s">
        <v>213</v>
      </c>
      <c r="CQ4" s="128" t="s">
        <v>214</v>
      </c>
      <c r="CR4" s="129" t="s">
        <v>215</v>
      </c>
      <c r="CS4" s="129" t="s">
        <v>217</v>
      </c>
      <c r="CT4" s="129" t="s">
        <v>218</v>
      </c>
      <c r="CU4" s="128" t="s">
        <v>1470</v>
      </c>
      <c r="CV4" s="129" t="s">
        <v>1471</v>
      </c>
      <c r="CW4" s="129" t="s">
        <v>1472</v>
      </c>
      <c r="CX4" s="129" t="s">
        <v>1473</v>
      </c>
      <c r="CY4" s="129" t="s">
        <v>1474</v>
      </c>
      <c r="CZ4" s="129" t="s">
        <v>1475</v>
      </c>
      <c r="DA4" s="129" t="s">
        <v>1476</v>
      </c>
      <c r="DB4" s="129" t="s">
        <v>1477</v>
      </c>
      <c r="DC4" s="129" t="s">
        <v>1478</v>
      </c>
      <c r="DD4" s="129" t="s">
        <v>1479</v>
      </c>
      <c r="DE4" s="128" t="s">
        <v>1480</v>
      </c>
      <c r="DF4" s="129" t="s">
        <v>1481</v>
      </c>
      <c r="DG4" s="129" t="s">
        <v>1482</v>
      </c>
      <c r="DH4" s="129" t="s">
        <v>1483</v>
      </c>
      <c r="DI4" s="129" t="s">
        <v>1484</v>
      </c>
      <c r="DJ4" s="129" t="s">
        <v>1485</v>
      </c>
      <c r="DK4" s="129" t="s">
        <v>1486</v>
      </c>
      <c r="DL4" s="129" t="s">
        <v>1487</v>
      </c>
      <c r="DM4" s="129" t="s">
        <v>1488</v>
      </c>
      <c r="DN4" s="129" t="s">
        <v>1489</v>
      </c>
      <c r="DO4" s="128" t="s">
        <v>1490</v>
      </c>
      <c r="DP4" s="129" t="s">
        <v>1491</v>
      </c>
      <c r="DQ4" s="129" t="s">
        <v>1492</v>
      </c>
      <c r="DR4" s="129" t="s">
        <v>1493</v>
      </c>
      <c r="DS4" s="129" t="s">
        <v>1494</v>
      </c>
      <c r="DT4" s="129" t="s">
        <v>1495</v>
      </c>
      <c r="DU4" s="129" t="s">
        <v>1496</v>
      </c>
      <c r="DV4" s="129" t="s">
        <v>1497</v>
      </c>
      <c r="DW4" s="129" t="s">
        <v>1498</v>
      </c>
      <c r="DX4" s="129" t="s">
        <v>1499</v>
      </c>
      <c r="DY4" s="128" t="s">
        <v>1500</v>
      </c>
      <c r="DZ4" s="129" t="s">
        <v>1501</v>
      </c>
      <c r="EA4" s="129" t="s">
        <v>1502</v>
      </c>
      <c r="EB4" s="129" t="s">
        <v>1503</v>
      </c>
      <c r="EC4" s="129" t="s">
        <v>1504</v>
      </c>
      <c r="ED4" s="129" t="s">
        <v>1505</v>
      </c>
      <c r="EE4" s="129" t="s">
        <v>1506</v>
      </c>
      <c r="EF4" s="129" t="s">
        <v>1507</v>
      </c>
      <c r="EG4" s="129" t="s">
        <v>1508</v>
      </c>
      <c r="EH4" s="129" t="s">
        <v>1509</v>
      </c>
      <c r="EI4" s="128" t="s">
        <v>1510</v>
      </c>
      <c r="EJ4" s="129" t="s">
        <v>1511</v>
      </c>
      <c r="EK4" s="129" t="s">
        <v>1512</v>
      </c>
      <c r="EL4" s="129" t="s">
        <v>1513</v>
      </c>
      <c r="EM4" s="129" t="s">
        <v>1514</v>
      </c>
      <c r="EN4" s="129" t="s">
        <v>1515</v>
      </c>
      <c r="EO4" s="129" t="s">
        <v>1516</v>
      </c>
      <c r="EP4" s="129" t="s">
        <v>1517</v>
      </c>
      <c r="EQ4" s="129" t="s">
        <v>1518</v>
      </c>
      <c r="ER4" s="130" t="s">
        <v>1519</v>
      </c>
    </row>
    <row r="5" spans="1:148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1">
        <f>SUBTOTAL(109,ovc_serv_T[D_ovc_serv_fy19])</f>
        <v>0</v>
      </c>
      <c r="BZ5" s="61">
        <f>SUBTOTAL(109,ovc_serv_T[D_ovc_serv_u18_fy19])</f>
        <v>0</v>
      </c>
      <c r="CA5" s="61">
        <f>SUBTOTAL(109,ovc_serv_T[D_ovc_serv_o18_fy19])</f>
        <v>0</v>
      </c>
      <c r="CB5" s="61">
        <f>SUBTOTAL(109,ovc_serv_T[D_ovc_serv_edu_fy19])</f>
        <v>0</v>
      </c>
      <c r="CC5" s="61">
        <f>SUBTOTAL(109,ovc_serv_T[D_ovc_serv_care_fy19])</f>
        <v>0</v>
      </c>
      <c r="CD5" s="61">
        <f>SUBTOTAL(109,ovc_serv_T[D_ovc_serv_sp_fy19])</f>
        <v>0</v>
      </c>
      <c r="CE5" s="61">
        <f>SUBTOTAL(109,ovc_serv_T[D_ovc_serv_econ_fy19])</f>
        <v>0</v>
      </c>
      <c r="CF5" s="61">
        <f>SUBTOTAL(109,ovc_serv_T[D_ovc_serv_oth_fy19])</f>
        <v>0</v>
      </c>
      <c r="CG5" s="61">
        <f>SUBTOTAL(109,ovc_serv_T[D_ovc_serv_grad_fy19])</f>
        <v>0</v>
      </c>
      <c r="CH5" s="61">
        <f>SUBTOTAL(109,ovc_serv_T[D_ovc_serv_trans_fy19])</f>
        <v>0</v>
      </c>
      <c r="CI5" s="61">
        <f>SUBTOTAL(109,ovc_serv_T[D_ovc_serv_exited_fy19])</f>
        <v>0</v>
      </c>
      <c r="CJ5" s="61">
        <f>SUBTOTAL(109,ovc_serv_T[D_ovc_serv_active_fy19])</f>
        <v>0</v>
      </c>
      <c r="CK5" s="61">
        <f>SUBTOTAL(109,ovc_serv_T[ovc_serv_u1_unk])</f>
        <v>0</v>
      </c>
      <c r="CL5" s="61">
        <f>SUBTOTAL(109,ovc_serv_T[ovc_serv_0109_unk])</f>
        <v>0</v>
      </c>
      <c r="CM5" s="61">
        <f>SUBTOTAL(109,ovc_serv_T[ovc_serv_1014_f])</f>
        <v>0</v>
      </c>
      <c r="CN5" s="61">
        <f>SUBTOTAL(109,ovc_serv_T[ovc_serv_1014_m])</f>
        <v>0</v>
      </c>
      <c r="CO5" s="61">
        <f>SUBTOTAL(109,ovc_serv_T[ovc_serv_1517_f])</f>
        <v>0</v>
      </c>
      <c r="CP5" s="61">
        <f>SUBTOTAL(109,ovc_serv_T[ovc_serv_1517_m])</f>
        <v>0</v>
      </c>
      <c r="CQ5" s="61">
        <f>SUBTOTAL(109,ovc_serv_T[ovc_serv_1824_f])</f>
        <v>0</v>
      </c>
      <c r="CR5" s="61">
        <f>SUBTOTAL(109,ovc_serv_T[ovc_serv_1824_m])</f>
        <v>0</v>
      </c>
      <c r="CS5" s="61">
        <f>SUBTOTAL(109,ovc_serv_T[ovc_serv_o25_f])</f>
        <v>0</v>
      </c>
      <c r="CT5" s="61">
        <f>SUBTOTAL(109,ovc_serv_T[ovc_serv_o25_m])</f>
        <v>0</v>
      </c>
      <c r="CU5" s="61">
        <f>SUBTOTAL(109,ovc_serv_T[ovc_serv_u1_unk_econ])</f>
        <v>0</v>
      </c>
      <c r="CV5" s="61">
        <f>SUBTOTAL(109,ovc_serv_T[ovc_serv_0109_unk_econ])</f>
        <v>0</v>
      </c>
      <c r="CW5" s="61">
        <f>SUBTOTAL(109,ovc_serv_T[ovc_serv_1014_f_econ])</f>
        <v>0</v>
      </c>
      <c r="CX5" s="61">
        <f>SUBTOTAL(109,ovc_serv_T[ovc_serv_1014_m_econ])</f>
        <v>0</v>
      </c>
      <c r="CY5" s="61">
        <f>SUBTOTAL(109,ovc_serv_T[ovc_serv_1517_f_econ])</f>
        <v>0</v>
      </c>
      <c r="CZ5" s="61">
        <f>SUBTOTAL(109,ovc_serv_T[ovc_serv_1517_m_econ])</f>
        <v>0</v>
      </c>
      <c r="DA5" s="61">
        <f>SUBTOTAL(109,ovc_serv_T[ovc_serv_1824_f_econ])</f>
        <v>0</v>
      </c>
      <c r="DB5" s="61">
        <f>SUBTOTAL(109,ovc_serv_T[ovc_serv_1824_m_econ])</f>
        <v>0</v>
      </c>
      <c r="DC5" s="61">
        <f>SUBTOTAL(109,ovc_serv_T[ovc_serv_o25_f_econ])</f>
        <v>0</v>
      </c>
      <c r="DD5" s="61">
        <f>SUBTOTAL(109,ovc_serv_T[ovc_serv_o25_m_econ])</f>
        <v>0</v>
      </c>
      <c r="DE5" s="61">
        <f>SUBTOTAL(109,ovc_serv_T[ovc_serv_u1_unk_edu])</f>
        <v>0</v>
      </c>
      <c r="DF5" s="61">
        <f>SUBTOTAL(109,ovc_serv_T[ovc_serv_0109_unk_edu])</f>
        <v>0</v>
      </c>
      <c r="DG5" s="61">
        <f>SUBTOTAL(109,ovc_serv_T[ovc_serv_1014_f_edu])</f>
        <v>0</v>
      </c>
      <c r="DH5" s="61">
        <f>SUBTOTAL(109,ovc_serv_T[ovc_serv_1014_m_edu])</f>
        <v>0</v>
      </c>
      <c r="DI5" s="61">
        <f>SUBTOTAL(109,ovc_serv_T[ovc_serv_1517_f_edu])</f>
        <v>0</v>
      </c>
      <c r="DJ5" s="61">
        <f>SUBTOTAL(109,ovc_serv_T[ovc_serv_1517_m_edu])</f>
        <v>0</v>
      </c>
      <c r="DK5" s="61">
        <f>SUBTOTAL(109,ovc_serv_T[ovc_serv_1824_f_edu])</f>
        <v>0</v>
      </c>
      <c r="DL5" s="61">
        <f>SUBTOTAL(109,ovc_serv_T[ovc_serv_1824_m_edu])</f>
        <v>0</v>
      </c>
      <c r="DM5" s="61">
        <f>SUBTOTAL(109,ovc_serv_T[ovc_serv_o25_f_edu])</f>
        <v>0</v>
      </c>
      <c r="DN5" s="61">
        <f>SUBTOTAL(109,ovc_serv_T[ovc_serv_o25_m_edu])</f>
        <v>0</v>
      </c>
      <c r="DO5" s="61">
        <f>SUBTOTAL(109,ovc_serv_T[ovc_serv_u1_unk_oth])</f>
        <v>0</v>
      </c>
      <c r="DP5" s="61">
        <f>SUBTOTAL(109,ovc_serv_T[ovc_serv_0109_unk_oth])</f>
        <v>0</v>
      </c>
      <c r="DQ5" s="61">
        <f>SUBTOTAL(109,ovc_serv_T[ovc_serv_1014_f_oth])</f>
        <v>0</v>
      </c>
      <c r="DR5" s="61">
        <f>SUBTOTAL(109,ovc_serv_T[ovc_serv_1014_m_oth])</f>
        <v>0</v>
      </c>
      <c r="DS5" s="61">
        <f>SUBTOTAL(109,ovc_serv_T[ovc_serv_1517_f_oth])</f>
        <v>0</v>
      </c>
      <c r="DT5" s="61">
        <f>SUBTOTAL(109,ovc_serv_T[ovc_serv_1517_m_oth])</f>
        <v>0</v>
      </c>
      <c r="DU5" s="61">
        <f>SUBTOTAL(109,ovc_serv_T[ovc_serv_1824_f_oth])</f>
        <v>0</v>
      </c>
      <c r="DV5" s="61">
        <f>SUBTOTAL(109,ovc_serv_T[ovc_serv_1824_m_oth])</f>
        <v>0</v>
      </c>
      <c r="DW5" s="61">
        <f>SUBTOTAL(109,ovc_serv_T[ovc_serv_o25_f_oth])</f>
        <v>0</v>
      </c>
      <c r="DX5" s="61">
        <f>SUBTOTAL(109,ovc_serv_T[ovc_serv_o25_m_oth])</f>
        <v>0</v>
      </c>
      <c r="DY5" s="61">
        <f>SUBTOTAL(109,ovc_serv_T[ovc_serv_u1_unk_care])</f>
        <v>0</v>
      </c>
      <c r="DZ5" s="61">
        <f>SUBTOTAL(109,ovc_serv_T[ovc_serv_0109_unk_care])</f>
        <v>0</v>
      </c>
      <c r="EA5" s="61">
        <f>SUBTOTAL(109,ovc_serv_T[ovc_serv_1014_f_care])</f>
        <v>0</v>
      </c>
      <c r="EB5" s="61">
        <f>SUBTOTAL(109,ovc_serv_T[ovc_serv_1014_m_care])</f>
        <v>0</v>
      </c>
      <c r="EC5" s="61">
        <f>SUBTOTAL(109,ovc_serv_T[ovc_serv_1517_f_care])</f>
        <v>0</v>
      </c>
      <c r="ED5" s="61">
        <f>SUBTOTAL(109,ovc_serv_T[ovc_serv_1517_m_care])</f>
        <v>0</v>
      </c>
      <c r="EE5" s="61">
        <f>SUBTOTAL(109,ovc_serv_T[ovc_serv_1824_f_care])</f>
        <v>0</v>
      </c>
      <c r="EF5" s="61">
        <f>SUBTOTAL(109,ovc_serv_T[ovc_serv_1824_m_care])</f>
        <v>0</v>
      </c>
      <c r="EG5" s="61">
        <f>SUBTOTAL(109,ovc_serv_T[ovc_serv_o25_f_care])</f>
        <v>0</v>
      </c>
      <c r="EH5" s="61">
        <f>SUBTOTAL(109,ovc_serv_T[ovc_serv_o25_m_care])</f>
        <v>0</v>
      </c>
      <c r="EI5" s="61">
        <f>SUBTOTAL(109,ovc_serv_T[ovc_serv_u1_unk_sp])</f>
        <v>0</v>
      </c>
      <c r="EJ5" s="61">
        <f>SUBTOTAL(109,ovc_serv_T[ovc_serv_0109_unk_sp])</f>
        <v>0</v>
      </c>
      <c r="EK5" s="61">
        <f>SUBTOTAL(109,ovc_serv_T[ovc_serv_1014_f_sp])</f>
        <v>0</v>
      </c>
      <c r="EL5" s="61">
        <f>SUBTOTAL(109,ovc_serv_T[ovc_serv_1014_m_sp])</f>
        <v>0</v>
      </c>
      <c r="EM5" s="61">
        <f>SUBTOTAL(109,ovc_serv_T[ovc_serv_1517_f_sp])</f>
        <v>0</v>
      </c>
      <c r="EN5" s="61">
        <f>SUBTOTAL(109,ovc_serv_T[ovc_serv_1517_m_sp])</f>
        <v>0</v>
      </c>
      <c r="EO5" s="61">
        <f>SUBTOTAL(109,ovc_serv_T[ovc_serv_1824_f_sp])</f>
        <v>0</v>
      </c>
      <c r="EP5" s="61">
        <f>SUBTOTAL(109,ovc_serv_T[ovc_serv_1824_m_sp])</f>
        <v>0</v>
      </c>
      <c r="EQ5" s="61">
        <f>SUBTOTAL(109,ovc_serv_T[ovc_serv_o25_f_sp])</f>
        <v>0</v>
      </c>
      <c r="ER5" s="61">
        <f>SUBTOTAL(109,ovc_serv_T[ovc_serv_o25_m_sp])</f>
        <v>0</v>
      </c>
    </row>
    <row r="6" spans="1:1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1268</v>
      </c>
      <c r="K6" s="26" t="s">
        <v>1269</v>
      </c>
      <c r="L6" s="26" t="s">
        <v>1270</v>
      </c>
      <c r="M6" s="26" t="s">
        <v>1271</v>
      </c>
      <c r="N6" s="26" t="s">
        <v>1272</v>
      </c>
      <c r="O6" s="26" t="s">
        <v>1273</v>
      </c>
      <c r="P6" s="26" t="s">
        <v>1274</v>
      </c>
      <c r="Q6" s="26" t="s">
        <v>1275</v>
      </c>
      <c r="R6" s="26" t="s">
        <v>1276</v>
      </c>
      <c r="S6" s="26" t="s">
        <v>1277</v>
      </c>
      <c r="T6" s="26" t="s">
        <v>1278</v>
      </c>
      <c r="U6" s="26" t="s">
        <v>1279</v>
      </c>
      <c r="V6" s="26" t="s">
        <v>1280</v>
      </c>
      <c r="W6" s="26" t="s">
        <v>1281</v>
      </c>
      <c r="X6" s="26" t="s">
        <v>1282</v>
      </c>
      <c r="Y6" s="26" t="s">
        <v>1283</v>
      </c>
      <c r="Z6" s="26" t="s">
        <v>1284</v>
      </c>
      <c r="AA6" s="26" t="s">
        <v>1285</v>
      </c>
      <c r="AB6" s="26" t="s">
        <v>1286</v>
      </c>
      <c r="AC6" s="26" t="s">
        <v>1287</v>
      </c>
      <c r="AD6" s="26" t="s">
        <v>1288</v>
      </c>
      <c r="AE6" s="26" t="s">
        <v>1289</v>
      </c>
      <c r="AF6" s="26" t="s">
        <v>1290</v>
      </c>
      <c r="AG6" s="26" t="s">
        <v>1291</v>
      </c>
      <c r="AH6" s="26" t="s">
        <v>1292</v>
      </c>
      <c r="AI6" s="26" t="s">
        <v>1293</v>
      </c>
      <c r="AJ6" s="26" t="s">
        <v>1294</v>
      </c>
      <c r="AK6" s="26" t="s">
        <v>1295</v>
      </c>
      <c r="AL6" s="26" t="s">
        <v>1296</v>
      </c>
      <c r="AM6" s="26" t="s">
        <v>1297</v>
      </c>
      <c r="AN6" s="26" t="s">
        <v>1298</v>
      </c>
      <c r="AO6" s="26" t="s">
        <v>1299</v>
      </c>
      <c r="AP6" s="26" t="s">
        <v>1300</v>
      </c>
      <c r="AQ6" s="26" t="s">
        <v>1301</v>
      </c>
      <c r="AR6" s="26" t="s">
        <v>1302</v>
      </c>
      <c r="AS6" s="26" t="s">
        <v>1303</v>
      </c>
      <c r="AT6" s="26" t="s">
        <v>1304</v>
      </c>
      <c r="AU6" s="26" t="s">
        <v>1305</v>
      </c>
      <c r="AV6" s="26" t="s">
        <v>1306</v>
      </c>
      <c r="AW6" s="26" t="s">
        <v>1307</v>
      </c>
      <c r="AX6" s="26" t="s">
        <v>1308</v>
      </c>
      <c r="AY6" s="26" t="s">
        <v>1309</v>
      </c>
      <c r="AZ6" s="26" t="s">
        <v>1310</v>
      </c>
      <c r="BA6" s="26" t="s">
        <v>1311</v>
      </c>
      <c r="BB6" s="26" t="s">
        <v>1312</v>
      </c>
      <c r="BC6" s="26" t="s">
        <v>1313</v>
      </c>
      <c r="BD6" s="26" t="s">
        <v>1314</v>
      </c>
      <c r="BE6" s="26" t="s">
        <v>1315</v>
      </c>
      <c r="BF6" s="26" t="s">
        <v>1316</v>
      </c>
      <c r="BG6" s="26" t="s">
        <v>1317</v>
      </c>
      <c r="BH6" s="26" t="s">
        <v>1318</v>
      </c>
      <c r="BI6" s="26" t="s">
        <v>1319</v>
      </c>
      <c r="BJ6" s="26" t="s">
        <v>1320</v>
      </c>
      <c r="BK6" s="26" t="s">
        <v>1321</v>
      </c>
      <c r="BL6" s="26" t="s">
        <v>1322</v>
      </c>
      <c r="BM6" s="26" t="s">
        <v>1323</v>
      </c>
      <c r="BN6" s="26" t="s">
        <v>1324</v>
      </c>
      <c r="BO6" s="26" t="s">
        <v>1325</v>
      </c>
      <c r="BP6" s="26" t="s">
        <v>1326</v>
      </c>
      <c r="BQ6" s="26" t="s">
        <v>1327</v>
      </c>
      <c r="BR6" s="26" t="s">
        <v>1641</v>
      </c>
      <c r="BS6" s="26" t="s">
        <v>1642</v>
      </c>
      <c r="BT6" s="26" t="s">
        <v>1644</v>
      </c>
      <c r="BU6" s="26" t="s">
        <v>1646</v>
      </c>
      <c r="BV6" s="26" t="s">
        <v>1647</v>
      </c>
      <c r="BW6" s="26" t="s">
        <v>1648</v>
      </c>
      <c r="BX6" s="26" t="s">
        <v>1649</v>
      </c>
      <c r="BY6" s="26" t="s">
        <v>981</v>
      </c>
      <c r="BZ6" s="26" t="s">
        <v>986</v>
      </c>
      <c r="CA6" s="26" t="s">
        <v>1120</v>
      </c>
      <c r="CB6" s="26" t="s">
        <v>988</v>
      </c>
      <c r="CC6" s="26" t="s">
        <v>989</v>
      </c>
      <c r="CD6" s="26" t="s">
        <v>991</v>
      </c>
      <c r="CE6" s="26" t="s">
        <v>990</v>
      </c>
      <c r="CF6" s="26" t="s">
        <v>992</v>
      </c>
      <c r="CG6" s="26" t="s">
        <v>982</v>
      </c>
      <c r="CH6" s="26" t="s">
        <v>985</v>
      </c>
      <c r="CI6" s="26" t="s">
        <v>984</v>
      </c>
      <c r="CJ6" s="26" t="s">
        <v>983</v>
      </c>
      <c r="CK6" s="26" t="s">
        <v>733</v>
      </c>
      <c r="CL6" s="26" t="s">
        <v>734</v>
      </c>
      <c r="CM6" s="26" t="s">
        <v>494</v>
      </c>
      <c r="CN6" s="26" t="s">
        <v>495</v>
      </c>
      <c r="CO6" s="26" t="s">
        <v>496</v>
      </c>
      <c r="CP6" s="26" t="s">
        <v>497</v>
      </c>
      <c r="CQ6" s="26" t="s">
        <v>498</v>
      </c>
      <c r="CR6" s="26" t="s">
        <v>499</v>
      </c>
      <c r="CS6" s="26" t="s">
        <v>500</v>
      </c>
      <c r="CT6" s="26" t="s">
        <v>501</v>
      </c>
      <c r="CU6" s="26" t="s">
        <v>735</v>
      </c>
      <c r="CV6" s="26" t="s">
        <v>736</v>
      </c>
      <c r="CW6" s="26" t="s">
        <v>502</v>
      </c>
      <c r="CX6" s="26" t="s">
        <v>506</v>
      </c>
      <c r="CY6" s="26" t="s">
        <v>510</v>
      </c>
      <c r="CZ6" s="26" t="s">
        <v>514</v>
      </c>
      <c r="DA6" s="26" t="s">
        <v>518</v>
      </c>
      <c r="DB6" s="26" t="s">
        <v>522</v>
      </c>
      <c r="DC6" s="26" t="s">
        <v>526</v>
      </c>
      <c r="DD6" s="26" t="s">
        <v>530</v>
      </c>
      <c r="DE6" s="26" t="s">
        <v>737</v>
      </c>
      <c r="DF6" s="26" t="s">
        <v>738</v>
      </c>
      <c r="DG6" s="26" t="s">
        <v>503</v>
      </c>
      <c r="DH6" s="26" t="s">
        <v>507</v>
      </c>
      <c r="DI6" s="26" t="s">
        <v>511</v>
      </c>
      <c r="DJ6" s="26" t="s">
        <v>515</v>
      </c>
      <c r="DK6" s="26" t="s">
        <v>519</v>
      </c>
      <c r="DL6" s="26" t="s">
        <v>523</v>
      </c>
      <c r="DM6" s="26" t="s">
        <v>527</v>
      </c>
      <c r="DN6" s="26" t="s">
        <v>531</v>
      </c>
      <c r="DO6" s="26" t="s">
        <v>739</v>
      </c>
      <c r="DP6" s="26" t="s">
        <v>740</v>
      </c>
      <c r="DQ6" s="26" t="s">
        <v>534</v>
      </c>
      <c r="DR6" s="26" t="s">
        <v>535</v>
      </c>
      <c r="DS6" s="26" t="s">
        <v>536</v>
      </c>
      <c r="DT6" s="26" t="s">
        <v>537</v>
      </c>
      <c r="DU6" s="26" t="s">
        <v>538</v>
      </c>
      <c r="DV6" s="26" t="s">
        <v>539</v>
      </c>
      <c r="DW6" s="26" t="s">
        <v>540</v>
      </c>
      <c r="DX6" s="26" t="s">
        <v>541</v>
      </c>
      <c r="DY6" s="26" t="s">
        <v>741</v>
      </c>
      <c r="DZ6" s="26" t="s">
        <v>742</v>
      </c>
      <c r="EA6" s="26" t="s">
        <v>504</v>
      </c>
      <c r="EB6" s="26" t="s">
        <v>508</v>
      </c>
      <c r="EC6" s="26" t="s">
        <v>512</v>
      </c>
      <c r="ED6" s="26" t="s">
        <v>516</v>
      </c>
      <c r="EE6" s="26" t="s">
        <v>520</v>
      </c>
      <c r="EF6" s="26" t="s">
        <v>524</v>
      </c>
      <c r="EG6" s="26" t="s">
        <v>528</v>
      </c>
      <c r="EH6" s="26" t="s">
        <v>532</v>
      </c>
      <c r="EI6" s="26" t="s">
        <v>743</v>
      </c>
      <c r="EJ6" s="26" t="s">
        <v>744</v>
      </c>
      <c r="EK6" s="26" t="s">
        <v>505</v>
      </c>
      <c r="EL6" s="26" t="s">
        <v>509</v>
      </c>
      <c r="EM6" s="26" t="s">
        <v>513</v>
      </c>
      <c r="EN6" s="26" t="s">
        <v>517</v>
      </c>
      <c r="EO6" s="26" t="s">
        <v>521</v>
      </c>
      <c r="EP6" s="26" t="s">
        <v>525</v>
      </c>
      <c r="EQ6" s="26" t="s">
        <v>529</v>
      </c>
      <c r="ER6" s="26" t="s">
        <v>533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7">
        <f>SUM(ovc_serv_T[[#This Row],[A_ovc_serv_u1_unk]:[A_ovc_serv_1517_m]])</f>
        <v>0</v>
      </c>
      <c r="BS7" s="167">
        <f>SUM(ovc_serv_T[[#This Row],[A_ovc_serv_1824_f]:[A_ovc_serv_o25_m]])</f>
        <v>0</v>
      </c>
      <c r="BT7" s="167">
        <f>SUM(ovc_serv_T[[#This Row],[A_ovc_serv_u1_unk_econ]:[A_ovc_serv_o25_m_econ]])</f>
        <v>0</v>
      </c>
      <c r="BU7" s="167">
        <f>SUM(ovc_serv_T[[#This Row],[A_ovc_serv_u1_unk_edu]:[A_ovc_serv_o25_m_edu]])</f>
        <v>0</v>
      </c>
      <c r="BV7" s="167">
        <f>SUM(ovc_serv_T[[#This Row],[A_ovc_serv_u1_unk_oth]:[A_ovc_serv_o25_m_oth]])</f>
        <v>0</v>
      </c>
      <c r="BW7" s="167">
        <f>SUM(ovc_serv_T[[#This Row],[A_ovc_serv_u1_unk_care]:[A_ovc_serv_o25_m_care]])</f>
        <v>0</v>
      </c>
      <c r="BX7" s="167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</row>
    <row r="13" spans="1:1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Z13" s="109"/>
      <c r="CA13" s="109"/>
    </row>
    <row r="14" spans="1:1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</row>
    <row r="15" spans="1:1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</row>
    <row r="16" spans="1:1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</row>
    <row r="17" spans="1:7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</row>
    <row r="18" spans="1:7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</row>
    <row r="19" spans="1:7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</row>
    <row r="20" spans="1:7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</row>
    <row r="21" spans="1:7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</row>
    <row r="22" spans="1:7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</row>
    <row r="23" spans="1:7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</row>
    <row r="24" spans="1:7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</row>
    <row r="25" spans="1:7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</row>
    <row r="26" spans="1:7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</row>
    <row r="27" spans="1:7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</row>
    <row r="28" spans="1:7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</row>
    <row r="29" spans="1:7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</row>
    <row r="30" spans="1:7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</row>
    <row r="31" spans="1:7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</row>
    <row r="32" spans="1:7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</row>
    <row r="33" spans="1:7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</row>
    <row r="34" spans="1:7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</row>
    <row r="35" spans="1:7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</row>
    <row r="36" spans="1:7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</row>
    <row r="37" spans="1:7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</row>
    <row r="38" spans="1:7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</row>
    <row r="39" spans="1:7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</row>
    <row r="40" spans="1:7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</row>
    <row r="41" spans="1:7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</row>
    <row r="42" spans="1:7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</row>
    <row r="43" spans="1:7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</row>
    <row r="44" spans="1:7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</row>
    <row r="45" spans="1:7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</row>
    <row r="46" spans="1:7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</row>
    <row r="47" spans="1:7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</row>
    <row r="48" spans="1:7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</row>
    <row r="49" spans="1:7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</row>
    <row r="50" spans="1:7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</row>
    <row r="51" spans="1:7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</row>
    <row r="52" spans="1:7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</row>
    <row r="53" spans="1:7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</row>
    <row r="54" spans="1:7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</row>
    <row r="55" spans="1:7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</row>
    <row r="56" spans="1:7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</row>
    <row r="57" spans="1:7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</row>
    <row r="58" spans="1:7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</row>
    <row r="59" spans="1:7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</row>
    <row r="60" spans="1:7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</row>
    <row r="61" spans="1:7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</row>
    <row r="62" spans="1:7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</row>
    <row r="63" spans="1:7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</row>
    <row r="64" spans="1:7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</row>
    <row r="65" spans="1:7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</row>
    <row r="66" spans="1:7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</row>
    <row r="67" spans="1:7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</row>
    <row r="68" spans="1:7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</row>
    <row r="69" spans="1:7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</row>
    <row r="70" spans="1:7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</row>
    <row r="71" spans="1:7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</row>
    <row r="72" spans="1:7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</row>
    <row r="73" spans="1:7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</row>
    <row r="74" spans="1:7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</row>
    <row r="75" spans="1:7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</row>
    <row r="76" spans="1:7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</row>
    <row r="77" spans="1:7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</row>
    <row r="78" spans="1:7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</row>
    <row r="79" spans="1:7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</row>
    <row r="80" spans="1:7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</row>
    <row r="81" spans="1:7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</row>
    <row r="82" spans="1:7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</row>
    <row r="83" spans="1:7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</row>
    <row r="84" spans="1:7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</row>
    <row r="85" spans="1:7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</row>
    <row r="86" spans="1:7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</row>
    <row r="87" spans="1:7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</row>
    <row r="88" spans="1:7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</row>
    <row r="89" spans="1:7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</row>
    <row r="90" spans="1:7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</row>
    <row r="91" spans="1:7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</row>
    <row r="92" spans="1:7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</row>
    <row r="93" spans="1:7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</row>
    <row r="94" spans="1:7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</row>
    <row r="95" spans="1:7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</row>
    <row r="96" spans="1:7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</row>
    <row r="97" spans="1:7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</row>
    <row r="98" spans="1:7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</row>
    <row r="99" spans="1:7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</row>
    <row r="100" spans="1:7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</row>
    <row r="101" spans="1:7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</row>
    <row r="102" spans="1:7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</row>
    <row r="103" spans="1:7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</row>
    <row r="104" spans="1:7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</row>
    <row r="105" spans="1:7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</row>
    <row r="106" spans="1:7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</row>
    <row r="107" spans="1:7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</row>
    <row r="108" spans="1:7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</row>
    <row r="109" spans="1:7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</row>
    <row r="110" spans="1:7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</row>
    <row r="111" spans="1:7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</row>
    <row r="112" spans="1:7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</row>
    <row r="113" spans="1:7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</row>
    <row r="114" spans="1:7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</row>
    <row r="115" spans="1:7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</row>
    <row r="116" spans="1:7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</row>
    <row r="117" spans="1:7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</row>
    <row r="118" spans="1:7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</row>
    <row r="119" spans="1:7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  <c r="BR119" s="109"/>
      <c r="BS119" s="109"/>
      <c r="BT119" s="109"/>
      <c r="BU119" s="109"/>
      <c r="BV119" s="109"/>
      <c r="BW119" s="109"/>
      <c r="BX119" s="109"/>
    </row>
    <row r="120" spans="1:7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</row>
    <row r="121" spans="1:7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</row>
    <row r="122" spans="1:7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</row>
    <row r="123" spans="1:7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</row>
    <row r="124" spans="1:7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</row>
    <row r="125" spans="1:7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</row>
    <row r="126" spans="1:7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</row>
    <row r="127" spans="1:7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</row>
    <row r="128" spans="1:7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</row>
    <row r="129" spans="1:7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  <c r="BR129" s="109"/>
      <c r="BS129" s="109"/>
      <c r="BT129" s="109"/>
      <c r="BU129" s="109"/>
      <c r="BV129" s="109"/>
      <c r="BW129" s="109"/>
      <c r="BX129" s="109"/>
    </row>
    <row r="130" spans="1:7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</row>
    <row r="131" spans="1:7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</row>
    <row r="132" spans="1:7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/>
      <c r="BW132" s="109"/>
      <c r="BX132" s="109"/>
    </row>
    <row r="133" spans="1:7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/>
      <c r="BT133" s="109"/>
      <c r="BU133" s="109"/>
      <c r="BV133" s="109"/>
      <c r="BW133" s="109"/>
      <c r="BX133" s="109"/>
    </row>
    <row r="134" spans="1:7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</row>
    <row r="135" spans="1:7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</row>
    <row r="136" spans="1:7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  <c r="BR136" s="109"/>
      <c r="BS136" s="109"/>
      <c r="BT136" s="109"/>
      <c r="BU136" s="109"/>
      <c r="BV136" s="109"/>
      <c r="BW136" s="109"/>
      <c r="BX136" s="109"/>
    </row>
    <row r="137" spans="1:7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/>
      <c r="BW137" s="109"/>
      <c r="BX137" s="109"/>
    </row>
    <row r="138" spans="1:7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</row>
    <row r="139" spans="1:7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</row>
    <row r="140" spans="1:7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/>
      <c r="BW140" s="109"/>
      <c r="BX140" s="109"/>
    </row>
    <row r="141" spans="1:7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</row>
    <row r="142" spans="1:7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</row>
    <row r="143" spans="1:7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</row>
    <row r="144" spans="1:7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</row>
    <row r="145" spans="1:7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</row>
    <row r="146" spans="1:7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</row>
    <row r="147" spans="1:7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</row>
    <row r="148" spans="1:7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</row>
    <row r="149" spans="1:7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</row>
    <row r="150" spans="1:7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</row>
    <row r="151" spans="1:7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</row>
    <row r="152" spans="1:7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</row>
    <row r="153" spans="1:7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</row>
    <row r="154" spans="1:7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</row>
    <row r="155" spans="1:7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</row>
    <row r="156" spans="1:7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</row>
    <row r="157" spans="1:7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</row>
    <row r="158" spans="1:7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</row>
    <row r="159" spans="1:7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</row>
    <row r="160" spans="1:7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</row>
    <row r="161" spans="1:7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</row>
    <row r="162" spans="1:7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</row>
    <row r="163" spans="1:7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</row>
    <row r="164" spans="1:7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</row>
    <row r="165" spans="1:7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</row>
    <row r="166" spans="1:7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</row>
    <row r="167" spans="1:7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</row>
    <row r="168" spans="1:7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</row>
    <row r="169" spans="1:7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</row>
    <row r="170" spans="1:7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</row>
    <row r="171" spans="1:7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</row>
    <row r="172" spans="1:7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</row>
    <row r="173" spans="1:7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</row>
    <row r="174" spans="1:7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</row>
    <row r="175" spans="1:7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</row>
    <row r="176" spans="1:7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</row>
    <row r="177" spans="1:7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</row>
    <row r="178" spans="1:7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</row>
    <row r="179" spans="1:7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</row>
    <row r="180" spans="1:7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</row>
    <row r="181" spans="1:7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</row>
    <row r="182" spans="1:7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</row>
    <row r="183" spans="1:7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</row>
    <row r="184" spans="1:7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</row>
    <row r="185" spans="1:7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</row>
    <row r="186" spans="1:7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</row>
    <row r="187" spans="1:7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</row>
    <row r="188" spans="1:7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</row>
    <row r="189" spans="1:7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</row>
    <row r="190" spans="1:7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</row>
    <row r="191" spans="1:7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</row>
    <row r="192" spans="1:7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</row>
    <row r="193" spans="1:7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</row>
    <row r="194" spans="1:7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</row>
    <row r="195" spans="1:7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</row>
    <row r="196" spans="1:7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</row>
    <row r="197" spans="1:7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</row>
    <row r="198" spans="1:7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</row>
    <row r="199" spans="1:7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</row>
    <row r="200" spans="1:7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</row>
    <row r="201" spans="1:7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</row>
    <row r="202" spans="1:7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</row>
    <row r="203" spans="1:7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</row>
    <row r="204" spans="1:7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</row>
    <row r="205" spans="1:7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</row>
    <row r="206" spans="1:7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</row>
    <row r="207" spans="1:7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</row>
    <row r="208" spans="1:7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</row>
    <row r="209" spans="1:7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</row>
    <row r="210" spans="1:7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</row>
    <row r="211" spans="1:7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</row>
    <row r="212" spans="1:7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</row>
    <row r="213" spans="1:7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  <c r="BR213" s="109"/>
      <c r="BS213" s="109"/>
      <c r="BT213" s="109"/>
      <c r="BU213" s="109"/>
      <c r="BV213" s="109"/>
      <c r="BW213" s="109"/>
      <c r="BX213" s="109"/>
    </row>
    <row r="214" spans="1:7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</row>
    <row r="215" spans="1:7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/>
      <c r="BU215" s="109"/>
      <c r="BV215" s="109"/>
      <c r="BW215" s="109"/>
      <c r="BX215" s="109"/>
    </row>
    <row r="216" spans="1:7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</row>
    <row r="217" spans="1:7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</row>
    <row r="218" spans="1:7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</row>
    <row r="219" spans="1:7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</row>
    <row r="220" spans="1:7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</row>
    <row r="221" spans="1:7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</row>
    <row r="222" spans="1:7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</row>
    <row r="223" spans="1:7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</row>
    <row r="224" spans="1:7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</row>
    <row r="225" spans="1:7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</row>
    <row r="226" spans="1:7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</row>
    <row r="227" spans="1:7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/>
    </row>
    <row r="228" spans="1:7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</row>
    <row r="229" spans="1:7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</row>
    <row r="230" spans="1:7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</row>
    <row r="231" spans="1:7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</row>
    <row r="232" spans="1:7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/>
      <c r="BU232" s="109"/>
      <c r="BV232" s="109"/>
      <c r="BW232" s="109"/>
      <c r="BX232" s="109"/>
    </row>
    <row r="233" spans="1:7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</row>
    <row r="234" spans="1:7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</row>
    <row r="235" spans="1:7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</row>
    <row r="236" spans="1:7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</row>
    <row r="237" spans="1:7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</row>
    <row r="238" spans="1:7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</row>
    <row r="239" spans="1:7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</row>
    <row r="240" spans="1:7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</row>
    <row r="241" spans="1:7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</row>
    <row r="242" spans="1:7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</row>
    <row r="243" spans="1:7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</row>
    <row r="244" spans="1:7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</row>
    <row r="245" spans="1:7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  <c r="BR245" s="109"/>
      <c r="BS245" s="109"/>
      <c r="BT245" s="109"/>
      <c r="BU245" s="109"/>
      <c r="BV245" s="109"/>
      <c r="BW245" s="109"/>
      <c r="BX245" s="109"/>
    </row>
    <row r="246" spans="1:7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</row>
    <row r="247" spans="1:7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</row>
    <row r="248" spans="1:7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</row>
    <row r="249" spans="1:7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</row>
    <row r="250" spans="1:7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/>
      <c r="BV250" s="109"/>
      <c r="BW250" s="109"/>
      <c r="BX250" s="109"/>
    </row>
    <row r="251" spans="1:7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</row>
    <row r="252" spans="1:7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</row>
    <row r="253" spans="1:7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</row>
    <row r="254" spans="1:7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  <c r="BR254" s="109"/>
      <c r="BS254" s="109"/>
      <c r="BT254" s="109"/>
      <c r="BU254" s="109"/>
      <c r="BV254" s="109"/>
      <c r="BW254" s="109"/>
      <c r="BX254" s="109"/>
    </row>
    <row r="255" spans="1:7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</row>
    <row r="256" spans="1:7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</row>
    <row r="257" spans="1:7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  <c r="BR257" s="109"/>
      <c r="BS257" s="109"/>
      <c r="BT257" s="109"/>
      <c r="BU257" s="109"/>
      <c r="BV257" s="109"/>
      <c r="BW257" s="109"/>
      <c r="BX257" s="109"/>
    </row>
    <row r="258" spans="1:7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</row>
    <row r="259" spans="1:7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</row>
    <row r="260" spans="1:7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</row>
    <row r="261" spans="1:7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</row>
    <row r="262" spans="1:7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</row>
    <row r="263" spans="1:7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/>
    </row>
    <row r="264" spans="1:7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</row>
    <row r="265" spans="1:7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</row>
    <row r="266" spans="1:7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  <c r="BR266" s="109"/>
      <c r="BS266" s="109"/>
      <c r="BT266" s="109"/>
      <c r="BU266" s="109"/>
      <c r="BV266" s="109"/>
      <c r="BW266" s="109"/>
      <c r="BX266" s="109"/>
    </row>
    <row r="267" spans="1:7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</row>
    <row r="268" spans="1:7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</row>
    <row r="269" spans="1:7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</row>
    <row r="270" spans="1:7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  <c r="BR270" s="109"/>
      <c r="BS270" s="109"/>
      <c r="BT270" s="109"/>
      <c r="BU270" s="109"/>
      <c r="BV270" s="109"/>
      <c r="BW270" s="109"/>
      <c r="BX270" s="109"/>
    </row>
    <row r="271" spans="1:7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</row>
    <row r="272" spans="1:7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</row>
    <row r="273" spans="1:7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</row>
    <row r="274" spans="1:7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</row>
    <row r="275" spans="1:7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</row>
    <row r="276" spans="1:7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</row>
    <row r="277" spans="1:7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</row>
    <row r="278" spans="1:7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</row>
    <row r="279" spans="1:7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</row>
    <row r="280" spans="1:7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</row>
    <row r="281" spans="1:7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  <c r="BR281" s="109"/>
      <c r="BS281" s="109"/>
      <c r="BT281" s="109"/>
      <c r="BU281" s="109"/>
      <c r="BV281" s="109"/>
      <c r="BW281" s="109"/>
      <c r="BX281" s="109"/>
    </row>
    <row r="282" spans="1:7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</row>
    <row r="283" spans="1:7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</row>
    <row r="284" spans="1:7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</row>
    <row r="285" spans="1:7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</row>
    <row r="286" spans="1:7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</row>
    <row r="287" spans="1:7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/>
      <c r="BV287" s="109"/>
      <c r="BW287" s="109"/>
      <c r="BX287" s="109"/>
    </row>
    <row r="288" spans="1:7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/>
      <c r="BS288" s="109"/>
      <c r="BT288" s="109"/>
      <c r="BU288" s="109"/>
      <c r="BV288" s="109"/>
      <c r="BW288" s="109"/>
      <c r="BX288" s="109"/>
    </row>
    <row r="289" spans="1:7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</row>
    <row r="290" spans="1:7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</row>
    <row r="291" spans="1:7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</row>
    <row r="292" spans="1:7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/>
      <c r="BV292" s="109"/>
      <c r="BW292" s="109"/>
      <c r="BX292" s="109"/>
    </row>
    <row r="293" spans="1:7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</row>
    <row r="294" spans="1:7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  <c r="BR294" s="109"/>
      <c r="BS294" s="109"/>
      <c r="BT294" s="109"/>
      <c r="BU294" s="109"/>
      <c r="BV294" s="109"/>
      <c r="BW294" s="109"/>
      <c r="BX294" s="109"/>
    </row>
    <row r="295" spans="1:7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/>
    </row>
    <row r="296" spans="1:7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</row>
    <row r="297" spans="1:7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</row>
    <row r="298" spans="1:7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</row>
    <row r="299" spans="1:7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</row>
    <row r="300" spans="1:7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</row>
    <row r="301" spans="1:7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</row>
    <row r="302" spans="1:7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</row>
    <row r="303" spans="1:7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</row>
    <row r="304" spans="1:7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</row>
    <row r="305" spans="1:7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</row>
    <row r="306" spans="1:7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</row>
    <row r="307" spans="1:7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</row>
    <row r="308" spans="1:7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</row>
    <row r="309" spans="1:7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</row>
    <row r="310" spans="1:7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</row>
    <row r="311" spans="1:7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</row>
    <row r="312" spans="1:7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</row>
    <row r="313" spans="1:7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</row>
    <row r="314" spans="1:7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</row>
    <row r="315" spans="1:7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</row>
    <row r="316" spans="1:7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</row>
    <row r="317" spans="1:7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</row>
    <row r="318" spans="1:7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</row>
    <row r="319" spans="1:7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</row>
    <row r="320" spans="1:7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</row>
    <row r="321" spans="1:7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  <c r="BR321" s="109"/>
      <c r="BS321" s="109"/>
      <c r="BT321" s="109"/>
      <c r="BU321" s="109"/>
      <c r="BV321" s="109"/>
      <c r="BW321" s="109"/>
      <c r="BX321" s="109"/>
    </row>
    <row r="322" spans="1:7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/>
    </row>
    <row r="323" spans="1:7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</row>
    <row r="324" spans="1:7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</row>
    <row r="325" spans="1:7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</row>
    <row r="326" spans="1:7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  <c r="BR326" s="109"/>
      <c r="BS326" s="109"/>
      <c r="BT326" s="109"/>
      <c r="BU326" s="109"/>
      <c r="BV326" s="109"/>
      <c r="BW326" s="109"/>
      <c r="BX326" s="109"/>
    </row>
    <row r="327" spans="1:7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</row>
    <row r="328" spans="1:7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</row>
    <row r="329" spans="1:7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</row>
    <row r="330" spans="1:7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</row>
    <row r="331" spans="1:7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</row>
    <row r="332" spans="1:7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  <c r="BR332" s="109"/>
      <c r="BS332" s="109"/>
      <c r="BT332" s="109"/>
      <c r="BU332" s="109"/>
      <c r="BV332" s="109"/>
      <c r="BW332" s="109"/>
      <c r="BX332" s="109"/>
    </row>
    <row r="333" spans="1:7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</row>
    <row r="334" spans="1:7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</row>
    <row r="335" spans="1:7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</row>
    <row r="336" spans="1:7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</row>
    <row r="337" spans="1:7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</row>
    <row r="338" spans="1:7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</row>
    <row r="339" spans="1:7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</row>
    <row r="340" spans="1:7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</row>
    <row r="341" spans="1:7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</row>
    <row r="342" spans="1:7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</row>
    <row r="343" spans="1:7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</row>
    <row r="344" spans="1:7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/>
      <c r="BW344" s="109"/>
      <c r="BX344" s="109"/>
    </row>
    <row r="345" spans="1:7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</row>
    <row r="346" spans="1:7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</row>
    <row r="347" spans="1:7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</row>
    <row r="348" spans="1:7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</row>
    <row r="349" spans="1:7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</row>
    <row r="350" spans="1:7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</row>
    <row r="351" spans="1:7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</row>
    <row r="352" spans="1:7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</row>
    <row r="353" spans="1:7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</row>
    <row r="354" spans="1:7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</row>
    <row r="355" spans="1:7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/>
    </row>
    <row r="356" spans="1:7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</row>
    <row r="357" spans="1:7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</row>
    <row r="358" spans="1:7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</row>
    <row r="359" spans="1:7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</row>
    <row r="360" spans="1:7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  <c r="BR360" s="109"/>
      <c r="BS360" s="109"/>
      <c r="BT360" s="109"/>
      <c r="BU360" s="109"/>
      <c r="BV360" s="109"/>
      <c r="BW360" s="109"/>
      <c r="BX360" s="109"/>
    </row>
    <row r="361" spans="1:7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</row>
    <row r="362" spans="1:7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</row>
    <row r="363" spans="1:7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</row>
    <row r="364" spans="1:7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/>
    </row>
    <row r="365" spans="1:7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  <c r="BR365" s="109"/>
      <c r="BS365" s="109"/>
      <c r="BT365" s="109"/>
      <c r="BU365" s="109"/>
      <c r="BV365" s="109"/>
      <c r="BW365" s="109"/>
      <c r="BX365" s="109"/>
    </row>
    <row r="366" spans="1:7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</row>
    <row r="367" spans="1:7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</row>
    <row r="368" spans="1:7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/>
    </row>
    <row r="369" spans="1:7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</row>
    <row r="370" spans="1:7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/>
      <c r="BW370" s="109"/>
      <c r="BX370" s="109"/>
    </row>
    <row r="371" spans="1:7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</row>
    <row r="372" spans="1:7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</row>
    <row r="373" spans="1:7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</row>
    <row r="374" spans="1:7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</row>
    <row r="375" spans="1:7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</row>
    <row r="376" spans="1:7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  <c r="BR376" s="109"/>
      <c r="BS376" s="109"/>
      <c r="BT376" s="109"/>
      <c r="BU376" s="109"/>
      <c r="BV376" s="109"/>
      <c r="BW376" s="109"/>
      <c r="BX376" s="109"/>
    </row>
    <row r="377" spans="1:7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</row>
    <row r="378" spans="1:7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</row>
    <row r="379" spans="1:7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</row>
    <row r="380" spans="1:7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</row>
    <row r="381" spans="1:7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/>
      <c r="BW381" s="109"/>
      <c r="BX381" s="109"/>
    </row>
    <row r="382" spans="1:7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</row>
    <row r="383" spans="1:7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</row>
    <row r="384" spans="1:7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</row>
    <row r="385" spans="1:7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</row>
    <row r="386" spans="1:7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</row>
    <row r="387" spans="1:7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/>
      <c r="BW387" s="109"/>
      <c r="BX387" s="109"/>
    </row>
    <row r="388" spans="1:7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  <c r="BR388" s="109"/>
      <c r="BS388" s="109"/>
      <c r="BT388" s="109"/>
      <c r="BU388" s="109"/>
      <c r="BV388" s="109"/>
      <c r="BW388" s="109"/>
      <c r="BX388" s="109"/>
    </row>
    <row r="389" spans="1:7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</row>
    <row r="390" spans="1:7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</row>
    <row r="391" spans="1:7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</row>
    <row r="392" spans="1:7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/>
    </row>
    <row r="393" spans="1:7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</row>
    <row r="394" spans="1:7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</row>
    <row r="395" spans="1:7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</row>
    <row r="396" spans="1:7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</row>
    <row r="397" spans="1:7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</row>
    <row r="398" spans="1:7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</row>
    <row r="399" spans="1:7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/>
    </row>
    <row r="400" spans="1:7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</row>
    <row r="401" spans="1:7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</row>
    <row r="402" spans="1:7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</row>
    <row r="403" spans="1:7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</row>
    <row r="404" spans="1:7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</row>
    <row r="405" spans="1:7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</row>
    <row r="406" spans="1:7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</row>
    <row r="407" spans="1:7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</row>
    <row r="408" spans="1:7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  <c r="BR408" s="109"/>
      <c r="BS408" s="109"/>
      <c r="BT408" s="109"/>
      <c r="BU408" s="109"/>
      <c r="BV408" s="109"/>
      <c r="BW408" s="109"/>
      <c r="BX408" s="109"/>
    </row>
    <row r="409" spans="1:7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</row>
    <row r="410" spans="1:7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</row>
    <row r="411" spans="1:7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/>
      <c r="BW411" s="109"/>
      <c r="BX411" s="109"/>
    </row>
    <row r="412" spans="1:7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</row>
    <row r="413" spans="1:7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</row>
    <row r="414" spans="1:7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</row>
    <row r="415" spans="1:7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</row>
    <row r="416" spans="1:7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</row>
    <row r="417" spans="1:7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</row>
    <row r="418" spans="1:7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  <c r="BR418" s="109"/>
      <c r="BS418" s="109"/>
      <c r="BT418" s="109"/>
      <c r="BU418" s="109"/>
      <c r="BV418" s="109"/>
      <c r="BW418" s="109"/>
      <c r="BX418" s="109"/>
    </row>
    <row r="419" spans="1:7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</row>
    <row r="420" spans="1:7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</row>
    <row r="421" spans="1:7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</row>
    <row r="422" spans="1:7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</row>
    <row r="423" spans="1:7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/>
      <c r="BT423" s="109"/>
      <c r="BU423" s="109"/>
      <c r="BV423" s="109"/>
      <c r="BW423" s="109"/>
      <c r="BX423" s="109"/>
    </row>
    <row r="424" spans="1:7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</row>
    <row r="425" spans="1:7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</row>
    <row r="426" spans="1:7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</row>
    <row r="427" spans="1:7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</row>
    <row r="428" spans="1:7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</row>
    <row r="429" spans="1:7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/>
    </row>
    <row r="430" spans="1:7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/>
      <c r="BW430" s="109"/>
      <c r="BX430" s="109"/>
    </row>
    <row r="431" spans="1:7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</row>
    <row r="432" spans="1:7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</row>
    <row r="433" spans="1:7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</row>
    <row r="434" spans="1:7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</row>
    <row r="435" spans="1:7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</row>
    <row r="436" spans="1:7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</row>
    <row r="437" spans="1:7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</row>
    <row r="438" spans="1:7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</row>
    <row r="439" spans="1:7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</row>
    <row r="440" spans="1:7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</row>
    <row r="441" spans="1:7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  <c r="BR441" s="109"/>
      <c r="BS441" s="109"/>
      <c r="BT441" s="109"/>
      <c r="BU441" s="109"/>
      <c r="BV441" s="109"/>
      <c r="BW441" s="109"/>
      <c r="BX441" s="109"/>
    </row>
    <row r="442" spans="1:7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</row>
    <row r="443" spans="1:7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</row>
    <row r="444" spans="1:7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</row>
    <row r="445" spans="1:7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/>
      <c r="BW445" s="109"/>
      <c r="BX445" s="109"/>
    </row>
    <row r="446" spans="1:7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</row>
    <row r="447" spans="1:7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</row>
    <row r="448" spans="1:7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  <c r="BR448" s="109"/>
      <c r="BS448" s="109"/>
      <c r="BT448" s="109"/>
      <c r="BU448" s="109"/>
      <c r="BV448" s="109"/>
      <c r="BW448" s="109"/>
      <c r="BX448" s="109"/>
    </row>
    <row r="449" spans="1:7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  <c r="BR449" s="109"/>
      <c r="BS449" s="109"/>
      <c r="BT449" s="109"/>
      <c r="BU449" s="109"/>
      <c r="BV449" s="109"/>
      <c r="BW449" s="109"/>
      <c r="BX449" s="109"/>
    </row>
    <row r="450" spans="1:7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  <c r="BR450" s="109"/>
      <c r="BS450" s="109"/>
      <c r="BT450" s="109"/>
      <c r="BU450" s="109"/>
      <c r="BV450" s="109"/>
      <c r="BW450" s="109"/>
      <c r="BX450" s="109"/>
    </row>
    <row r="451" spans="1:7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  <c r="BR451" s="109"/>
      <c r="BS451" s="109"/>
      <c r="BT451" s="109"/>
      <c r="BU451" s="109"/>
      <c r="BV451" s="109"/>
      <c r="BW451" s="109"/>
      <c r="BX451" s="109"/>
    </row>
    <row r="452" spans="1:7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  <c r="BR452" s="109"/>
      <c r="BS452" s="109"/>
      <c r="BT452" s="109"/>
      <c r="BU452" s="109"/>
      <c r="BV452" s="109"/>
      <c r="BW452" s="109"/>
      <c r="BX452" s="109"/>
    </row>
    <row r="453" spans="1:7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  <c r="BR453" s="109"/>
      <c r="BS453" s="109"/>
      <c r="BT453" s="109"/>
      <c r="BU453" s="109"/>
      <c r="BV453" s="109"/>
      <c r="BW453" s="109"/>
      <c r="BX453" s="109"/>
    </row>
    <row r="454" spans="1:7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  <c r="BR454" s="109"/>
      <c r="BS454" s="109"/>
      <c r="BT454" s="109"/>
      <c r="BU454" s="109"/>
      <c r="BV454" s="109"/>
      <c r="BW454" s="109"/>
      <c r="BX454" s="109"/>
    </row>
    <row r="455" spans="1:7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  <c r="BR455" s="109"/>
      <c r="BS455" s="109"/>
      <c r="BT455" s="109"/>
      <c r="BU455" s="109"/>
      <c r="BV455" s="109"/>
      <c r="BW455" s="109"/>
      <c r="BX455" s="109"/>
    </row>
    <row r="456" spans="1:7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  <c r="BR456" s="109"/>
      <c r="BS456" s="109"/>
      <c r="BT456" s="109"/>
      <c r="BU456" s="109"/>
      <c r="BV456" s="109"/>
      <c r="BW456" s="109"/>
      <c r="BX456" s="109"/>
    </row>
    <row r="457" spans="1:7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  <c r="BR457" s="109"/>
      <c r="BS457" s="109"/>
      <c r="BT457" s="109"/>
      <c r="BU457" s="109"/>
      <c r="BV457" s="109"/>
      <c r="BW457" s="109"/>
      <c r="BX457" s="109"/>
    </row>
    <row r="458" spans="1:7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  <c r="BR458" s="109"/>
      <c r="BS458" s="109"/>
      <c r="BT458" s="109"/>
      <c r="BU458" s="109"/>
      <c r="BV458" s="109"/>
      <c r="BW458" s="109"/>
      <c r="BX458" s="109"/>
    </row>
    <row r="459" spans="1:7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  <c r="BR459" s="109"/>
      <c r="BS459" s="109"/>
      <c r="BT459" s="109"/>
      <c r="BU459" s="109"/>
      <c r="BV459" s="109"/>
      <c r="BW459" s="109"/>
      <c r="BX459" s="109"/>
    </row>
    <row r="460" spans="1:7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  <c r="BR460" s="109"/>
      <c r="BS460" s="109"/>
      <c r="BT460" s="109"/>
      <c r="BU460" s="109"/>
      <c r="BV460" s="109"/>
      <c r="BW460" s="109"/>
      <c r="BX460" s="109"/>
    </row>
    <row r="461" spans="1:7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  <c r="BR461" s="109"/>
      <c r="BS461" s="109"/>
      <c r="BT461" s="109"/>
      <c r="BU461" s="109"/>
      <c r="BV461" s="109"/>
      <c r="BW461" s="109"/>
      <c r="BX461" s="109"/>
    </row>
    <row r="462" spans="1:7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  <c r="BR462" s="109"/>
      <c r="BS462" s="109"/>
      <c r="BT462" s="109"/>
      <c r="BU462" s="109"/>
      <c r="BV462" s="109"/>
      <c r="BW462" s="109"/>
      <c r="BX462" s="109"/>
    </row>
    <row r="463" spans="1:7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  <c r="BR463" s="109"/>
      <c r="BS463" s="109"/>
      <c r="BT463" s="109"/>
      <c r="BU463" s="109"/>
      <c r="BV463" s="109"/>
      <c r="BW463" s="109"/>
      <c r="BX463" s="109"/>
    </row>
    <row r="464" spans="1:7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  <c r="BR464" s="109"/>
      <c r="BS464" s="109"/>
      <c r="BT464" s="109"/>
      <c r="BU464" s="109"/>
      <c r="BV464" s="109"/>
      <c r="BW464" s="109"/>
      <c r="BX464" s="109"/>
    </row>
    <row r="465" spans="1:7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  <c r="BR465" s="109"/>
      <c r="BS465" s="109"/>
      <c r="BT465" s="109"/>
      <c r="BU465" s="109"/>
      <c r="BV465" s="109"/>
      <c r="BW465" s="109"/>
      <c r="BX465" s="109"/>
    </row>
    <row r="466" spans="1:7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  <c r="BR466" s="109"/>
      <c r="BS466" s="109"/>
      <c r="BT466" s="109"/>
      <c r="BU466" s="109"/>
      <c r="BV466" s="109"/>
      <c r="BW466" s="109"/>
      <c r="BX466" s="109"/>
    </row>
    <row r="467" spans="1:7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  <c r="BR467" s="109"/>
      <c r="BS467" s="109"/>
      <c r="BT467" s="109"/>
      <c r="BU467" s="109"/>
      <c r="BV467" s="109"/>
      <c r="BW467" s="109"/>
      <c r="BX467" s="109"/>
    </row>
    <row r="468" spans="1:7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  <c r="BR468" s="109"/>
      <c r="BS468" s="109"/>
      <c r="BT468" s="109"/>
      <c r="BU468" s="109"/>
      <c r="BV468" s="109"/>
      <c r="BW468" s="109"/>
      <c r="BX468" s="109"/>
    </row>
    <row r="469" spans="1:7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  <c r="BR469" s="109"/>
      <c r="BS469" s="109"/>
      <c r="BT469" s="109"/>
      <c r="BU469" s="109"/>
      <c r="BV469" s="109"/>
      <c r="BW469" s="109"/>
      <c r="BX469" s="109"/>
    </row>
    <row r="470" spans="1:7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  <c r="BR470" s="109"/>
      <c r="BS470" s="109"/>
      <c r="BT470" s="109"/>
      <c r="BU470" s="109"/>
      <c r="BV470" s="109"/>
      <c r="BW470" s="109"/>
      <c r="BX470" s="109"/>
    </row>
    <row r="471" spans="1:7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  <c r="BR471" s="109"/>
      <c r="BS471" s="109"/>
      <c r="BT471" s="109"/>
      <c r="BU471" s="109"/>
      <c r="BV471" s="109"/>
      <c r="BW471" s="109"/>
      <c r="BX471" s="109"/>
    </row>
    <row r="472" spans="1:7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  <c r="BR472" s="109"/>
      <c r="BS472" s="109"/>
      <c r="BT472" s="109"/>
      <c r="BU472" s="109"/>
      <c r="BV472" s="109"/>
      <c r="BW472" s="109"/>
      <c r="BX472" s="109"/>
    </row>
    <row r="473" spans="1:7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  <c r="BR473" s="109"/>
      <c r="BS473" s="109"/>
      <c r="BT473" s="109"/>
      <c r="BU473" s="109"/>
      <c r="BV473" s="109"/>
      <c r="BW473" s="109"/>
      <c r="BX473" s="109"/>
    </row>
    <row r="474" spans="1:7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  <c r="BR474" s="109"/>
      <c r="BS474" s="109"/>
      <c r="BT474" s="109"/>
      <c r="BU474" s="109"/>
      <c r="BV474" s="109"/>
      <c r="BW474" s="109"/>
      <c r="BX474" s="109"/>
    </row>
    <row r="475" spans="1:7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  <c r="BR475" s="109"/>
      <c r="BS475" s="109"/>
      <c r="BT475" s="109"/>
      <c r="BU475" s="109"/>
      <c r="BV475" s="109"/>
      <c r="BW475" s="109"/>
      <c r="BX475" s="109"/>
    </row>
    <row r="476" spans="1:7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  <c r="BR476" s="109"/>
      <c r="BS476" s="109"/>
      <c r="BT476" s="109"/>
      <c r="BU476" s="109"/>
      <c r="BV476" s="109"/>
      <c r="BW476" s="109"/>
      <c r="BX476" s="109"/>
    </row>
    <row r="477" spans="1:7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  <c r="BR477" s="109"/>
      <c r="BS477" s="109"/>
      <c r="BT477" s="109"/>
      <c r="BU477" s="109"/>
      <c r="BV477" s="109"/>
      <c r="BW477" s="109"/>
      <c r="BX477" s="109"/>
    </row>
    <row r="478" spans="1:7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  <c r="BR478" s="109"/>
      <c r="BS478" s="109"/>
      <c r="BT478" s="109"/>
      <c r="BU478" s="109"/>
      <c r="BV478" s="109"/>
      <c r="BW478" s="109"/>
      <c r="BX478" s="109"/>
    </row>
    <row r="479" spans="1:7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  <c r="BR479" s="109"/>
      <c r="BS479" s="109"/>
      <c r="BT479" s="109"/>
      <c r="BU479" s="109"/>
      <c r="BV479" s="109"/>
      <c r="BW479" s="109"/>
      <c r="BX479" s="109"/>
    </row>
    <row r="480" spans="1:7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  <c r="BR480" s="109"/>
      <c r="BS480" s="109"/>
      <c r="BT480" s="109"/>
      <c r="BU480" s="109"/>
      <c r="BV480" s="109"/>
      <c r="BW480" s="109"/>
      <c r="BX480" s="109"/>
    </row>
    <row r="481" spans="1:7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  <c r="BR481" s="109"/>
      <c r="BS481" s="109"/>
      <c r="BT481" s="109"/>
      <c r="BU481" s="109"/>
      <c r="BV481" s="109"/>
      <c r="BW481" s="109"/>
      <c r="BX481" s="109"/>
    </row>
    <row r="482" spans="1:7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  <c r="BR482" s="109"/>
      <c r="BS482" s="109"/>
      <c r="BT482" s="109"/>
      <c r="BU482" s="109"/>
      <c r="BV482" s="109"/>
      <c r="BW482" s="109"/>
      <c r="BX482" s="109"/>
    </row>
    <row r="483" spans="1:7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  <c r="BR483" s="109"/>
      <c r="BS483" s="109"/>
      <c r="BT483" s="109"/>
      <c r="BU483" s="109"/>
      <c r="BV483" s="109"/>
      <c r="BW483" s="109"/>
      <c r="BX483" s="109"/>
    </row>
    <row r="484" spans="1:7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</row>
    <row r="485" spans="1:7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  <c r="BR485" s="109"/>
      <c r="BS485" s="109"/>
      <c r="BT485" s="109"/>
      <c r="BU485" s="109"/>
      <c r="BV485" s="109"/>
      <c r="BW485" s="109"/>
      <c r="BX485" s="109"/>
    </row>
    <row r="486" spans="1:7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  <c r="BR486" s="109"/>
      <c r="BS486" s="109"/>
      <c r="BT486" s="109"/>
      <c r="BU486" s="109"/>
      <c r="BV486" s="109"/>
      <c r="BW486" s="109"/>
      <c r="BX486" s="109"/>
    </row>
    <row r="487" spans="1:7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  <c r="BR487" s="109"/>
      <c r="BS487" s="109"/>
      <c r="BT487" s="109"/>
      <c r="BU487" s="109"/>
      <c r="BV487" s="109"/>
      <c r="BW487" s="109"/>
      <c r="BX487" s="109"/>
    </row>
    <row r="488" spans="1:7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  <c r="BR488" s="109"/>
      <c r="BS488" s="109"/>
      <c r="BT488" s="109"/>
      <c r="BU488" s="109"/>
      <c r="BV488" s="109"/>
      <c r="BW488" s="109"/>
      <c r="BX488" s="109"/>
    </row>
    <row r="489" spans="1:7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  <c r="BR489" s="109"/>
      <c r="BS489" s="109"/>
      <c r="BT489" s="109"/>
      <c r="BU489" s="109"/>
      <c r="BV489" s="109"/>
      <c r="BW489" s="109"/>
      <c r="BX489" s="109"/>
    </row>
    <row r="490" spans="1:7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  <c r="BR490" s="109"/>
      <c r="BS490" s="109"/>
      <c r="BT490" s="109"/>
      <c r="BU490" s="109"/>
      <c r="BV490" s="109"/>
      <c r="BW490" s="109"/>
      <c r="BX490" s="109"/>
    </row>
    <row r="491" spans="1:7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  <c r="BR491" s="109"/>
      <c r="BS491" s="109"/>
      <c r="BT491" s="109"/>
      <c r="BU491" s="109"/>
      <c r="BV491" s="109"/>
      <c r="BW491" s="109"/>
      <c r="BX491" s="109"/>
    </row>
    <row r="492" spans="1:7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  <c r="BR492" s="109"/>
      <c r="BS492" s="109"/>
      <c r="BT492" s="109"/>
      <c r="BU492" s="109"/>
      <c r="BV492" s="109"/>
      <c r="BW492" s="109"/>
      <c r="BX492" s="109"/>
    </row>
    <row r="493" spans="1:7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  <c r="BR493" s="109"/>
      <c r="BS493" s="109"/>
      <c r="BT493" s="109"/>
      <c r="BU493" s="109"/>
      <c r="BV493" s="109"/>
      <c r="BW493" s="109"/>
      <c r="BX493" s="109"/>
    </row>
    <row r="494" spans="1:7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  <c r="BR494" s="109"/>
      <c r="BS494" s="109"/>
      <c r="BT494" s="109"/>
      <c r="BU494" s="109"/>
      <c r="BV494" s="109"/>
      <c r="BW494" s="109"/>
      <c r="BX494" s="109"/>
    </row>
    <row r="495" spans="1:7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  <c r="BR495" s="109"/>
      <c r="BS495" s="109"/>
      <c r="BT495" s="109"/>
      <c r="BU495" s="109"/>
      <c r="BV495" s="109"/>
      <c r="BW495" s="109"/>
      <c r="BX495" s="109"/>
    </row>
    <row r="496" spans="1:7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  <c r="BR496" s="109"/>
      <c r="BS496" s="109"/>
      <c r="BT496" s="109"/>
      <c r="BU496" s="109"/>
      <c r="BV496" s="109"/>
      <c r="BW496" s="109"/>
      <c r="BX496" s="109"/>
    </row>
    <row r="497" spans="1:7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  <c r="BR497" s="109"/>
      <c r="BS497" s="109"/>
      <c r="BT497" s="109"/>
      <c r="BU497" s="109"/>
      <c r="BV497" s="109"/>
      <c r="BW497" s="109"/>
      <c r="BX497" s="109"/>
    </row>
    <row r="498" spans="1:7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  <c r="BR498" s="109"/>
      <c r="BS498" s="109"/>
      <c r="BT498" s="109"/>
      <c r="BU498" s="109"/>
      <c r="BV498" s="109"/>
      <c r="BW498" s="109"/>
      <c r="BX498" s="109"/>
    </row>
    <row r="499" spans="1:7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  <c r="BR499" s="109"/>
      <c r="BS499" s="109"/>
      <c r="BT499" s="109"/>
      <c r="BU499" s="109"/>
      <c r="BV499" s="109"/>
      <c r="BW499" s="109"/>
      <c r="BX499" s="109"/>
    </row>
    <row r="500" spans="1:7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  <c r="BR500" s="109"/>
      <c r="BS500" s="109"/>
      <c r="BT500" s="109"/>
      <c r="BU500" s="109"/>
      <c r="BV500" s="109"/>
      <c r="BW500" s="109"/>
      <c r="BX500" s="109"/>
    </row>
    <row r="501" spans="1:7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  <c r="BR501" s="109"/>
      <c r="BS501" s="109"/>
      <c r="BT501" s="109"/>
      <c r="BU501" s="109"/>
      <c r="BV501" s="109"/>
      <c r="BW501" s="109"/>
      <c r="BX501" s="109"/>
    </row>
    <row r="502" spans="1:7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  <c r="BR502" s="109"/>
      <c r="BS502" s="109"/>
      <c r="BT502" s="109"/>
      <c r="BU502" s="109"/>
      <c r="BV502" s="109"/>
      <c r="BW502" s="109"/>
      <c r="BX502" s="109"/>
    </row>
    <row r="503" spans="1:7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  <c r="BR503" s="109"/>
      <c r="BS503" s="109"/>
      <c r="BT503" s="109"/>
      <c r="BU503" s="109"/>
      <c r="BV503" s="109"/>
      <c r="BW503" s="109"/>
      <c r="BX503" s="109"/>
    </row>
    <row r="504" spans="1:7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  <c r="BR504" s="109"/>
      <c r="BS504" s="109"/>
      <c r="BT504" s="109"/>
      <c r="BU504" s="109"/>
      <c r="BV504" s="109"/>
      <c r="BW504" s="109"/>
      <c r="BX504" s="109"/>
    </row>
    <row r="505" spans="1:7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  <c r="BR505" s="109"/>
      <c r="BS505" s="109"/>
      <c r="BT505" s="109"/>
      <c r="BU505" s="109"/>
      <c r="BV505" s="109"/>
      <c r="BW505" s="109"/>
      <c r="BX505" s="109"/>
    </row>
    <row r="506" spans="1:7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  <c r="BR506" s="109"/>
      <c r="BS506" s="109"/>
      <c r="BT506" s="109"/>
      <c r="BU506" s="109"/>
      <c r="BV506" s="109"/>
      <c r="BW506" s="109"/>
      <c r="BX506" s="109"/>
    </row>
    <row r="507" spans="1:7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  <c r="BR507" s="109"/>
      <c r="BS507" s="109"/>
      <c r="BT507" s="109"/>
      <c r="BU507" s="109"/>
      <c r="BV507" s="109"/>
      <c r="BW507" s="109"/>
      <c r="BX507" s="109"/>
    </row>
    <row r="508" spans="1:7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  <c r="BR508" s="109"/>
      <c r="BS508" s="109"/>
      <c r="BT508" s="109"/>
      <c r="BU508" s="109"/>
      <c r="BV508" s="109"/>
      <c r="BW508" s="109"/>
      <c r="BX508" s="109"/>
    </row>
    <row r="509" spans="1:7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  <c r="BR509" s="109"/>
      <c r="BS509" s="109"/>
      <c r="BT509" s="109"/>
      <c r="BU509" s="109"/>
      <c r="BV509" s="109"/>
      <c r="BW509" s="109"/>
      <c r="BX509" s="109"/>
    </row>
    <row r="510" spans="1:7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  <c r="BR510" s="109"/>
      <c r="BS510" s="109"/>
      <c r="BT510" s="109"/>
      <c r="BU510" s="109"/>
      <c r="BV510" s="109"/>
      <c r="BW510" s="109"/>
      <c r="BX510" s="109"/>
    </row>
    <row r="511" spans="1:7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  <c r="BR511" s="109"/>
      <c r="BS511" s="109"/>
      <c r="BT511" s="109"/>
      <c r="BU511" s="109"/>
      <c r="BV511" s="109"/>
      <c r="BW511" s="109"/>
      <c r="BX511" s="109"/>
    </row>
    <row r="512" spans="1:7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  <c r="BR512" s="109"/>
      <c r="BS512" s="109"/>
      <c r="BT512" s="109"/>
      <c r="BU512" s="109"/>
      <c r="BV512" s="109"/>
      <c r="BW512" s="109"/>
      <c r="BX512" s="109"/>
    </row>
    <row r="513" spans="1:7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  <c r="BR513" s="109"/>
      <c r="BS513" s="109"/>
      <c r="BT513" s="109"/>
      <c r="BU513" s="109"/>
      <c r="BV513" s="109"/>
      <c r="BW513" s="109"/>
      <c r="BX513" s="109"/>
    </row>
    <row r="514" spans="1:7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/>
    </row>
    <row r="515" spans="1:7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  <c r="BR515" s="109"/>
      <c r="BS515" s="109"/>
      <c r="BT515" s="109"/>
      <c r="BU515" s="109"/>
      <c r="BV515" s="109"/>
      <c r="BW515" s="109"/>
      <c r="BX515" s="109"/>
    </row>
    <row r="516" spans="1:7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  <c r="BR516" s="109"/>
      <c r="BS516" s="109"/>
      <c r="BT516" s="109"/>
      <c r="BU516" s="109"/>
      <c r="BV516" s="109"/>
      <c r="BW516" s="109"/>
      <c r="BX516" s="109"/>
    </row>
    <row r="517" spans="1:7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  <c r="BR517" s="109"/>
      <c r="BS517" s="109"/>
      <c r="BT517" s="109"/>
      <c r="BU517" s="109"/>
      <c r="BV517" s="109"/>
      <c r="BW517" s="109"/>
      <c r="BX517" s="109"/>
    </row>
    <row r="518" spans="1:7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  <c r="BR518" s="109"/>
      <c r="BS518" s="109"/>
      <c r="BT518" s="109"/>
      <c r="BU518" s="109"/>
      <c r="BV518" s="109"/>
      <c r="BW518" s="109"/>
      <c r="BX518" s="109"/>
    </row>
    <row r="519" spans="1:7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  <c r="BR519" s="109"/>
      <c r="BS519" s="109"/>
      <c r="BT519" s="109"/>
      <c r="BU519" s="109"/>
      <c r="BV519" s="109"/>
      <c r="BW519" s="109"/>
      <c r="BX519" s="109"/>
    </row>
    <row r="520" spans="1:7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  <c r="BR520" s="109"/>
      <c r="BS520" s="109"/>
      <c r="BT520" s="109"/>
      <c r="BU520" s="109"/>
      <c r="BV520" s="109"/>
      <c r="BW520" s="109"/>
      <c r="BX520" s="109"/>
    </row>
    <row r="521" spans="1:7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  <c r="BR521" s="109"/>
      <c r="BS521" s="109"/>
      <c r="BT521" s="109"/>
      <c r="BU521" s="109"/>
      <c r="BV521" s="109"/>
      <c r="BW521" s="109"/>
      <c r="BX521" s="109"/>
    </row>
    <row r="522" spans="1:7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  <c r="BR522" s="109"/>
      <c r="BS522" s="109"/>
      <c r="BT522" s="109"/>
      <c r="BU522" s="109"/>
      <c r="BV522" s="109"/>
      <c r="BW522" s="109"/>
      <c r="BX522" s="109"/>
    </row>
    <row r="523" spans="1:7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  <c r="BR523" s="109"/>
      <c r="BS523" s="109"/>
      <c r="BT523" s="109"/>
      <c r="BU523" s="109"/>
      <c r="BV523" s="109"/>
      <c r="BW523" s="109"/>
      <c r="BX523" s="109"/>
    </row>
    <row r="524" spans="1:7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  <c r="BR524" s="109"/>
      <c r="BS524" s="109"/>
      <c r="BT524" s="109"/>
      <c r="BU524" s="109"/>
      <c r="BV524" s="109"/>
      <c r="BW524" s="109"/>
      <c r="BX524" s="109"/>
    </row>
    <row r="525" spans="1:7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  <c r="BR525" s="109"/>
      <c r="BS525" s="109"/>
      <c r="BT525" s="109"/>
      <c r="BU525" s="109"/>
      <c r="BV525" s="109"/>
      <c r="BW525" s="109"/>
      <c r="BX525" s="109"/>
    </row>
    <row r="526" spans="1:7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  <c r="BR526" s="109"/>
      <c r="BS526" s="109"/>
      <c r="BT526" s="109"/>
      <c r="BU526" s="109"/>
      <c r="BV526" s="109"/>
      <c r="BW526" s="109"/>
      <c r="BX526" s="109"/>
    </row>
    <row r="527" spans="1:7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  <c r="BR527" s="109"/>
      <c r="BS527" s="109"/>
      <c r="BT527" s="109"/>
      <c r="BU527" s="109"/>
      <c r="BV527" s="109"/>
      <c r="BW527" s="109"/>
      <c r="BX527" s="109"/>
    </row>
    <row r="528" spans="1:7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  <c r="BR528" s="109"/>
      <c r="BS528" s="109"/>
      <c r="BT528" s="109"/>
      <c r="BU528" s="109"/>
      <c r="BV528" s="109"/>
      <c r="BW528" s="109"/>
      <c r="BX528" s="109"/>
    </row>
    <row r="529" spans="1:7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  <c r="BR529" s="109"/>
      <c r="BS529" s="109"/>
      <c r="BT529" s="109"/>
      <c r="BU529" s="109"/>
      <c r="BV529" s="109"/>
      <c r="BW529" s="109"/>
      <c r="BX529" s="109"/>
    </row>
    <row r="530" spans="1:7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  <c r="BR530" s="109"/>
      <c r="BS530" s="109"/>
      <c r="BT530" s="109"/>
      <c r="BU530" s="109"/>
      <c r="BV530" s="109"/>
      <c r="BW530" s="109"/>
      <c r="BX530" s="109"/>
    </row>
    <row r="531" spans="1:7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  <c r="BR531" s="109"/>
      <c r="BS531" s="109"/>
      <c r="BT531" s="109"/>
      <c r="BU531" s="109"/>
      <c r="BV531" s="109"/>
      <c r="BW531" s="109"/>
      <c r="BX531" s="109"/>
    </row>
    <row r="532" spans="1:7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  <c r="BR532" s="109"/>
      <c r="BS532" s="109"/>
      <c r="BT532" s="109"/>
      <c r="BU532" s="109"/>
      <c r="BV532" s="109"/>
      <c r="BW532" s="109"/>
      <c r="BX532" s="109"/>
    </row>
    <row r="533" spans="1:7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  <c r="BR533" s="109"/>
      <c r="BS533" s="109"/>
      <c r="BT533" s="109"/>
      <c r="BU533" s="109"/>
      <c r="BV533" s="109"/>
      <c r="BW533" s="109"/>
      <c r="BX533" s="109"/>
    </row>
    <row r="534" spans="1:7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  <c r="BR534" s="109"/>
      <c r="BS534" s="109"/>
      <c r="BT534" s="109"/>
      <c r="BU534" s="109"/>
      <c r="BV534" s="109"/>
      <c r="BW534" s="109"/>
      <c r="BX534" s="109"/>
    </row>
    <row r="535" spans="1:7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  <c r="BR535" s="109"/>
      <c r="BS535" s="109"/>
      <c r="BT535" s="109"/>
      <c r="BU535" s="109"/>
      <c r="BV535" s="109"/>
      <c r="BW535" s="109"/>
      <c r="BX535" s="109"/>
    </row>
    <row r="536" spans="1:7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  <c r="BR536" s="109"/>
      <c r="BS536" s="109"/>
      <c r="BT536" s="109"/>
      <c r="BU536" s="109"/>
      <c r="BV536" s="109"/>
      <c r="BW536" s="109"/>
      <c r="BX536" s="109"/>
    </row>
    <row r="537" spans="1:7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  <c r="BR537" s="109"/>
      <c r="BS537" s="109"/>
      <c r="BT537" s="109"/>
      <c r="BU537" s="109"/>
      <c r="BV537" s="109"/>
      <c r="BW537" s="109"/>
      <c r="BX537" s="109"/>
    </row>
    <row r="538" spans="1:7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  <c r="BR538" s="109"/>
      <c r="BS538" s="109"/>
      <c r="BT538" s="109"/>
      <c r="BU538" s="109"/>
      <c r="BV538" s="109"/>
      <c r="BW538" s="109"/>
      <c r="BX538" s="109"/>
    </row>
    <row r="539" spans="1:7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  <c r="BR539" s="109"/>
      <c r="BS539" s="109"/>
      <c r="BT539" s="109"/>
      <c r="BU539" s="109"/>
      <c r="BV539" s="109"/>
      <c r="BW539" s="109"/>
      <c r="BX539" s="109"/>
    </row>
    <row r="540" spans="1:7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  <c r="BR540" s="109"/>
      <c r="BS540" s="109"/>
      <c r="BT540" s="109"/>
      <c r="BU540" s="109"/>
      <c r="BV540" s="109"/>
      <c r="BW540" s="109"/>
      <c r="BX540" s="109"/>
    </row>
    <row r="541" spans="1:7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  <c r="BR541" s="109"/>
      <c r="BS541" s="109"/>
      <c r="BT541" s="109"/>
      <c r="BU541" s="109"/>
      <c r="BV541" s="109"/>
      <c r="BW541" s="109"/>
      <c r="BX541" s="109"/>
    </row>
    <row r="542" spans="1:7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  <c r="BR542" s="109"/>
      <c r="BS542" s="109"/>
      <c r="BT542" s="109"/>
      <c r="BU542" s="109"/>
      <c r="BV542" s="109"/>
      <c r="BW542" s="109"/>
      <c r="BX542" s="109"/>
    </row>
    <row r="543" spans="1:7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  <c r="BR543" s="109"/>
      <c r="BS543" s="109"/>
      <c r="BT543" s="109"/>
      <c r="BU543" s="109"/>
      <c r="BV543" s="109"/>
      <c r="BW543" s="109"/>
      <c r="BX543" s="109"/>
    </row>
    <row r="544" spans="1:7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</row>
    <row r="545" spans="1:7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  <c r="BR545" s="109"/>
      <c r="BS545" s="109"/>
      <c r="BT545" s="109"/>
      <c r="BU545" s="109"/>
      <c r="BV545" s="109"/>
      <c r="BW545" s="109"/>
      <c r="BX545" s="109"/>
    </row>
    <row r="546" spans="1:7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  <c r="BR546" s="109"/>
      <c r="BS546" s="109"/>
      <c r="BT546" s="109"/>
      <c r="BU546" s="109"/>
      <c r="BV546" s="109"/>
      <c r="BW546" s="109"/>
      <c r="BX546" s="109"/>
    </row>
    <row r="547" spans="1:7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  <c r="BR547" s="109"/>
      <c r="BS547" s="109"/>
      <c r="BT547" s="109"/>
      <c r="BU547" s="109"/>
      <c r="BV547" s="109"/>
      <c r="BW547" s="109"/>
      <c r="BX547" s="109"/>
    </row>
    <row r="548" spans="1:7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  <c r="BR548" s="109"/>
      <c r="BS548" s="109"/>
      <c r="BT548" s="109"/>
      <c r="BU548" s="109"/>
      <c r="BV548" s="109"/>
      <c r="BW548" s="109"/>
      <c r="BX548" s="109"/>
    </row>
    <row r="549" spans="1:7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  <c r="BR549" s="109"/>
      <c r="BS549" s="109"/>
      <c r="BT549" s="109"/>
      <c r="BU549" s="109"/>
      <c r="BV549" s="109"/>
      <c r="BW549" s="109"/>
      <c r="BX549" s="109"/>
    </row>
    <row r="550" spans="1:7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  <c r="BR550" s="109"/>
      <c r="BS550" s="109"/>
      <c r="BT550" s="109"/>
      <c r="BU550" s="109"/>
      <c r="BV550" s="109"/>
      <c r="BW550" s="109"/>
      <c r="BX550" s="109"/>
    </row>
    <row r="551" spans="1:7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  <c r="BR551" s="109"/>
      <c r="BS551" s="109"/>
      <c r="BT551" s="109"/>
      <c r="BU551" s="109"/>
      <c r="BV551" s="109"/>
      <c r="BW551" s="109"/>
      <c r="BX551" s="109"/>
    </row>
    <row r="552" spans="1:7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  <c r="BR552" s="109"/>
      <c r="BS552" s="109"/>
      <c r="BT552" s="109"/>
      <c r="BU552" s="109"/>
      <c r="BV552" s="109"/>
      <c r="BW552" s="109"/>
      <c r="BX552" s="109"/>
    </row>
    <row r="553" spans="1:7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  <c r="BR553" s="109"/>
      <c r="BS553" s="109"/>
      <c r="BT553" s="109"/>
      <c r="BU553" s="109"/>
      <c r="BV553" s="109"/>
      <c r="BW553" s="109"/>
      <c r="BX553" s="109"/>
    </row>
    <row r="554" spans="1:7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  <c r="BR554" s="109"/>
      <c r="BS554" s="109"/>
      <c r="BT554" s="109"/>
      <c r="BU554" s="109"/>
      <c r="BV554" s="109"/>
      <c r="BW554" s="109"/>
      <c r="BX554" s="109"/>
    </row>
    <row r="555" spans="1:7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  <c r="BR555" s="109"/>
      <c r="BS555" s="109"/>
      <c r="BT555" s="109"/>
      <c r="BU555" s="109"/>
      <c r="BV555" s="109"/>
      <c r="BW555" s="109"/>
      <c r="BX555" s="109"/>
    </row>
    <row r="556" spans="1:7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  <c r="BR556" s="109"/>
      <c r="BS556" s="109"/>
      <c r="BT556" s="109"/>
      <c r="BU556" s="109"/>
      <c r="BV556" s="109"/>
      <c r="BW556" s="109"/>
      <c r="BX556" s="109"/>
    </row>
    <row r="557" spans="1:7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  <c r="BR557" s="109"/>
      <c r="BS557" s="109"/>
      <c r="BT557" s="109"/>
      <c r="BU557" s="109"/>
      <c r="BV557" s="109"/>
      <c r="BW557" s="109"/>
      <c r="BX557" s="109"/>
    </row>
    <row r="558" spans="1:7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  <c r="BR558" s="109"/>
      <c r="BS558" s="109"/>
      <c r="BT558" s="109"/>
      <c r="BU558" s="109"/>
      <c r="BV558" s="109"/>
      <c r="BW558" s="109"/>
      <c r="BX558" s="109"/>
    </row>
    <row r="559" spans="1:7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  <c r="BR559" s="109"/>
      <c r="BS559" s="109"/>
      <c r="BT559" s="109"/>
      <c r="BU559" s="109"/>
      <c r="BV559" s="109"/>
      <c r="BW559" s="109"/>
      <c r="BX559" s="109"/>
    </row>
    <row r="560" spans="1:7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  <c r="BR560" s="109"/>
      <c r="BS560" s="109"/>
      <c r="BT560" s="109"/>
      <c r="BU560" s="109"/>
      <c r="BV560" s="109"/>
      <c r="BW560" s="109"/>
      <c r="BX560" s="109"/>
    </row>
    <row r="561" spans="1:7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  <c r="BR561" s="109"/>
      <c r="BS561" s="109"/>
      <c r="BT561" s="109"/>
      <c r="BU561" s="109"/>
      <c r="BV561" s="109"/>
      <c r="BW561" s="109"/>
      <c r="BX561" s="109"/>
    </row>
    <row r="562" spans="1:7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  <c r="BR562" s="109"/>
      <c r="BS562" s="109"/>
      <c r="BT562" s="109"/>
      <c r="BU562" s="109"/>
      <c r="BV562" s="109"/>
      <c r="BW562" s="109"/>
      <c r="BX562" s="109"/>
    </row>
    <row r="563" spans="1:7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  <c r="BR563" s="109"/>
      <c r="BS563" s="109"/>
      <c r="BT563" s="109"/>
      <c r="BU563" s="109"/>
      <c r="BV563" s="109"/>
      <c r="BW563" s="109"/>
      <c r="BX563" s="109"/>
    </row>
    <row r="564" spans="1:7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  <c r="BR564" s="109"/>
      <c r="BS564" s="109"/>
      <c r="BT564" s="109"/>
      <c r="BU564" s="109"/>
      <c r="BV564" s="109"/>
      <c r="BW564" s="109"/>
      <c r="BX564" s="109"/>
    </row>
    <row r="565" spans="1:7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  <c r="BR565" s="109"/>
      <c r="BS565" s="109"/>
      <c r="BT565" s="109"/>
      <c r="BU565" s="109"/>
      <c r="BV565" s="109"/>
      <c r="BW565" s="109"/>
      <c r="BX565" s="109"/>
    </row>
    <row r="566" spans="1:7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  <c r="BR566" s="109"/>
      <c r="BS566" s="109"/>
      <c r="BT566" s="109"/>
      <c r="BU566" s="109"/>
      <c r="BV566" s="109"/>
      <c r="BW566" s="109"/>
      <c r="BX566" s="109"/>
    </row>
    <row r="567" spans="1:7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  <c r="BR567" s="109"/>
      <c r="BS567" s="109"/>
      <c r="BT567" s="109"/>
      <c r="BU567" s="109"/>
      <c r="BV567" s="109"/>
      <c r="BW567" s="109"/>
      <c r="BX567" s="109"/>
    </row>
    <row r="568" spans="1:7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  <c r="BR568" s="109"/>
      <c r="BS568" s="109"/>
      <c r="BT568" s="109"/>
      <c r="BU568" s="109"/>
      <c r="BV568" s="109"/>
      <c r="BW568" s="109"/>
      <c r="BX568" s="109"/>
    </row>
    <row r="569" spans="1:7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  <c r="BR569" s="109"/>
      <c r="BS569" s="109"/>
      <c r="BT569" s="109"/>
      <c r="BU569" s="109"/>
      <c r="BV569" s="109"/>
      <c r="BW569" s="109"/>
      <c r="BX569" s="109"/>
    </row>
    <row r="570" spans="1:7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  <c r="BR570" s="109"/>
      <c r="BS570" s="109"/>
      <c r="BT570" s="109"/>
      <c r="BU570" s="109"/>
      <c r="BV570" s="109"/>
      <c r="BW570" s="109"/>
      <c r="BX570" s="109"/>
    </row>
    <row r="571" spans="1:7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  <c r="BR571" s="109"/>
      <c r="BS571" s="109"/>
      <c r="BT571" s="109"/>
      <c r="BU571" s="109"/>
      <c r="BV571" s="109"/>
      <c r="BW571" s="109"/>
      <c r="BX571" s="109"/>
    </row>
    <row r="572" spans="1:7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  <c r="BR572" s="109"/>
      <c r="BS572" s="109"/>
      <c r="BT572" s="109"/>
      <c r="BU572" s="109"/>
      <c r="BV572" s="109"/>
      <c r="BW572" s="109"/>
      <c r="BX572" s="109"/>
    </row>
    <row r="573" spans="1:7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  <c r="BR573" s="109"/>
      <c r="BS573" s="109"/>
      <c r="BT573" s="109"/>
      <c r="BU573" s="109"/>
      <c r="BV573" s="109"/>
      <c r="BW573" s="109"/>
      <c r="BX573" s="109"/>
    </row>
    <row r="574" spans="1:7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</row>
    <row r="575" spans="1:7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  <c r="BR575" s="109"/>
      <c r="BS575" s="109"/>
      <c r="BT575" s="109"/>
      <c r="BU575" s="109"/>
      <c r="BV575" s="109"/>
      <c r="BW575" s="109"/>
      <c r="BX575" s="109"/>
    </row>
    <row r="576" spans="1:7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  <c r="BR576" s="109"/>
      <c r="BS576" s="109"/>
      <c r="BT576" s="109"/>
      <c r="BU576" s="109"/>
      <c r="BV576" s="109"/>
      <c r="BW576" s="109"/>
      <c r="BX576" s="109"/>
    </row>
    <row r="577" spans="1:7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  <c r="BR577" s="109"/>
      <c r="BS577" s="109"/>
      <c r="BT577" s="109"/>
      <c r="BU577" s="109"/>
      <c r="BV577" s="109"/>
      <c r="BW577" s="109"/>
      <c r="BX577" s="109"/>
    </row>
    <row r="578" spans="1:7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  <c r="BR578" s="109"/>
      <c r="BS578" s="109"/>
      <c r="BT578" s="109"/>
      <c r="BU578" s="109"/>
      <c r="BV578" s="109"/>
      <c r="BW578" s="109"/>
      <c r="BX578" s="109"/>
    </row>
    <row r="579" spans="1:7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  <c r="BR579" s="109"/>
      <c r="BS579" s="109"/>
      <c r="BT579" s="109"/>
      <c r="BU579" s="109"/>
      <c r="BV579" s="109"/>
      <c r="BW579" s="109"/>
      <c r="BX579" s="109"/>
    </row>
    <row r="580" spans="1:7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  <c r="BR580" s="109"/>
      <c r="BS580" s="109"/>
      <c r="BT580" s="109"/>
      <c r="BU580" s="109"/>
      <c r="BV580" s="109"/>
      <c r="BW580" s="109"/>
      <c r="BX580" s="109"/>
    </row>
    <row r="581" spans="1:7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  <c r="BR581" s="109"/>
      <c r="BS581" s="109"/>
      <c r="BT581" s="109"/>
      <c r="BU581" s="109"/>
      <c r="BV581" s="109"/>
      <c r="BW581" s="109"/>
      <c r="BX581" s="109"/>
    </row>
    <row r="582" spans="1:7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  <c r="BR582" s="109"/>
      <c r="BS582" s="109"/>
      <c r="BT582" s="109"/>
      <c r="BU582" s="109"/>
      <c r="BV582" s="109"/>
      <c r="BW582" s="109"/>
      <c r="BX582" s="109"/>
    </row>
    <row r="583" spans="1:7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  <c r="BR583" s="109"/>
      <c r="BS583" s="109"/>
      <c r="BT583" s="109"/>
      <c r="BU583" s="109"/>
      <c r="BV583" s="109"/>
      <c r="BW583" s="109"/>
      <c r="BX583" s="109"/>
    </row>
    <row r="584" spans="1:7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  <c r="BR584" s="109"/>
      <c r="BS584" s="109"/>
      <c r="BT584" s="109"/>
      <c r="BU584" s="109"/>
      <c r="BV584" s="109"/>
      <c r="BW584" s="109"/>
      <c r="BX584" s="109"/>
    </row>
    <row r="585" spans="1:7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  <c r="BR585" s="109"/>
      <c r="BS585" s="109"/>
      <c r="BT585" s="109"/>
      <c r="BU585" s="109"/>
      <c r="BV585" s="109"/>
      <c r="BW585" s="109"/>
      <c r="BX585" s="109"/>
    </row>
    <row r="586" spans="1:7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  <c r="BR586" s="109"/>
      <c r="BS586" s="109"/>
      <c r="BT586" s="109"/>
      <c r="BU586" s="109"/>
      <c r="BV586" s="109"/>
      <c r="BW586" s="109"/>
      <c r="BX586" s="109"/>
    </row>
    <row r="587" spans="1:7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  <c r="BR587" s="109"/>
      <c r="BS587" s="109"/>
      <c r="BT587" s="109"/>
      <c r="BU587" s="109"/>
      <c r="BV587" s="109"/>
      <c r="BW587" s="109"/>
      <c r="BX587" s="109"/>
    </row>
    <row r="588" spans="1:7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  <c r="BR588" s="109"/>
      <c r="BS588" s="109"/>
      <c r="BT588" s="109"/>
      <c r="BU588" s="109"/>
      <c r="BV588" s="109"/>
      <c r="BW588" s="109"/>
      <c r="BX588" s="109"/>
    </row>
    <row r="589" spans="1:7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  <c r="BR589" s="109"/>
      <c r="BS589" s="109"/>
      <c r="BT589" s="109"/>
      <c r="BU589" s="109"/>
      <c r="BV589" s="109"/>
      <c r="BW589" s="109"/>
      <c r="BX589" s="109"/>
    </row>
    <row r="590" spans="1:7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  <c r="BR590" s="109"/>
      <c r="BS590" s="109"/>
      <c r="BT590" s="109"/>
      <c r="BU590" s="109"/>
      <c r="BV590" s="109"/>
      <c r="BW590" s="109"/>
      <c r="BX590" s="109"/>
    </row>
    <row r="591" spans="1:7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  <c r="BR591" s="109"/>
      <c r="BS591" s="109"/>
      <c r="BT591" s="109"/>
      <c r="BU591" s="109"/>
      <c r="BV591" s="109"/>
      <c r="BW591" s="109"/>
      <c r="BX591" s="109"/>
    </row>
    <row r="592" spans="1:7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  <c r="BR592" s="109"/>
      <c r="BS592" s="109"/>
      <c r="BT592" s="109"/>
      <c r="BU592" s="109"/>
      <c r="BV592" s="109"/>
      <c r="BW592" s="109"/>
      <c r="BX592" s="109"/>
    </row>
    <row r="593" spans="1:7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  <c r="BR593" s="109"/>
      <c r="BS593" s="109"/>
      <c r="BT593" s="109"/>
      <c r="BU593" s="109"/>
      <c r="BV593" s="109"/>
      <c r="BW593" s="109"/>
      <c r="BX593" s="109"/>
    </row>
    <row r="594" spans="1:7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  <c r="BR594" s="109"/>
      <c r="BS594" s="109"/>
      <c r="BT594" s="109"/>
      <c r="BU594" s="109"/>
      <c r="BV594" s="109"/>
      <c r="BW594" s="109"/>
      <c r="BX594" s="109"/>
    </row>
    <row r="595" spans="1:7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  <c r="BR595" s="109"/>
      <c r="BS595" s="109"/>
      <c r="BT595" s="109"/>
      <c r="BU595" s="109"/>
      <c r="BV595" s="109"/>
      <c r="BW595" s="109"/>
      <c r="BX595" s="109"/>
    </row>
    <row r="596" spans="1:7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  <c r="BR596" s="109"/>
      <c r="BS596" s="109"/>
      <c r="BT596" s="109"/>
      <c r="BU596" s="109"/>
      <c r="BV596" s="109"/>
      <c r="BW596" s="109"/>
      <c r="BX596" s="109"/>
    </row>
    <row r="597" spans="1:7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  <c r="BR597" s="109"/>
      <c r="BS597" s="109"/>
      <c r="BT597" s="109"/>
      <c r="BU597" s="109"/>
      <c r="BV597" s="109"/>
      <c r="BW597" s="109"/>
      <c r="BX597" s="109"/>
    </row>
    <row r="598" spans="1:7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  <c r="BR598" s="109"/>
      <c r="BS598" s="109"/>
      <c r="BT598" s="109"/>
      <c r="BU598" s="109"/>
      <c r="BV598" s="109"/>
      <c r="BW598" s="109"/>
      <c r="BX598" s="109"/>
    </row>
    <row r="599" spans="1:7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  <c r="BR599" s="109"/>
      <c r="BS599" s="109"/>
      <c r="BT599" s="109"/>
      <c r="BU599" s="109"/>
      <c r="BV599" s="109"/>
      <c r="BW599" s="109"/>
      <c r="BX599" s="109"/>
    </row>
    <row r="600" spans="1:7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  <c r="BR600" s="109"/>
      <c r="BS600" s="109"/>
      <c r="BT600" s="109"/>
      <c r="BU600" s="109"/>
      <c r="BV600" s="109"/>
      <c r="BW600" s="109"/>
      <c r="BX600" s="109"/>
    </row>
    <row r="601" spans="1:7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  <c r="BR601" s="109"/>
      <c r="BS601" s="109"/>
      <c r="BT601" s="109"/>
      <c r="BU601" s="109"/>
      <c r="BV601" s="109"/>
      <c r="BW601" s="109"/>
      <c r="BX601" s="109"/>
    </row>
    <row r="602" spans="1:7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  <c r="BR602" s="109"/>
      <c r="BS602" s="109"/>
      <c r="BT602" s="109"/>
      <c r="BU602" s="109"/>
      <c r="BV602" s="109"/>
      <c r="BW602" s="109"/>
      <c r="BX602" s="109"/>
    </row>
    <row r="603" spans="1:7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  <c r="BR603" s="109"/>
      <c r="BS603" s="109"/>
      <c r="BT603" s="109"/>
      <c r="BU603" s="109"/>
      <c r="BV603" s="109"/>
      <c r="BW603" s="109"/>
      <c r="BX603" s="109"/>
    </row>
    <row r="604" spans="1:7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  <c r="BR604" s="109"/>
      <c r="BS604" s="109"/>
      <c r="BT604" s="109"/>
      <c r="BU604" s="109"/>
      <c r="BV604" s="109"/>
      <c r="BW604" s="109"/>
      <c r="BX604" s="109"/>
    </row>
    <row r="605" spans="1:7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  <c r="BR605" s="109"/>
      <c r="BS605" s="109"/>
      <c r="BT605" s="109"/>
      <c r="BU605" s="109"/>
      <c r="BV605" s="109"/>
      <c r="BW605" s="109"/>
      <c r="BX605" s="109"/>
    </row>
    <row r="606" spans="1:7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  <c r="BR606" s="109"/>
      <c r="BS606" s="109"/>
      <c r="BT606" s="109"/>
      <c r="BU606" s="109"/>
      <c r="BV606" s="109"/>
      <c r="BW606" s="109"/>
      <c r="BX606" s="109"/>
    </row>
    <row r="607" spans="1:7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  <c r="BR607" s="109"/>
      <c r="BS607" s="109"/>
      <c r="BT607" s="109"/>
      <c r="BU607" s="109"/>
      <c r="BV607" s="109"/>
      <c r="BW607" s="109"/>
      <c r="BX607" s="109"/>
    </row>
    <row r="608" spans="1:7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  <c r="BR608" s="109"/>
      <c r="BS608" s="109"/>
      <c r="BT608" s="109"/>
      <c r="BU608" s="109"/>
      <c r="BV608" s="109"/>
      <c r="BW608" s="109"/>
      <c r="BX608" s="109"/>
    </row>
    <row r="609" spans="1:7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  <c r="BR609" s="109"/>
      <c r="BS609" s="109"/>
      <c r="BT609" s="109"/>
      <c r="BU609" s="109"/>
      <c r="BV609" s="109"/>
      <c r="BW609" s="109"/>
      <c r="BX609" s="109"/>
    </row>
    <row r="610" spans="1:7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  <c r="BR610" s="109"/>
      <c r="BS610" s="109"/>
      <c r="BT610" s="109"/>
      <c r="BU610" s="109"/>
      <c r="BV610" s="109"/>
      <c r="BW610" s="109"/>
      <c r="BX610" s="109"/>
    </row>
    <row r="611" spans="1:7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  <c r="BR611" s="109"/>
      <c r="BS611" s="109"/>
      <c r="BT611" s="109"/>
      <c r="BU611" s="109"/>
      <c r="BV611" s="109"/>
      <c r="BW611" s="109"/>
      <c r="BX611" s="109"/>
    </row>
    <row r="612" spans="1:7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  <c r="BR612" s="109"/>
      <c r="BS612" s="109"/>
      <c r="BT612" s="109"/>
      <c r="BU612" s="109"/>
      <c r="BV612" s="109"/>
      <c r="BW612" s="109"/>
      <c r="BX612" s="109"/>
    </row>
    <row r="613" spans="1:7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  <c r="BR613" s="109"/>
      <c r="BS613" s="109"/>
      <c r="BT613" s="109"/>
      <c r="BU613" s="109"/>
      <c r="BV613" s="109"/>
      <c r="BW613" s="109"/>
      <c r="BX613" s="109"/>
    </row>
    <row r="614" spans="1:7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  <c r="BR614" s="109"/>
      <c r="BS614" s="109"/>
      <c r="BT614" s="109"/>
      <c r="BU614" s="109"/>
      <c r="BV614" s="109"/>
      <c r="BW614" s="109"/>
      <c r="BX614" s="109"/>
    </row>
    <row r="615" spans="1:7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  <c r="BR615" s="109"/>
      <c r="BS615" s="109"/>
      <c r="BT615" s="109"/>
      <c r="BU615" s="109"/>
      <c r="BV615" s="109"/>
      <c r="BW615" s="109"/>
      <c r="BX615" s="109"/>
    </row>
    <row r="616" spans="1:7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  <c r="BR616" s="109"/>
      <c r="BS616" s="109"/>
      <c r="BT616" s="109"/>
      <c r="BU616" s="109"/>
      <c r="BV616" s="109"/>
      <c r="BW616" s="109"/>
      <c r="BX616" s="109"/>
    </row>
    <row r="617" spans="1:7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  <c r="BR617" s="109"/>
      <c r="BS617" s="109"/>
      <c r="BT617" s="109"/>
      <c r="BU617" s="109"/>
      <c r="BV617" s="109"/>
      <c r="BW617" s="109"/>
      <c r="BX617" s="109"/>
    </row>
    <row r="618" spans="1:7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  <c r="BR618" s="109"/>
      <c r="BS618" s="109"/>
      <c r="BT618" s="109"/>
      <c r="BU618" s="109"/>
      <c r="BV618" s="109"/>
      <c r="BW618" s="109"/>
      <c r="BX618" s="109"/>
    </row>
    <row r="619" spans="1:7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  <c r="BR619" s="109"/>
      <c r="BS619" s="109"/>
      <c r="BT619" s="109"/>
      <c r="BU619" s="109"/>
      <c r="BV619" s="109"/>
      <c r="BW619" s="109"/>
      <c r="BX619" s="109"/>
    </row>
    <row r="620" spans="1:7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  <c r="BR620" s="109"/>
      <c r="BS620" s="109"/>
      <c r="BT620" s="109"/>
      <c r="BU620" s="109"/>
      <c r="BV620" s="109"/>
      <c r="BW620" s="109"/>
      <c r="BX620" s="109"/>
    </row>
    <row r="621" spans="1:7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  <c r="BR621" s="109"/>
      <c r="BS621" s="109"/>
      <c r="BT621" s="109"/>
      <c r="BU621" s="109"/>
      <c r="BV621" s="109"/>
      <c r="BW621" s="109"/>
      <c r="BX621" s="109"/>
    </row>
    <row r="622" spans="1:7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  <c r="BR622" s="109"/>
      <c r="BS622" s="109"/>
      <c r="BT622" s="109"/>
      <c r="BU622" s="109"/>
      <c r="BV622" s="109"/>
      <c r="BW622" s="109"/>
      <c r="BX622" s="109"/>
    </row>
    <row r="623" spans="1:7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  <c r="BR623" s="109"/>
      <c r="BS623" s="109"/>
      <c r="BT623" s="109"/>
      <c r="BU623" s="109"/>
      <c r="BV623" s="109"/>
      <c r="BW623" s="109"/>
      <c r="BX623" s="109"/>
    </row>
    <row r="624" spans="1:7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  <c r="BR624" s="109"/>
      <c r="BS624" s="109"/>
      <c r="BT624" s="109"/>
      <c r="BU624" s="109"/>
      <c r="BV624" s="109"/>
      <c r="BW624" s="109"/>
      <c r="BX624" s="109"/>
    </row>
    <row r="625" spans="1:7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  <c r="BR625" s="109"/>
      <c r="BS625" s="109"/>
      <c r="BT625" s="109"/>
      <c r="BU625" s="109"/>
      <c r="BV625" s="109"/>
      <c r="BW625" s="109"/>
      <c r="BX625" s="109"/>
    </row>
    <row r="626" spans="1:7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  <c r="BR626" s="109"/>
      <c r="BS626" s="109"/>
      <c r="BT626" s="109"/>
      <c r="BU626" s="109"/>
      <c r="BV626" s="109"/>
      <c r="BW626" s="109"/>
      <c r="BX626" s="109"/>
    </row>
    <row r="627" spans="1:7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  <c r="BR627" s="109"/>
      <c r="BS627" s="109"/>
      <c r="BT627" s="109"/>
      <c r="BU627" s="109"/>
      <c r="BV627" s="109"/>
      <c r="BW627" s="109"/>
      <c r="BX627" s="109"/>
    </row>
    <row r="628" spans="1:7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  <c r="BR628" s="109"/>
      <c r="BS628" s="109"/>
      <c r="BT628" s="109"/>
      <c r="BU628" s="109"/>
      <c r="BV628" s="109"/>
      <c r="BW628" s="109"/>
      <c r="BX628" s="109"/>
    </row>
    <row r="629" spans="1:7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  <c r="BR629" s="109"/>
      <c r="BS629" s="109"/>
      <c r="BT629" s="109"/>
      <c r="BU629" s="109"/>
      <c r="BV629" s="109"/>
      <c r="BW629" s="109"/>
      <c r="BX629" s="109"/>
    </row>
    <row r="630" spans="1:7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  <c r="BR630" s="109"/>
      <c r="BS630" s="109"/>
      <c r="BT630" s="109"/>
      <c r="BU630" s="109"/>
      <c r="BV630" s="109"/>
      <c r="BW630" s="109"/>
      <c r="BX630" s="109"/>
    </row>
    <row r="631" spans="1:7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  <c r="BR631" s="109"/>
      <c r="BS631" s="109"/>
      <c r="BT631" s="109"/>
      <c r="BU631" s="109"/>
      <c r="BV631" s="109"/>
      <c r="BW631" s="109"/>
      <c r="BX631" s="109"/>
    </row>
    <row r="632" spans="1:7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  <c r="BR632" s="109"/>
      <c r="BS632" s="109"/>
      <c r="BT632" s="109"/>
      <c r="BU632" s="109"/>
      <c r="BV632" s="109"/>
      <c r="BW632" s="109"/>
      <c r="BX632" s="109"/>
    </row>
    <row r="633" spans="1:7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  <c r="BR633" s="109"/>
      <c r="BS633" s="109"/>
      <c r="BT633" s="109"/>
      <c r="BU633" s="109"/>
      <c r="BV633" s="109"/>
      <c r="BW633" s="109"/>
      <c r="BX633" s="109"/>
    </row>
    <row r="634" spans="1:7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  <c r="BR634" s="109"/>
      <c r="BS634" s="109"/>
      <c r="BT634" s="109"/>
      <c r="BU634" s="109"/>
      <c r="BV634" s="109"/>
      <c r="BW634" s="109"/>
      <c r="BX634" s="109"/>
    </row>
    <row r="635" spans="1:7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  <c r="BR635" s="109"/>
      <c r="BS635" s="109"/>
      <c r="BT635" s="109"/>
      <c r="BU635" s="109"/>
      <c r="BV635" s="109"/>
      <c r="BW635" s="109"/>
      <c r="BX635" s="109"/>
    </row>
    <row r="636" spans="1:7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  <c r="BR636" s="109"/>
      <c r="BS636" s="109"/>
      <c r="BT636" s="109"/>
      <c r="BU636" s="109"/>
      <c r="BV636" s="109"/>
      <c r="BW636" s="109"/>
      <c r="BX636" s="109"/>
    </row>
    <row r="637" spans="1:7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  <c r="BR637" s="109"/>
      <c r="BS637" s="109"/>
      <c r="BT637" s="109"/>
      <c r="BU637" s="109"/>
      <c r="BV637" s="109"/>
      <c r="BW637" s="109"/>
      <c r="BX637" s="109"/>
    </row>
    <row r="638" spans="1:7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  <c r="BR638" s="109"/>
      <c r="BS638" s="109"/>
      <c r="BT638" s="109"/>
      <c r="BU638" s="109"/>
      <c r="BV638" s="109"/>
      <c r="BW638" s="109"/>
      <c r="BX638" s="109"/>
    </row>
    <row r="639" spans="1:7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  <c r="BR639" s="109"/>
      <c r="BS639" s="109"/>
      <c r="BT639" s="109"/>
      <c r="BU639" s="109"/>
      <c r="BV639" s="109"/>
      <c r="BW639" s="109"/>
      <c r="BX639" s="109"/>
    </row>
    <row r="640" spans="1:7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  <c r="BR640" s="109"/>
      <c r="BS640" s="109"/>
      <c r="BT640" s="109"/>
      <c r="BU640" s="109"/>
      <c r="BV640" s="109"/>
      <c r="BW640" s="109"/>
      <c r="BX640" s="109"/>
    </row>
    <row r="641" spans="1:7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  <c r="BR641" s="109"/>
      <c r="BS641" s="109"/>
      <c r="BT641" s="109"/>
      <c r="BU641" s="109"/>
      <c r="BV641" s="109"/>
      <c r="BW641" s="109"/>
      <c r="BX641" s="109"/>
    </row>
    <row r="642" spans="1:7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  <c r="BR642" s="109"/>
      <c r="BS642" s="109"/>
      <c r="BT642" s="109"/>
      <c r="BU642" s="109"/>
      <c r="BV642" s="109"/>
      <c r="BW642" s="109"/>
      <c r="BX642" s="109"/>
    </row>
    <row r="643" spans="1:7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  <c r="BR643" s="109"/>
      <c r="BS643" s="109"/>
      <c r="BT643" s="109"/>
      <c r="BU643" s="109"/>
      <c r="BV643" s="109"/>
      <c r="BW643" s="109"/>
      <c r="BX643" s="109"/>
    </row>
    <row r="644" spans="1:7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  <c r="BR644" s="109"/>
      <c r="BS644" s="109"/>
      <c r="BT644" s="109"/>
      <c r="BU644" s="109"/>
      <c r="BV644" s="109"/>
      <c r="BW644" s="109"/>
      <c r="BX644" s="109"/>
    </row>
    <row r="645" spans="1:7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  <c r="BR645" s="109"/>
      <c r="BS645" s="109"/>
      <c r="BT645" s="109"/>
      <c r="BU645" s="109"/>
      <c r="BV645" s="109"/>
      <c r="BW645" s="109"/>
      <c r="BX645" s="109"/>
    </row>
    <row r="646" spans="1:7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  <c r="BR646" s="109"/>
      <c r="BS646" s="109"/>
      <c r="BT646" s="109"/>
      <c r="BU646" s="109"/>
      <c r="BV646" s="109"/>
      <c r="BW646" s="109"/>
      <c r="BX646" s="109"/>
    </row>
    <row r="647" spans="1:7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  <c r="BR647" s="109"/>
      <c r="BS647" s="109"/>
      <c r="BT647" s="109"/>
      <c r="BU647" s="109"/>
      <c r="BV647" s="109"/>
      <c r="BW647" s="109"/>
      <c r="BX647" s="109"/>
    </row>
    <row r="648" spans="1:7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  <c r="BR648" s="109"/>
      <c r="BS648" s="109"/>
      <c r="BT648" s="109"/>
      <c r="BU648" s="109"/>
      <c r="BV648" s="109"/>
      <c r="BW648" s="109"/>
      <c r="BX648" s="109"/>
    </row>
    <row r="649" spans="1:7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  <c r="BR649" s="109"/>
      <c r="BS649" s="109"/>
      <c r="BT649" s="109"/>
      <c r="BU649" s="109"/>
      <c r="BV649" s="109"/>
      <c r="BW649" s="109"/>
      <c r="BX649" s="109"/>
    </row>
    <row r="650" spans="1:7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  <c r="BR650" s="109"/>
      <c r="BS650" s="109"/>
      <c r="BT650" s="109"/>
      <c r="BU650" s="109"/>
      <c r="BV650" s="109"/>
      <c r="BW650" s="109"/>
      <c r="BX650" s="109"/>
    </row>
    <row r="651" spans="1:7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  <c r="BR651" s="109"/>
      <c r="BS651" s="109"/>
      <c r="BT651" s="109"/>
      <c r="BU651" s="109"/>
      <c r="BV651" s="109"/>
      <c r="BW651" s="109"/>
      <c r="BX651" s="109"/>
    </row>
    <row r="652" spans="1:7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  <c r="BR652" s="109"/>
      <c r="BS652" s="109"/>
      <c r="BT652" s="109"/>
      <c r="BU652" s="109"/>
      <c r="BV652" s="109"/>
      <c r="BW652" s="109"/>
      <c r="BX652" s="109"/>
    </row>
    <row r="653" spans="1:7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  <c r="BR653" s="109"/>
      <c r="BS653" s="109"/>
      <c r="BT653" s="109"/>
      <c r="BU653" s="109"/>
      <c r="BV653" s="109"/>
      <c r="BW653" s="109"/>
      <c r="BX653" s="109"/>
    </row>
    <row r="654" spans="1:7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  <c r="BR654" s="109"/>
      <c r="BS654" s="109"/>
      <c r="BT654" s="109"/>
      <c r="BU654" s="109"/>
      <c r="BV654" s="109"/>
      <c r="BW654" s="109"/>
      <c r="BX654" s="109"/>
    </row>
    <row r="655" spans="1:7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  <c r="BR655" s="109"/>
      <c r="BS655" s="109"/>
      <c r="BT655" s="109"/>
      <c r="BU655" s="109"/>
      <c r="BV655" s="109"/>
      <c r="BW655" s="109"/>
      <c r="BX655" s="109"/>
    </row>
    <row r="656" spans="1:7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  <c r="BR656" s="109"/>
      <c r="BS656" s="109"/>
      <c r="BT656" s="109"/>
      <c r="BU656" s="109"/>
      <c r="BV656" s="109"/>
      <c r="BW656" s="109"/>
      <c r="BX656" s="109"/>
    </row>
    <row r="657" spans="1:7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  <c r="BR657" s="109"/>
      <c r="BS657" s="109"/>
      <c r="BT657" s="109"/>
      <c r="BU657" s="109"/>
      <c r="BV657" s="109"/>
      <c r="BW657" s="109"/>
      <c r="BX657" s="109"/>
    </row>
    <row r="658" spans="1:7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  <c r="BR658" s="109"/>
      <c r="BS658" s="109"/>
      <c r="BT658" s="109"/>
      <c r="BU658" s="109"/>
      <c r="BV658" s="109"/>
      <c r="BW658" s="109"/>
      <c r="BX658" s="109"/>
    </row>
    <row r="659" spans="1:7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  <c r="BR659" s="109"/>
      <c r="BS659" s="109"/>
      <c r="BT659" s="109"/>
      <c r="BU659" s="109"/>
      <c r="BV659" s="109"/>
      <c r="BW659" s="109"/>
      <c r="BX659" s="109"/>
    </row>
    <row r="660" spans="1:7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  <c r="BR660" s="109"/>
      <c r="BS660" s="109"/>
      <c r="BT660" s="109"/>
      <c r="BU660" s="109"/>
      <c r="BV660" s="109"/>
      <c r="BW660" s="109"/>
      <c r="BX660" s="109"/>
    </row>
    <row r="661" spans="1:7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  <c r="BR661" s="109"/>
      <c r="BS661" s="109"/>
      <c r="BT661" s="109"/>
      <c r="BU661" s="109"/>
      <c r="BV661" s="109"/>
      <c r="BW661" s="109"/>
      <c r="BX661" s="109"/>
    </row>
    <row r="662" spans="1:7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  <c r="BR662" s="109"/>
      <c r="BS662" s="109"/>
      <c r="BT662" s="109"/>
      <c r="BU662" s="109"/>
      <c r="BV662" s="109"/>
      <c r="BW662" s="109"/>
      <c r="BX662" s="109"/>
    </row>
    <row r="663" spans="1:7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  <c r="BR663" s="109"/>
      <c r="BS663" s="109"/>
      <c r="BT663" s="109"/>
      <c r="BU663" s="109"/>
      <c r="BV663" s="109"/>
      <c r="BW663" s="109"/>
      <c r="BX663" s="109"/>
    </row>
    <row r="664" spans="1:7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  <c r="BR664" s="109"/>
      <c r="BS664" s="109"/>
      <c r="BT664" s="109"/>
      <c r="BU664" s="109"/>
      <c r="BV664" s="109"/>
      <c r="BW664" s="109"/>
      <c r="BX664" s="109"/>
    </row>
    <row r="665" spans="1:7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  <c r="BR665" s="109"/>
      <c r="BS665" s="109"/>
      <c r="BT665" s="109"/>
      <c r="BU665" s="109"/>
      <c r="BV665" s="109"/>
      <c r="BW665" s="109"/>
      <c r="BX665" s="109"/>
    </row>
    <row r="666" spans="1:7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  <c r="BR666" s="109"/>
      <c r="BS666" s="109"/>
      <c r="BT666" s="109"/>
      <c r="BU666" s="109"/>
      <c r="BV666" s="109"/>
      <c r="BW666" s="109"/>
      <c r="BX666" s="109"/>
    </row>
    <row r="667" spans="1:7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  <c r="BR667" s="109"/>
      <c r="BS667" s="109"/>
      <c r="BT667" s="109"/>
      <c r="BU667" s="109"/>
      <c r="BV667" s="109"/>
      <c r="BW667" s="109"/>
      <c r="BX667" s="109"/>
    </row>
    <row r="668" spans="1:7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  <c r="BR668" s="109"/>
      <c r="BS668" s="109"/>
      <c r="BT668" s="109"/>
      <c r="BU668" s="109"/>
      <c r="BV668" s="109"/>
      <c r="BW668" s="109"/>
      <c r="BX668" s="109"/>
    </row>
    <row r="669" spans="1:7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  <c r="BR669" s="109"/>
      <c r="BS669" s="109"/>
      <c r="BT669" s="109"/>
      <c r="BU669" s="109"/>
      <c r="BV669" s="109"/>
      <c r="BW669" s="109"/>
      <c r="BX669" s="109"/>
    </row>
    <row r="670" spans="1:7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  <c r="BR670" s="109"/>
      <c r="BS670" s="109"/>
      <c r="BT670" s="109"/>
      <c r="BU670" s="109"/>
      <c r="BV670" s="109"/>
      <c r="BW670" s="109"/>
      <c r="BX670" s="109"/>
    </row>
    <row r="671" spans="1:7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  <c r="BR671" s="109"/>
      <c r="BS671" s="109"/>
      <c r="BT671" s="109"/>
      <c r="BU671" s="109"/>
      <c r="BV671" s="109"/>
      <c r="BW671" s="109"/>
      <c r="BX671" s="109"/>
    </row>
    <row r="672" spans="1:7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  <c r="BR672" s="109"/>
      <c r="BS672" s="109"/>
      <c r="BT672" s="109"/>
      <c r="BU672" s="109"/>
      <c r="BV672" s="109"/>
      <c r="BW672" s="109"/>
      <c r="BX672" s="109"/>
    </row>
    <row r="673" spans="1:7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  <c r="BR673" s="109"/>
      <c r="BS673" s="109"/>
      <c r="BT673" s="109"/>
      <c r="BU673" s="109"/>
      <c r="BV673" s="109"/>
      <c r="BW673" s="109"/>
      <c r="BX673" s="109"/>
    </row>
    <row r="674" spans="1:7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  <c r="BR674" s="109"/>
      <c r="BS674" s="109"/>
      <c r="BT674" s="109"/>
      <c r="BU674" s="109"/>
      <c r="BV674" s="109"/>
      <c r="BW674" s="109"/>
      <c r="BX674" s="109"/>
    </row>
    <row r="675" spans="1:7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  <c r="BR675" s="109"/>
      <c r="BS675" s="109"/>
      <c r="BT675" s="109"/>
      <c r="BU675" s="109"/>
      <c r="BV675" s="109"/>
      <c r="BW675" s="109"/>
      <c r="BX675" s="109"/>
    </row>
    <row r="676" spans="1:7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  <c r="BR676" s="109"/>
      <c r="BS676" s="109"/>
      <c r="BT676" s="109"/>
      <c r="BU676" s="109"/>
      <c r="BV676" s="109"/>
      <c r="BW676" s="109"/>
      <c r="BX676" s="109"/>
    </row>
    <row r="677" spans="1:7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  <c r="BR677" s="109"/>
      <c r="BS677" s="109"/>
      <c r="BT677" s="109"/>
      <c r="BU677" s="109"/>
      <c r="BV677" s="109"/>
      <c r="BW677" s="109"/>
      <c r="BX677" s="109"/>
    </row>
    <row r="678" spans="1:7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  <c r="BR678" s="109"/>
      <c r="BS678" s="109"/>
      <c r="BT678" s="109"/>
      <c r="BU678" s="109"/>
      <c r="BV678" s="109"/>
      <c r="BW678" s="109"/>
      <c r="BX678" s="109"/>
    </row>
    <row r="679" spans="1:7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  <c r="BR679" s="109"/>
      <c r="BS679" s="109"/>
      <c r="BT679" s="109"/>
      <c r="BU679" s="109"/>
      <c r="BV679" s="109"/>
      <c r="BW679" s="109"/>
      <c r="BX679" s="109"/>
    </row>
    <row r="680" spans="1:7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  <c r="BR680" s="109"/>
      <c r="BS680" s="109"/>
      <c r="BT680" s="109"/>
      <c r="BU680" s="109"/>
      <c r="BV680" s="109"/>
      <c r="BW680" s="109"/>
      <c r="BX680" s="109"/>
    </row>
    <row r="681" spans="1:7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  <c r="BR681" s="109"/>
      <c r="BS681" s="109"/>
      <c r="BT681" s="109"/>
      <c r="BU681" s="109"/>
      <c r="BV681" s="109"/>
      <c r="BW681" s="109"/>
      <c r="BX681" s="109"/>
    </row>
    <row r="682" spans="1:7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  <c r="BR682" s="109"/>
      <c r="BS682" s="109"/>
      <c r="BT682" s="109"/>
      <c r="BU682" s="109"/>
      <c r="BV682" s="109"/>
      <c r="BW682" s="109"/>
      <c r="BX682" s="109"/>
    </row>
    <row r="683" spans="1:7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  <c r="BR683" s="109"/>
      <c r="BS683" s="109"/>
      <c r="BT683" s="109"/>
      <c r="BU683" s="109"/>
      <c r="BV683" s="109"/>
      <c r="BW683" s="109"/>
      <c r="BX683" s="109"/>
    </row>
    <row r="684" spans="1:7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  <c r="BR684" s="109"/>
      <c r="BS684" s="109"/>
      <c r="BT684" s="109"/>
      <c r="BU684" s="109"/>
      <c r="BV684" s="109"/>
      <c r="BW684" s="109"/>
      <c r="BX684" s="109"/>
    </row>
    <row r="685" spans="1:7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  <c r="BR685" s="109"/>
      <c r="BS685" s="109"/>
      <c r="BT685" s="109"/>
      <c r="BU685" s="109"/>
      <c r="BV685" s="109"/>
      <c r="BW685" s="109"/>
      <c r="BX685" s="109"/>
    </row>
    <row r="686" spans="1:7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  <c r="BR686" s="109"/>
      <c r="BS686" s="109"/>
      <c r="BT686" s="109"/>
      <c r="BU686" s="109"/>
      <c r="BV686" s="109"/>
      <c r="BW686" s="109"/>
      <c r="BX686" s="109"/>
    </row>
    <row r="687" spans="1:7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  <c r="BR687" s="109"/>
      <c r="BS687" s="109"/>
      <c r="BT687" s="109"/>
      <c r="BU687" s="109"/>
      <c r="BV687" s="109"/>
      <c r="BW687" s="109"/>
      <c r="BX687" s="109"/>
    </row>
    <row r="688" spans="1:7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  <c r="BR688" s="109"/>
      <c r="BS688" s="109"/>
      <c r="BT688" s="109"/>
      <c r="BU688" s="109"/>
      <c r="BV688" s="109"/>
      <c r="BW688" s="109"/>
      <c r="BX688" s="109"/>
    </row>
    <row r="689" spans="1:7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  <c r="BR689" s="109"/>
      <c r="BS689" s="109"/>
      <c r="BT689" s="109"/>
      <c r="BU689" s="109"/>
      <c r="BV689" s="109"/>
      <c r="BW689" s="109"/>
      <c r="BX689" s="109"/>
    </row>
    <row r="690" spans="1:7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  <c r="BR690" s="109"/>
      <c r="BS690" s="109"/>
      <c r="BT690" s="109"/>
      <c r="BU690" s="109"/>
      <c r="BV690" s="109"/>
      <c r="BW690" s="109"/>
      <c r="BX690" s="109"/>
    </row>
    <row r="691" spans="1:7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  <c r="BR691" s="109"/>
      <c r="BS691" s="109"/>
      <c r="BT691" s="109"/>
      <c r="BU691" s="109"/>
      <c r="BV691" s="109"/>
      <c r="BW691" s="109"/>
      <c r="BX691" s="109"/>
    </row>
    <row r="692" spans="1:7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  <c r="BR692" s="109"/>
      <c r="BS692" s="109"/>
      <c r="BT692" s="109"/>
      <c r="BU692" s="109"/>
      <c r="BV692" s="109"/>
      <c r="BW692" s="109"/>
      <c r="BX692" s="109"/>
    </row>
    <row r="693" spans="1:7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  <c r="BR693" s="109"/>
      <c r="BS693" s="109"/>
      <c r="BT693" s="109"/>
      <c r="BU693" s="109"/>
      <c r="BV693" s="109"/>
      <c r="BW693" s="109"/>
      <c r="BX693" s="109"/>
    </row>
    <row r="694" spans="1:7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  <c r="BR694" s="109"/>
      <c r="BS694" s="109"/>
      <c r="BT694" s="109"/>
      <c r="BU694" s="109"/>
      <c r="BV694" s="109"/>
      <c r="BW694" s="109"/>
      <c r="BX694" s="109"/>
    </row>
    <row r="695" spans="1:7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  <c r="BR695" s="109"/>
      <c r="BS695" s="109"/>
      <c r="BT695" s="109"/>
      <c r="BU695" s="109"/>
      <c r="BV695" s="109"/>
      <c r="BW695" s="109"/>
      <c r="BX695" s="109"/>
    </row>
    <row r="696" spans="1:7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  <c r="BR696" s="109"/>
      <c r="BS696" s="109"/>
      <c r="BT696" s="109"/>
      <c r="BU696" s="109"/>
      <c r="BV696" s="109"/>
      <c r="BW696" s="109"/>
      <c r="BX696" s="109"/>
    </row>
    <row r="697" spans="1:7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  <c r="BR697" s="109"/>
      <c r="BS697" s="109"/>
      <c r="BT697" s="109"/>
      <c r="BU697" s="109"/>
      <c r="BV697" s="109"/>
      <c r="BW697" s="109"/>
      <c r="BX697" s="109"/>
    </row>
    <row r="698" spans="1:7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  <c r="BR698" s="109"/>
      <c r="BS698" s="109"/>
      <c r="BT698" s="109"/>
      <c r="BU698" s="109"/>
      <c r="BV698" s="109"/>
      <c r="BW698" s="109"/>
      <c r="BX698" s="109"/>
    </row>
    <row r="699" spans="1:7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  <c r="BR699" s="109"/>
      <c r="BS699" s="109"/>
      <c r="BT699" s="109"/>
      <c r="BU699" s="109"/>
      <c r="BV699" s="109"/>
      <c r="BW699" s="109"/>
      <c r="BX699" s="109"/>
    </row>
    <row r="700" spans="1:7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  <c r="BR700" s="109"/>
      <c r="BS700" s="109"/>
      <c r="BT700" s="109"/>
      <c r="BU700" s="109"/>
      <c r="BV700" s="109"/>
      <c r="BW700" s="109"/>
      <c r="BX700" s="109"/>
    </row>
    <row r="701" spans="1:7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  <c r="BR701" s="109"/>
      <c r="BS701" s="109"/>
      <c r="BT701" s="109"/>
      <c r="BU701" s="109"/>
      <c r="BV701" s="109"/>
      <c r="BW701" s="109"/>
      <c r="BX701" s="109"/>
    </row>
    <row r="702" spans="1:7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  <c r="BR702" s="109"/>
      <c r="BS702" s="109"/>
      <c r="BT702" s="109"/>
      <c r="BU702" s="109"/>
      <c r="BV702" s="109"/>
      <c r="BW702" s="109"/>
      <c r="BX702" s="109"/>
    </row>
    <row r="703" spans="1:7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  <c r="BR703" s="109"/>
      <c r="BS703" s="109"/>
      <c r="BT703" s="109"/>
      <c r="BU703" s="109"/>
      <c r="BV703" s="109"/>
      <c r="BW703" s="109"/>
      <c r="BX703" s="109"/>
    </row>
    <row r="704" spans="1:7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  <c r="BR704" s="109"/>
      <c r="BS704" s="109"/>
      <c r="BT704" s="109"/>
      <c r="BU704" s="109"/>
      <c r="BV704" s="109"/>
      <c r="BW704" s="109"/>
      <c r="BX704" s="109"/>
    </row>
    <row r="705" spans="1:7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  <c r="BR705" s="109"/>
      <c r="BS705" s="109"/>
      <c r="BT705" s="109"/>
      <c r="BU705" s="109"/>
      <c r="BV705" s="109"/>
      <c r="BW705" s="109"/>
      <c r="BX705" s="109"/>
    </row>
    <row r="706" spans="1:7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  <c r="BR706" s="109"/>
      <c r="BS706" s="109"/>
      <c r="BT706" s="109"/>
      <c r="BU706" s="109"/>
      <c r="BV706" s="109"/>
      <c r="BW706" s="109"/>
      <c r="BX706" s="109"/>
    </row>
    <row r="707" spans="1:7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  <c r="BR707" s="109"/>
      <c r="BS707" s="109"/>
      <c r="BT707" s="109"/>
      <c r="BU707" s="109"/>
      <c r="BV707" s="109"/>
      <c r="BW707" s="109"/>
      <c r="BX707" s="109"/>
    </row>
    <row r="708" spans="1:7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  <c r="BR708" s="109"/>
      <c r="BS708" s="109"/>
      <c r="BT708" s="109"/>
      <c r="BU708" s="109"/>
      <c r="BV708" s="109"/>
      <c r="BW708" s="109"/>
      <c r="BX708" s="109"/>
    </row>
    <row r="709" spans="1:7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  <c r="BR709" s="109"/>
      <c r="BS709" s="109"/>
      <c r="BT709" s="109"/>
      <c r="BU709" s="109"/>
      <c r="BV709" s="109"/>
      <c r="BW709" s="109"/>
      <c r="BX709" s="109"/>
    </row>
    <row r="710" spans="1:7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  <c r="BR710" s="109"/>
      <c r="BS710" s="109"/>
      <c r="BT710" s="109"/>
      <c r="BU710" s="109"/>
      <c r="BV710" s="109"/>
      <c r="BW710" s="109"/>
      <c r="BX710" s="109"/>
    </row>
    <row r="711" spans="1:7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  <c r="BR711" s="109"/>
      <c r="BS711" s="109"/>
      <c r="BT711" s="109"/>
      <c r="BU711" s="109"/>
      <c r="BV711" s="109"/>
      <c r="BW711" s="109"/>
      <c r="BX711" s="109"/>
    </row>
    <row r="712" spans="1:7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  <c r="BR712" s="109"/>
      <c r="BS712" s="109"/>
      <c r="BT712" s="109"/>
      <c r="BU712" s="109"/>
      <c r="BV712" s="109"/>
      <c r="BW712" s="109"/>
      <c r="BX712" s="109"/>
    </row>
    <row r="713" spans="1:7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  <c r="BR713" s="109"/>
      <c r="BS713" s="109"/>
      <c r="BT713" s="109"/>
      <c r="BU713" s="109"/>
      <c r="BV713" s="109"/>
      <c r="BW713" s="109"/>
      <c r="BX713" s="109"/>
    </row>
    <row r="714" spans="1:7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  <c r="BR714" s="109"/>
      <c r="BS714" s="109"/>
      <c r="BT714" s="109"/>
      <c r="BU714" s="109"/>
      <c r="BV714" s="109"/>
      <c r="BW714" s="109"/>
      <c r="BX714" s="109"/>
    </row>
    <row r="715" spans="1:7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  <c r="BR715" s="109"/>
      <c r="BS715" s="109"/>
      <c r="BT715" s="109"/>
      <c r="BU715" s="109"/>
      <c r="BV715" s="109"/>
      <c r="BW715" s="109"/>
      <c r="BX715" s="109"/>
    </row>
    <row r="716" spans="1:7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  <c r="BR716" s="109"/>
      <c r="BS716" s="109"/>
      <c r="BT716" s="109"/>
      <c r="BU716" s="109"/>
      <c r="BV716" s="109"/>
      <c r="BW716" s="109"/>
      <c r="BX716" s="109"/>
    </row>
    <row r="717" spans="1:7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  <c r="BR717" s="109"/>
      <c r="BS717" s="109"/>
      <c r="BT717" s="109"/>
      <c r="BU717" s="109"/>
      <c r="BV717" s="109"/>
      <c r="BW717" s="109"/>
      <c r="BX717" s="109"/>
    </row>
    <row r="718" spans="1:7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  <c r="BR718" s="109"/>
      <c r="BS718" s="109"/>
      <c r="BT718" s="109"/>
      <c r="BU718" s="109"/>
      <c r="BV718" s="109"/>
      <c r="BW718" s="109"/>
      <c r="BX718" s="109"/>
    </row>
    <row r="719" spans="1:7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  <c r="BR719" s="109"/>
      <c r="BS719" s="109"/>
      <c r="BT719" s="109"/>
      <c r="BU719" s="109"/>
      <c r="BV719" s="109"/>
      <c r="BW719" s="109"/>
      <c r="BX719" s="109"/>
    </row>
    <row r="720" spans="1:7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  <c r="BR720" s="109"/>
      <c r="BS720" s="109"/>
      <c r="BT720" s="109"/>
      <c r="BU720" s="109"/>
      <c r="BV720" s="109"/>
      <c r="BW720" s="109"/>
      <c r="BX720" s="109"/>
    </row>
    <row r="721" spans="1:7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  <c r="BR721" s="109"/>
      <c r="BS721" s="109"/>
      <c r="BT721" s="109"/>
      <c r="BU721" s="109"/>
      <c r="BV721" s="109"/>
      <c r="BW721" s="109"/>
      <c r="BX721" s="109"/>
    </row>
    <row r="722" spans="1:7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  <c r="BR722" s="109"/>
      <c r="BS722" s="109"/>
      <c r="BT722" s="109"/>
      <c r="BU722" s="109"/>
      <c r="BV722" s="109"/>
      <c r="BW722" s="109"/>
      <c r="BX722" s="109"/>
    </row>
    <row r="723" spans="1:7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  <c r="BR723" s="109"/>
      <c r="BS723" s="109"/>
      <c r="BT723" s="109"/>
      <c r="BU723" s="109"/>
      <c r="BV723" s="109"/>
      <c r="BW723" s="109"/>
      <c r="BX723" s="109"/>
    </row>
    <row r="724" spans="1:7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  <c r="BR724" s="109"/>
      <c r="BS724" s="109"/>
      <c r="BT724" s="109"/>
      <c r="BU724" s="109"/>
      <c r="BV724" s="109"/>
      <c r="BW724" s="109"/>
      <c r="BX724" s="109"/>
    </row>
    <row r="725" spans="1:7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  <c r="BR725" s="109"/>
      <c r="BS725" s="109"/>
      <c r="BT725" s="109"/>
      <c r="BU725" s="109"/>
      <c r="BV725" s="109"/>
      <c r="BW725" s="109"/>
      <c r="BX725" s="109"/>
    </row>
    <row r="726" spans="1:7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  <c r="BR726" s="109"/>
      <c r="BS726" s="109"/>
      <c r="BT726" s="109"/>
      <c r="BU726" s="109"/>
      <c r="BV726" s="109"/>
      <c r="BW726" s="109"/>
      <c r="BX726" s="109"/>
    </row>
    <row r="727" spans="1:7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  <c r="BR727" s="109"/>
      <c r="BS727" s="109"/>
      <c r="BT727" s="109"/>
      <c r="BU727" s="109"/>
      <c r="BV727" s="109"/>
      <c r="BW727" s="109"/>
      <c r="BX727" s="109"/>
    </row>
    <row r="728" spans="1:7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  <c r="BR728" s="109"/>
      <c r="BS728" s="109"/>
      <c r="BT728" s="109"/>
      <c r="BU728" s="109"/>
      <c r="BV728" s="109"/>
      <c r="BW728" s="109"/>
      <c r="BX728" s="109"/>
    </row>
    <row r="729" spans="1:7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  <c r="BR729" s="109"/>
      <c r="BS729" s="109"/>
      <c r="BT729" s="109"/>
      <c r="BU729" s="109"/>
      <c r="BV729" s="109"/>
      <c r="BW729" s="109"/>
      <c r="BX729" s="109"/>
    </row>
    <row r="730" spans="1:7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  <c r="BR730" s="109"/>
      <c r="BS730" s="109"/>
      <c r="BT730" s="109"/>
      <c r="BU730" s="109"/>
      <c r="BV730" s="109"/>
      <c r="BW730" s="109"/>
      <c r="BX730" s="109"/>
    </row>
    <row r="731" spans="1:7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  <c r="BR731" s="109"/>
      <c r="BS731" s="109"/>
      <c r="BT731" s="109"/>
      <c r="BU731" s="109"/>
      <c r="BV731" s="109"/>
      <c r="BW731" s="109"/>
      <c r="BX731" s="109"/>
    </row>
    <row r="732" spans="1:7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  <c r="BR732" s="109"/>
      <c r="BS732" s="109"/>
      <c r="BT732" s="109"/>
      <c r="BU732" s="109"/>
      <c r="BV732" s="109"/>
      <c r="BW732" s="109"/>
      <c r="BX732" s="109"/>
    </row>
    <row r="733" spans="1:7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  <c r="BR733" s="109"/>
      <c r="BS733" s="109"/>
      <c r="BT733" s="109"/>
      <c r="BU733" s="109"/>
      <c r="BV733" s="109"/>
      <c r="BW733" s="109"/>
      <c r="BX733" s="109"/>
    </row>
    <row r="734" spans="1:7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  <c r="BR734" s="109"/>
      <c r="BS734" s="109"/>
      <c r="BT734" s="109"/>
      <c r="BU734" s="109"/>
      <c r="BV734" s="109"/>
      <c r="BW734" s="109"/>
      <c r="BX734" s="109"/>
    </row>
    <row r="735" spans="1:7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  <c r="BR735" s="109"/>
      <c r="BS735" s="109"/>
      <c r="BT735" s="109"/>
      <c r="BU735" s="109"/>
      <c r="BV735" s="109"/>
      <c r="BW735" s="109"/>
      <c r="BX735" s="109"/>
    </row>
    <row r="736" spans="1:7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  <c r="BR736" s="109"/>
      <c r="BS736" s="109"/>
      <c r="BT736" s="109"/>
      <c r="BU736" s="109"/>
      <c r="BV736" s="109"/>
      <c r="BW736" s="109"/>
      <c r="BX736" s="109"/>
    </row>
    <row r="737" spans="1:7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  <c r="BR737" s="109"/>
      <c r="BS737" s="109"/>
      <c r="BT737" s="109"/>
      <c r="BU737" s="109"/>
      <c r="BV737" s="109"/>
      <c r="BW737" s="109"/>
      <c r="BX737" s="109"/>
    </row>
    <row r="738" spans="1:7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  <c r="BR738" s="109"/>
      <c r="BS738" s="109"/>
      <c r="BT738" s="109"/>
      <c r="BU738" s="109"/>
      <c r="BV738" s="109"/>
      <c r="BW738" s="109"/>
      <c r="BX738" s="109"/>
    </row>
    <row r="739" spans="1:7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  <c r="BR739" s="109"/>
      <c r="BS739" s="109"/>
      <c r="BT739" s="109"/>
      <c r="BU739" s="109"/>
      <c r="BV739" s="109"/>
      <c r="BW739" s="109"/>
      <c r="BX739" s="109"/>
    </row>
    <row r="740" spans="1:7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  <c r="BR740" s="109"/>
      <c r="BS740" s="109"/>
      <c r="BT740" s="109"/>
      <c r="BU740" s="109"/>
      <c r="BV740" s="109"/>
      <c r="BW740" s="109"/>
      <c r="BX740" s="109"/>
    </row>
    <row r="741" spans="1:7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  <c r="BR741" s="109"/>
      <c r="BS741" s="109"/>
      <c r="BT741" s="109"/>
      <c r="BU741" s="109"/>
      <c r="BV741" s="109"/>
      <c r="BW741" s="109"/>
      <c r="BX741" s="109"/>
    </row>
    <row r="742" spans="1:7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  <c r="BR742" s="109"/>
      <c r="BS742" s="109"/>
      <c r="BT742" s="109"/>
      <c r="BU742" s="109"/>
      <c r="BV742" s="109"/>
      <c r="BW742" s="109"/>
      <c r="BX742" s="109"/>
    </row>
    <row r="743" spans="1:7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  <c r="BR743" s="109"/>
      <c r="BS743" s="109"/>
      <c r="BT743" s="109"/>
      <c r="BU743" s="109"/>
      <c r="BV743" s="109"/>
      <c r="BW743" s="109"/>
      <c r="BX743" s="109"/>
    </row>
    <row r="744" spans="1:7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  <c r="BR744" s="109"/>
      <c r="BS744" s="109"/>
      <c r="BT744" s="109"/>
      <c r="BU744" s="109"/>
      <c r="BV744" s="109"/>
      <c r="BW744" s="109"/>
      <c r="BX744" s="109"/>
    </row>
    <row r="745" spans="1:7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  <c r="BR745" s="109"/>
      <c r="BS745" s="109"/>
      <c r="BT745" s="109"/>
      <c r="BU745" s="109"/>
      <c r="BV745" s="109"/>
      <c r="BW745" s="109"/>
      <c r="BX745" s="109"/>
    </row>
    <row r="746" spans="1:7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  <c r="BR746" s="109"/>
      <c r="BS746" s="109"/>
      <c r="BT746" s="109"/>
      <c r="BU746" s="109"/>
      <c r="BV746" s="109"/>
      <c r="BW746" s="109"/>
      <c r="BX746" s="109"/>
    </row>
    <row r="747" spans="1:7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  <c r="BR747" s="109"/>
      <c r="BS747" s="109"/>
      <c r="BT747" s="109"/>
      <c r="BU747" s="109"/>
      <c r="BV747" s="109"/>
      <c r="BW747" s="109"/>
      <c r="BX747" s="109"/>
    </row>
    <row r="748" spans="1:7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  <c r="BR748" s="109"/>
      <c r="BS748" s="109"/>
      <c r="BT748" s="109"/>
      <c r="BU748" s="109"/>
      <c r="BV748" s="109"/>
      <c r="BW748" s="109"/>
      <c r="BX748" s="109"/>
    </row>
    <row r="749" spans="1:7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  <c r="BR749" s="109"/>
      <c r="BS749" s="109"/>
      <c r="BT749" s="109"/>
      <c r="BU749" s="109"/>
      <c r="BV749" s="109"/>
      <c r="BW749" s="109"/>
      <c r="BX749" s="109"/>
    </row>
    <row r="750" spans="1:7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  <c r="BR750" s="109"/>
      <c r="BS750" s="109"/>
      <c r="BT750" s="109"/>
      <c r="BU750" s="109"/>
      <c r="BV750" s="109"/>
      <c r="BW750" s="109"/>
      <c r="BX750" s="109"/>
    </row>
    <row r="751" spans="1:7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  <c r="BR751" s="109"/>
      <c r="BS751" s="109"/>
      <c r="BT751" s="109"/>
      <c r="BU751" s="109"/>
      <c r="BV751" s="109"/>
      <c r="BW751" s="109"/>
      <c r="BX751" s="109"/>
    </row>
    <row r="752" spans="1:7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  <c r="BR752" s="109"/>
      <c r="BS752" s="109"/>
      <c r="BT752" s="109"/>
      <c r="BU752" s="109"/>
      <c r="BV752" s="109"/>
      <c r="BW752" s="109"/>
      <c r="BX752" s="109"/>
    </row>
    <row r="753" spans="1:7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  <c r="BR753" s="109"/>
      <c r="BS753" s="109"/>
      <c r="BT753" s="109"/>
      <c r="BU753" s="109"/>
      <c r="BV753" s="109"/>
      <c r="BW753" s="109"/>
      <c r="BX753" s="109"/>
    </row>
    <row r="754" spans="1:7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  <c r="BR754" s="109"/>
      <c r="BS754" s="109"/>
      <c r="BT754" s="109"/>
      <c r="BU754" s="109"/>
      <c r="BV754" s="109"/>
      <c r="BW754" s="109"/>
      <c r="BX754" s="109"/>
    </row>
    <row r="755" spans="1:7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  <c r="BR755" s="109"/>
      <c r="BS755" s="109"/>
      <c r="BT755" s="109"/>
      <c r="BU755" s="109"/>
      <c r="BV755" s="109"/>
      <c r="BW755" s="109"/>
      <c r="BX755" s="109"/>
    </row>
    <row r="756" spans="1:7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  <c r="BR756" s="109"/>
      <c r="BS756" s="109"/>
      <c r="BT756" s="109"/>
      <c r="BU756" s="109"/>
      <c r="BV756" s="109"/>
      <c r="BW756" s="109"/>
      <c r="BX756" s="109"/>
    </row>
    <row r="757" spans="1:7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  <c r="BR757" s="109"/>
      <c r="BS757" s="109"/>
      <c r="BT757" s="109"/>
      <c r="BU757" s="109"/>
      <c r="BV757" s="109"/>
      <c r="BW757" s="109"/>
      <c r="BX757" s="109"/>
    </row>
    <row r="758" spans="1:7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  <c r="BR758" s="109"/>
      <c r="BS758" s="109"/>
      <c r="BT758" s="109"/>
      <c r="BU758" s="109"/>
      <c r="BV758" s="109"/>
      <c r="BW758" s="109"/>
      <c r="BX758" s="109"/>
    </row>
    <row r="759" spans="1:7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  <c r="BR759" s="109"/>
      <c r="BS759" s="109"/>
      <c r="BT759" s="109"/>
      <c r="BU759" s="109"/>
      <c r="BV759" s="109"/>
      <c r="BW759" s="109"/>
      <c r="BX759" s="109"/>
    </row>
    <row r="760" spans="1:7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  <c r="BR760" s="109"/>
      <c r="BS760" s="109"/>
      <c r="BT760" s="109"/>
      <c r="BU760" s="109"/>
      <c r="BV760" s="109"/>
      <c r="BW760" s="109"/>
      <c r="BX760" s="109"/>
    </row>
    <row r="761" spans="1:7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  <c r="BR761" s="109"/>
      <c r="BS761" s="109"/>
      <c r="BT761" s="109"/>
      <c r="BU761" s="109"/>
      <c r="BV761" s="109"/>
      <c r="BW761" s="109"/>
      <c r="BX761" s="109"/>
    </row>
    <row r="762" spans="1:7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  <c r="BR762" s="109"/>
      <c r="BS762" s="109"/>
      <c r="BT762" s="109"/>
      <c r="BU762" s="109"/>
      <c r="BV762" s="109"/>
      <c r="BW762" s="109"/>
      <c r="BX762" s="109"/>
    </row>
    <row r="763" spans="1:7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  <c r="BR763" s="109"/>
      <c r="BS763" s="109"/>
      <c r="BT763" s="109"/>
      <c r="BU763" s="109"/>
      <c r="BV763" s="109"/>
      <c r="BW763" s="109"/>
      <c r="BX763" s="109"/>
    </row>
    <row r="764" spans="1:7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  <c r="BR764" s="109"/>
      <c r="BS764" s="109"/>
      <c r="BT764" s="109"/>
      <c r="BU764" s="109"/>
      <c r="BV764" s="109"/>
      <c r="BW764" s="109"/>
      <c r="BX764" s="109"/>
    </row>
    <row r="765" spans="1:7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  <c r="BR765" s="109"/>
      <c r="BS765" s="109"/>
      <c r="BT765" s="109"/>
      <c r="BU765" s="109"/>
      <c r="BV765" s="109"/>
      <c r="BW765" s="109"/>
      <c r="BX765" s="109"/>
    </row>
    <row r="766" spans="1:7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  <c r="BR766" s="109"/>
      <c r="BS766" s="109"/>
      <c r="BT766" s="109"/>
      <c r="BU766" s="109"/>
      <c r="BV766" s="109"/>
      <c r="BW766" s="109"/>
      <c r="BX766" s="109"/>
    </row>
    <row r="767" spans="1:7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  <c r="BR767" s="109"/>
      <c r="BS767" s="109"/>
      <c r="BT767" s="109"/>
      <c r="BU767" s="109"/>
      <c r="BV767" s="109"/>
      <c r="BW767" s="109"/>
      <c r="BX767" s="109"/>
    </row>
    <row r="768" spans="1:7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  <c r="BR768" s="109"/>
      <c r="BS768" s="109"/>
      <c r="BT768" s="109"/>
      <c r="BU768" s="109"/>
      <c r="BV768" s="109"/>
      <c r="BW768" s="109"/>
      <c r="BX768" s="109"/>
    </row>
    <row r="769" spans="1:7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  <c r="BR769" s="109"/>
      <c r="BS769" s="109"/>
      <c r="BT769" s="109"/>
      <c r="BU769" s="109"/>
      <c r="BV769" s="109"/>
      <c r="BW769" s="109"/>
      <c r="BX769" s="109"/>
    </row>
    <row r="770" spans="1:7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  <c r="BR770" s="109"/>
      <c r="BS770" s="109"/>
      <c r="BT770" s="109"/>
      <c r="BU770" s="109"/>
      <c r="BV770" s="109"/>
      <c r="BW770" s="109"/>
      <c r="BX770" s="109"/>
    </row>
    <row r="771" spans="1:7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  <c r="BR771" s="109"/>
      <c r="BS771" s="109"/>
      <c r="BT771" s="109"/>
      <c r="BU771" s="109"/>
      <c r="BV771" s="109"/>
      <c r="BW771" s="109"/>
      <c r="BX771" s="109"/>
    </row>
    <row r="772" spans="1:7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  <c r="BR772" s="109"/>
      <c r="BS772" s="109"/>
      <c r="BT772" s="109"/>
      <c r="BU772" s="109"/>
      <c r="BV772" s="109"/>
      <c r="BW772" s="109"/>
      <c r="BX772" s="109"/>
    </row>
    <row r="773" spans="1:7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  <c r="BR773" s="109"/>
      <c r="BS773" s="109"/>
      <c r="BT773" s="109"/>
      <c r="BU773" s="109"/>
      <c r="BV773" s="109"/>
      <c r="BW773" s="109"/>
      <c r="BX773" s="109"/>
    </row>
    <row r="774" spans="1:7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  <c r="BR774" s="109"/>
      <c r="BS774" s="109"/>
      <c r="BT774" s="109"/>
      <c r="BU774" s="109"/>
      <c r="BV774" s="109"/>
      <c r="BW774" s="109"/>
      <c r="BX774" s="109"/>
    </row>
    <row r="775" spans="1:7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  <c r="BR775" s="109"/>
      <c r="BS775" s="109"/>
      <c r="BT775" s="109"/>
      <c r="BU775" s="109"/>
      <c r="BV775" s="109"/>
      <c r="BW775" s="109"/>
      <c r="BX775" s="109"/>
    </row>
    <row r="776" spans="1:7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  <c r="BR776" s="109"/>
      <c r="BS776" s="109"/>
      <c r="BT776" s="109"/>
      <c r="BU776" s="109"/>
      <c r="BV776" s="109"/>
      <c r="BW776" s="109"/>
      <c r="BX776" s="109"/>
    </row>
    <row r="777" spans="1:7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  <c r="BR777" s="109"/>
      <c r="BS777" s="109"/>
      <c r="BT777" s="109"/>
      <c r="BU777" s="109"/>
      <c r="BV777" s="109"/>
      <c r="BW777" s="109"/>
      <c r="BX777" s="109"/>
    </row>
    <row r="778" spans="1:7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  <c r="BR778" s="109"/>
      <c r="BS778" s="109"/>
      <c r="BT778" s="109"/>
      <c r="BU778" s="109"/>
      <c r="BV778" s="109"/>
      <c r="BW778" s="109"/>
      <c r="BX778" s="109"/>
    </row>
    <row r="779" spans="1:7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  <c r="BR779" s="109"/>
      <c r="BS779" s="109"/>
      <c r="BT779" s="109"/>
      <c r="BU779" s="109"/>
      <c r="BV779" s="109"/>
      <c r="BW779" s="109"/>
      <c r="BX779" s="109"/>
    </row>
    <row r="780" spans="1:7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  <c r="BR780" s="109"/>
      <c r="BS780" s="109"/>
      <c r="BT780" s="109"/>
      <c r="BU780" s="109"/>
      <c r="BV780" s="109"/>
      <c r="BW780" s="109"/>
      <c r="BX780" s="109"/>
    </row>
    <row r="781" spans="1:7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  <c r="BR781" s="109"/>
      <c r="BS781" s="109"/>
      <c r="BT781" s="109"/>
      <c r="BU781" s="109"/>
      <c r="BV781" s="109"/>
      <c r="BW781" s="109"/>
      <c r="BX781" s="109"/>
    </row>
    <row r="782" spans="1:7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  <c r="BR782" s="109"/>
      <c r="BS782" s="109"/>
      <c r="BT782" s="109"/>
      <c r="BU782" s="109"/>
      <c r="BV782" s="109"/>
      <c r="BW782" s="109"/>
      <c r="BX782" s="109"/>
    </row>
    <row r="783" spans="1:7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  <c r="BR783" s="109"/>
      <c r="BS783" s="109"/>
      <c r="BT783" s="109"/>
      <c r="BU783" s="109"/>
      <c r="BV783" s="109"/>
      <c r="BW783" s="109"/>
      <c r="BX783" s="109"/>
    </row>
    <row r="784" spans="1:7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  <c r="BR784" s="109"/>
      <c r="BS784" s="109"/>
      <c r="BT784" s="109"/>
      <c r="BU784" s="109"/>
      <c r="BV784" s="109"/>
      <c r="BW784" s="109"/>
      <c r="BX784" s="109"/>
    </row>
    <row r="785" spans="1:7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  <c r="BR785" s="109"/>
      <c r="BS785" s="109"/>
      <c r="BT785" s="109"/>
      <c r="BU785" s="109"/>
      <c r="BV785" s="109"/>
      <c r="BW785" s="109"/>
      <c r="BX785" s="109"/>
    </row>
    <row r="786" spans="1:7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  <c r="BR786" s="109"/>
      <c r="BS786" s="109"/>
      <c r="BT786" s="109"/>
      <c r="BU786" s="109"/>
      <c r="BV786" s="109"/>
      <c r="BW786" s="109"/>
      <c r="BX786" s="109"/>
    </row>
    <row r="787" spans="1:7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  <c r="BR787" s="109"/>
      <c r="BS787" s="109"/>
      <c r="BT787" s="109"/>
      <c r="BU787" s="109"/>
      <c r="BV787" s="109"/>
      <c r="BW787" s="109"/>
      <c r="BX787" s="109"/>
    </row>
    <row r="788" spans="1:7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  <c r="BR788" s="109"/>
      <c r="BS788" s="109"/>
      <c r="BT788" s="109"/>
      <c r="BU788" s="109"/>
      <c r="BV788" s="109"/>
      <c r="BW788" s="109"/>
      <c r="BX788" s="109"/>
    </row>
    <row r="789" spans="1:7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  <c r="BR789" s="109"/>
      <c r="BS789" s="109"/>
      <c r="BT789" s="109"/>
      <c r="BU789" s="109"/>
      <c r="BV789" s="109"/>
      <c r="BW789" s="109"/>
      <c r="BX789" s="109"/>
    </row>
    <row r="790" spans="1:7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  <c r="BR790" s="109"/>
      <c r="BS790" s="109"/>
      <c r="BT790" s="109"/>
      <c r="BU790" s="109"/>
      <c r="BV790" s="109"/>
      <c r="BW790" s="109"/>
      <c r="BX790" s="109"/>
    </row>
    <row r="791" spans="1:7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  <c r="BR791" s="109"/>
      <c r="BS791" s="109"/>
      <c r="BT791" s="109"/>
      <c r="BU791" s="109"/>
      <c r="BV791" s="109"/>
      <c r="BW791" s="109"/>
      <c r="BX791" s="109"/>
    </row>
    <row r="792" spans="1:7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  <c r="BR792" s="109"/>
      <c r="BS792" s="109"/>
      <c r="BT792" s="109"/>
      <c r="BU792" s="109"/>
      <c r="BV792" s="109"/>
      <c r="BW792" s="109"/>
      <c r="BX792" s="109"/>
    </row>
    <row r="793" spans="1:7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  <c r="BR793" s="109"/>
      <c r="BS793" s="109"/>
      <c r="BT793" s="109"/>
      <c r="BU793" s="109"/>
      <c r="BV793" s="109"/>
      <c r="BW793" s="109"/>
      <c r="BX793" s="109"/>
    </row>
    <row r="794" spans="1:7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  <c r="BR794" s="109"/>
      <c r="BS794" s="109"/>
      <c r="BT794" s="109"/>
      <c r="BU794" s="109"/>
      <c r="BV794" s="109"/>
      <c r="BW794" s="109"/>
      <c r="BX794" s="109"/>
    </row>
    <row r="795" spans="1:7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  <c r="BR795" s="109"/>
      <c r="BS795" s="109"/>
      <c r="BT795" s="109"/>
      <c r="BU795" s="109"/>
      <c r="BV795" s="109"/>
      <c r="BW795" s="109"/>
      <c r="BX795" s="109"/>
    </row>
    <row r="796" spans="1:7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  <c r="BR796" s="109"/>
      <c r="BS796" s="109"/>
      <c r="BT796" s="109"/>
      <c r="BU796" s="109"/>
      <c r="BV796" s="109"/>
      <c r="BW796" s="109"/>
      <c r="BX796" s="109"/>
    </row>
    <row r="797" spans="1:7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  <c r="BR797" s="109"/>
      <c r="BS797" s="109"/>
      <c r="BT797" s="109"/>
      <c r="BU797" s="109"/>
      <c r="BV797" s="109"/>
      <c r="BW797" s="109"/>
      <c r="BX797" s="109"/>
    </row>
    <row r="798" spans="1:7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  <c r="BR798" s="109"/>
      <c r="BS798" s="109"/>
      <c r="BT798" s="109"/>
      <c r="BU798" s="109"/>
      <c r="BV798" s="109"/>
      <c r="BW798" s="109"/>
      <c r="BX798" s="109"/>
    </row>
    <row r="799" spans="1:7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  <c r="BR799" s="109"/>
      <c r="BS799" s="109"/>
      <c r="BT799" s="109"/>
      <c r="BU799" s="109"/>
      <c r="BV799" s="109"/>
      <c r="BW799" s="109"/>
      <c r="BX799" s="109"/>
    </row>
    <row r="800" spans="1:7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  <c r="BR800" s="109"/>
      <c r="BS800" s="109"/>
      <c r="BT800" s="109"/>
      <c r="BU800" s="109"/>
      <c r="BV800" s="109"/>
      <c r="BW800" s="109"/>
      <c r="BX800" s="109"/>
    </row>
    <row r="801" spans="1:7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  <c r="BR801" s="109"/>
      <c r="BS801" s="109"/>
      <c r="BT801" s="109"/>
      <c r="BU801" s="109"/>
      <c r="BV801" s="109"/>
      <c r="BW801" s="109"/>
      <c r="BX801" s="109"/>
    </row>
    <row r="802" spans="1:7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  <c r="BR802" s="109"/>
      <c r="BS802" s="109"/>
      <c r="BT802" s="109"/>
      <c r="BU802" s="109"/>
      <c r="BV802" s="109"/>
      <c r="BW802" s="109"/>
      <c r="BX802" s="109"/>
    </row>
    <row r="803" spans="1:7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  <c r="BR803" s="109"/>
      <c r="BS803" s="109"/>
      <c r="BT803" s="109"/>
      <c r="BU803" s="109"/>
      <c r="BV803" s="109"/>
      <c r="BW803" s="109"/>
      <c r="BX803" s="109"/>
    </row>
    <row r="804" spans="1:7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  <c r="BR804" s="109"/>
      <c r="BS804" s="109"/>
      <c r="BT804" s="109"/>
      <c r="BU804" s="109"/>
      <c r="BV804" s="109"/>
      <c r="BW804" s="109"/>
      <c r="BX804" s="109"/>
    </row>
    <row r="805" spans="1:7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  <c r="BR805" s="109"/>
      <c r="BS805" s="109"/>
      <c r="BT805" s="109"/>
      <c r="BU805" s="109"/>
      <c r="BV805" s="109"/>
      <c r="BW805" s="109"/>
      <c r="BX805" s="109"/>
    </row>
    <row r="806" spans="1:7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  <c r="BR806" s="109"/>
      <c r="BS806" s="109"/>
      <c r="BT806" s="109"/>
      <c r="BU806" s="109"/>
      <c r="BV806" s="109"/>
      <c r="BW806" s="109"/>
      <c r="BX806" s="109"/>
    </row>
    <row r="807" spans="1:7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  <c r="BR807" s="109"/>
      <c r="BS807" s="109"/>
      <c r="BT807" s="109"/>
      <c r="BU807" s="109"/>
      <c r="BV807" s="109"/>
      <c r="BW807" s="109"/>
      <c r="BX807" s="109"/>
    </row>
    <row r="808" spans="1:7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  <c r="BR808" s="109"/>
      <c r="BS808" s="109"/>
      <c r="BT808" s="109"/>
      <c r="BU808" s="109"/>
      <c r="BV808" s="109"/>
      <c r="BW808" s="109"/>
      <c r="BX808" s="109"/>
    </row>
    <row r="809" spans="1:7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  <c r="BR809" s="109"/>
      <c r="BS809" s="109"/>
      <c r="BT809" s="109"/>
      <c r="BU809" s="109"/>
      <c r="BV809" s="109"/>
      <c r="BW809" s="109"/>
      <c r="BX809" s="109"/>
    </row>
    <row r="810" spans="1:7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  <c r="BR810" s="109"/>
      <c r="BS810" s="109"/>
      <c r="BT810" s="109"/>
      <c r="BU810" s="109"/>
      <c r="BV810" s="109"/>
      <c r="BW810" s="109"/>
      <c r="BX810" s="109"/>
    </row>
    <row r="811" spans="1:7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  <c r="BR811" s="109"/>
      <c r="BS811" s="109"/>
      <c r="BT811" s="109"/>
      <c r="BU811" s="109"/>
      <c r="BV811" s="109"/>
      <c r="BW811" s="109"/>
      <c r="BX811" s="109"/>
    </row>
    <row r="812" spans="1:7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  <c r="BR812" s="109"/>
      <c r="BS812" s="109"/>
      <c r="BT812" s="109"/>
      <c r="BU812" s="109"/>
      <c r="BV812" s="109"/>
      <c r="BW812" s="109"/>
      <c r="BX812" s="109"/>
    </row>
    <row r="813" spans="1:7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  <c r="BR813" s="109"/>
      <c r="BS813" s="109"/>
      <c r="BT813" s="109"/>
      <c r="BU813" s="109"/>
      <c r="BV813" s="109"/>
      <c r="BW813" s="109"/>
      <c r="BX813" s="109"/>
    </row>
    <row r="814" spans="1:7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  <c r="BR814" s="109"/>
      <c r="BS814" s="109"/>
      <c r="BT814" s="109"/>
      <c r="BU814" s="109"/>
      <c r="BV814" s="109"/>
      <c r="BW814" s="109"/>
      <c r="BX814" s="109"/>
    </row>
    <row r="815" spans="1:7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  <c r="BR815" s="109"/>
      <c r="BS815" s="109"/>
      <c r="BT815" s="109"/>
      <c r="BU815" s="109"/>
      <c r="BV815" s="109"/>
      <c r="BW815" s="109"/>
      <c r="BX815" s="109"/>
    </row>
    <row r="816" spans="1:7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  <c r="BR816" s="109"/>
      <c r="BS816" s="109"/>
      <c r="BT816" s="109"/>
      <c r="BU816" s="109"/>
      <c r="BV816" s="109"/>
      <c r="BW816" s="109"/>
      <c r="BX816" s="109"/>
    </row>
    <row r="817" spans="1:7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  <c r="BR817" s="109"/>
      <c r="BS817" s="109"/>
      <c r="BT817" s="109"/>
      <c r="BU817" s="109"/>
      <c r="BV817" s="109"/>
      <c r="BW817" s="109"/>
      <c r="BX817" s="109"/>
    </row>
    <row r="818" spans="1:7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  <c r="BR818" s="109"/>
      <c r="BS818" s="109"/>
      <c r="BT818" s="109"/>
      <c r="BU818" s="109"/>
      <c r="BV818" s="109"/>
      <c r="BW818" s="109"/>
      <c r="BX818" s="109"/>
    </row>
    <row r="819" spans="1:7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  <c r="BR819" s="109"/>
      <c r="BS819" s="109"/>
      <c r="BT819" s="109"/>
      <c r="BU819" s="109"/>
      <c r="BV819" s="109"/>
      <c r="BW819" s="109"/>
      <c r="BX819" s="109"/>
    </row>
    <row r="820" spans="1:7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  <c r="BR820" s="109"/>
      <c r="BS820" s="109"/>
      <c r="BT820" s="109"/>
      <c r="BU820" s="109"/>
      <c r="BV820" s="109"/>
      <c r="BW820" s="109"/>
      <c r="BX820" s="109"/>
    </row>
    <row r="821" spans="1:7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  <c r="BR821" s="109"/>
      <c r="BS821" s="109"/>
      <c r="BT821" s="109"/>
      <c r="BU821" s="109"/>
      <c r="BV821" s="109"/>
      <c r="BW821" s="109"/>
      <c r="BX821" s="109"/>
    </row>
    <row r="822" spans="1:7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  <c r="BR822" s="109"/>
      <c r="BS822" s="109"/>
      <c r="BT822" s="109"/>
      <c r="BU822" s="109"/>
      <c r="BV822" s="109"/>
      <c r="BW822" s="109"/>
      <c r="BX822" s="109"/>
    </row>
    <row r="823" spans="1:7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  <c r="BR823" s="109"/>
      <c r="BS823" s="109"/>
      <c r="BT823" s="109"/>
      <c r="BU823" s="109"/>
      <c r="BV823" s="109"/>
      <c r="BW823" s="109"/>
      <c r="BX823" s="109"/>
    </row>
    <row r="824" spans="1:7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  <c r="BR824" s="109"/>
      <c r="BS824" s="109"/>
      <c r="BT824" s="109"/>
      <c r="BU824" s="109"/>
      <c r="BV824" s="109"/>
      <c r="BW824" s="109"/>
      <c r="BX824" s="109"/>
    </row>
    <row r="825" spans="1:7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  <c r="BR825" s="109"/>
      <c r="BS825" s="109"/>
      <c r="BT825" s="109"/>
      <c r="BU825" s="109"/>
      <c r="BV825" s="109"/>
      <c r="BW825" s="109"/>
      <c r="BX825" s="109"/>
    </row>
    <row r="826" spans="1:7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  <c r="BR826" s="109"/>
      <c r="BS826" s="109"/>
      <c r="BT826" s="109"/>
      <c r="BU826" s="109"/>
      <c r="BV826" s="109"/>
      <c r="BW826" s="109"/>
      <c r="BX826" s="109"/>
    </row>
    <row r="827" spans="1:7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  <c r="BR827" s="109"/>
      <c r="BS827" s="109"/>
      <c r="BT827" s="109"/>
      <c r="BU827" s="109"/>
      <c r="BV827" s="109"/>
      <c r="BW827" s="109"/>
      <c r="BX827" s="109"/>
    </row>
    <row r="828" spans="1:7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  <c r="BR828" s="109"/>
      <c r="BS828" s="109"/>
      <c r="BT828" s="109"/>
      <c r="BU828" s="109"/>
      <c r="BV828" s="109"/>
      <c r="BW828" s="109"/>
      <c r="BX828" s="109"/>
    </row>
    <row r="829" spans="1:7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  <c r="BR829" s="109"/>
      <c r="BS829" s="109"/>
      <c r="BT829" s="109"/>
      <c r="BU829" s="109"/>
      <c r="BV829" s="109"/>
      <c r="BW829" s="109"/>
      <c r="BX829" s="109"/>
    </row>
    <row r="830" spans="1:7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  <c r="BR830" s="109"/>
      <c r="BS830" s="109"/>
      <c r="BT830" s="109"/>
      <c r="BU830" s="109"/>
      <c r="BV830" s="109"/>
      <c r="BW830" s="109"/>
      <c r="BX830" s="109"/>
    </row>
    <row r="831" spans="1:7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  <c r="BR831" s="109"/>
      <c r="BS831" s="109"/>
      <c r="BT831" s="109"/>
      <c r="BU831" s="109"/>
      <c r="BV831" s="109"/>
      <c r="BW831" s="109"/>
      <c r="BX831" s="109"/>
    </row>
    <row r="832" spans="1:7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  <c r="BR832" s="109"/>
      <c r="BS832" s="109"/>
      <c r="BT832" s="109"/>
      <c r="BU832" s="109"/>
      <c r="BV832" s="109"/>
      <c r="BW832" s="109"/>
      <c r="BX832" s="109"/>
    </row>
    <row r="833" spans="1:7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  <c r="BR833" s="109"/>
      <c r="BS833" s="109"/>
      <c r="BT833" s="109"/>
      <c r="BU833" s="109"/>
      <c r="BV833" s="109"/>
      <c r="BW833" s="109"/>
      <c r="BX833" s="109"/>
    </row>
    <row r="834" spans="1:7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  <c r="BR834" s="109"/>
      <c r="BS834" s="109"/>
      <c r="BT834" s="109"/>
      <c r="BU834" s="109"/>
      <c r="BV834" s="109"/>
      <c r="BW834" s="109"/>
      <c r="BX834" s="109"/>
    </row>
    <row r="835" spans="1:7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  <c r="BR835" s="109"/>
      <c r="BS835" s="109"/>
      <c r="BT835" s="109"/>
      <c r="BU835" s="109"/>
      <c r="BV835" s="109"/>
      <c r="BW835" s="109"/>
      <c r="BX835" s="109"/>
    </row>
    <row r="836" spans="1:7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  <c r="BR836" s="109"/>
      <c r="BS836" s="109"/>
      <c r="BT836" s="109"/>
      <c r="BU836" s="109"/>
      <c r="BV836" s="109"/>
      <c r="BW836" s="109"/>
      <c r="BX836" s="109"/>
    </row>
    <row r="837" spans="1:7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  <c r="BR837" s="109"/>
      <c r="BS837" s="109"/>
      <c r="BT837" s="109"/>
      <c r="BU837" s="109"/>
      <c r="BV837" s="109"/>
      <c r="BW837" s="109"/>
      <c r="BX837" s="109"/>
    </row>
    <row r="838" spans="1:7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  <c r="BR838" s="109"/>
      <c r="BS838" s="109"/>
      <c r="BT838" s="109"/>
      <c r="BU838" s="109"/>
      <c r="BV838" s="109"/>
      <c r="BW838" s="109"/>
      <c r="BX838" s="109"/>
    </row>
    <row r="839" spans="1:7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  <c r="BR839" s="109"/>
      <c r="BS839" s="109"/>
      <c r="BT839" s="109"/>
      <c r="BU839" s="109"/>
      <c r="BV839" s="109"/>
      <c r="BW839" s="109"/>
      <c r="BX839" s="109"/>
    </row>
    <row r="840" spans="1:7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  <c r="BR840" s="109"/>
      <c r="BS840" s="109"/>
      <c r="BT840" s="109"/>
      <c r="BU840" s="109"/>
      <c r="BV840" s="109"/>
      <c r="BW840" s="109"/>
      <c r="BX840" s="109"/>
    </row>
    <row r="841" spans="1:7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  <c r="BR841" s="109"/>
      <c r="BS841" s="109"/>
      <c r="BT841" s="109"/>
      <c r="BU841" s="109"/>
      <c r="BV841" s="109"/>
      <c r="BW841" s="109"/>
      <c r="BX841" s="109"/>
    </row>
    <row r="842" spans="1:7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  <c r="BR842" s="109"/>
      <c r="BS842" s="109"/>
      <c r="BT842" s="109"/>
      <c r="BU842" s="109"/>
      <c r="BV842" s="109"/>
      <c r="BW842" s="109"/>
      <c r="BX842" s="109"/>
    </row>
    <row r="843" spans="1:7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  <c r="BR843" s="109"/>
      <c r="BS843" s="109"/>
      <c r="BT843" s="109"/>
      <c r="BU843" s="109"/>
      <c r="BV843" s="109"/>
      <c r="BW843" s="109"/>
      <c r="BX843" s="109"/>
    </row>
    <row r="844" spans="1:7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  <c r="BR844" s="109"/>
      <c r="BS844" s="109"/>
      <c r="BT844" s="109"/>
      <c r="BU844" s="109"/>
      <c r="BV844" s="109"/>
      <c r="BW844" s="109"/>
      <c r="BX844" s="109"/>
    </row>
    <row r="845" spans="1:7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  <c r="BR845" s="109"/>
      <c r="BS845" s="109"/>
      <c r="BT845" s="109"/>
      <c r="BU845" s="109"/>
      <c r="BV845" s="109"/>
      <c r="BW845" s="109"/>
      <c r="BX845" s="109"/>
    </row>
    <row r="846" spans="1:7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  <c r="BR846" s="109"/>
      <c r="BS846" s="109"/>
      <c r="BT846" s="109"/>
      <c r="BU846" s="109"/>
      <c r="BV846" s="109"/>
      <c r="BW846" s="109"/>
      <c r="BX846" s="109"/>
    </row>
    <row r="847" spans="1:7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  <c r="BR847" s="109"/>
      <c r="BS847" s="109"/>
      <c r="BT847" s="109"/>
      <c r="BU847" s="109"/>
      <c r="BV847" s="109"/>
      <c r="BW847" s="109"/>
      <c r="BX847" s="109"/>
    </row>
    <row r="848" spans="1:7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  <c r="BR848" s="109"/>
      <c r="BS848" s="109"/>
      <c r="BT848" s="109"/>
      <c r="BU848" s="109"/>
      <c r="BV848" s="109"/>
      <c r="BW848" s="109"/>
      <c r="BX848" s="109"/>
    </row>
    <row r="849" spans="1:7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  <c r="BR849" s="109"/>
      <c r="BS849" s="109"/>
      <c r="BT849" s="109"/>
      <c r="BU849" s="109"/>
      <c r="BV849" s="109"/>
      <c r="BW849" s="109"/>
      <c r="BX849" s="109"/>
    </row>
    <row r="850" spans="1:7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  <c r="BR850" s="109"/>
      <c r="BS850" s="109"/>
      <c r="BT850" s="109"/>
      <c r="BU850" s="109"/>
      <c r="BV850" s="109"/>
      <c r="BW850" s="109"/>
      <c r="BX850" s="109"/>
    </row>
    <row r="851" spans="1:7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  <c r="BR851" s="109"/>
      <c r="BS851" s="109"/>
      <c r="BT851" s="109"/>
      <c r="BU851" s="109"/>
      <c r="BV851" s="109"/>
      <c r="BW851" s="109"/>
      <c r="BX851" s="109"/>
    </row>
    <row r="852" spans="1:7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  <c r="BR852" s="109"/>
      <c r="BS852" s="109"/>
      <c r="BT852" s="109"/>
      <c r="BU852" s="109"/>
      <c r="BV852" s="109"/>
      <c r="BW852" s="109"/>
      <c r="BX852" s="109"/>
    </row>
    <row r="853" spans="1:7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  <c r="BR853" s="109"/>
      <c r="BS853" s="109"/>
      <c r="BT853" s="109"/>
      <c r="BU853" s="109"/>
      <c r="BV853" s="109"/>
      <c r="BW853" s="109"/>
      <c r="BX853" s="109"/>
    </row>
    <row r="854" spans="1:7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  <c r="BR854" s="109"/>
      <c r="BS854" s="109"/>
      <c r="BT854" s="109"/>
      <c r="BU854" s="109"/>
      <c r="BV854" s="109"/>
      <c r="BW854" s="109"/>
      <c r="BX854" s="109"/>
    </row>
    <row r="855" spans="1:7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  <c r="BR855" s="109"/>
      <c r="BS855" s="109"/>
      <c r="BT855" s="109"/>
      <c r="BU855" s="109"/>
      <c r="BV855" s="109"/>
      <c r="BW855" s="109"/>
      <c r="BX855" s="109"/>
    </row>
    <row r="856" spans="1:7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  <c r="BR856" s="109"/>
      <c r="BS856" s="109"/>
      <c r="BT856" s="109"/>
      <c r="BU856" s="109"/>
      <c r="BV856" s="109"/>
      <c r="BW856" s="109"/>
      <c r="BX856" s="109"/>
    </row>
    <row r="857" spans="1:7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  <c r="BR857" s="109"/>
      <c r="BS857" s="109"/>
      <c r="BT857" s="109"/>
      <c r="BU857" s="109"/>
      <c r="BV857" s="109"/>
      <c r="BW857" s="109"/>
      <c r="BX857" s="109"/>
    </row>
    <row r="858" spans="1:7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  <c r="BR858" s="109"/>
      <c r="BS858" s="109"/>
      <c r="BT858" s="109"/>
      <c r="BU858" s="109"/>
      <c r="BV858" s="109"/>
      <c r="BW858" s="109"/>
      <c r="BX858" s="109"/>
    </row>
    <row r="859" spans="1:7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  <c r="BR859" s="109"/>
      <c r="BS859" s="109"/>
      <c r="BT859" s="109"/>
      <c r="BU859" s="109"/>
      <c r="BV859" s="109"/>
      <c r="BW859" s="109"/>
      <c r="BX859" s="109"/>
    </row>
    <row r="860" spans="1:7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  <c r="BR860" s="109"/>
      <c r="BS860" s="109"/>
      <c r="BT860" s="109"/>
      <c r="BU860" s="109"/>
      <c r="BV860" s="109"/>
      <c r="BW860" s="109"/>
      <c r="BX860" s="109"/>
    </row>
    <row r="861" spans="1:7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  <c r="BR861" s="109"/>
      <c r="BS861" s="109"/>
      <c r="BT861" s="109"/>
      <c r="BU861" s="109"/>
      <c r="BV861" s="109"/>
      <c r="BW861" s="109"/>
      <c r="BX861" s="109"/>
    </row>
    <row r="862" spans="1:7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  <c r="BR862" s="109"/>
      <c r="BS862" s="109"/>
      <c r="BT862" s="109"/>
      <c r="BU862" s="109"/>
      <c r="BV862" s="109"/>
      <c r="BW862" s="109"/>
      <c r="BX862" s="109"/>
    </row>
    <row r="863" spans="1:7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  <c r="BR863" s="109"/>
      <c r="BS863" s="109"/>
      <c r="BT863" s="109"/>
      <c r="BU863" s="109"/>
      <c r="BV863" s="109"/>
      <c r="BW863" s="109"/>
      <c r="BX863" s="109"/>
    </row>
    <row r="864" spans="1:7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  <c r="BR864" s="109"/>
      <c r="BS864" s="109"/>
      <c r="BT864" s="109"/>
      <c r="BU864" s="109"/>
      <c r="BV864" s="109"/>
      <c r="BW864" s="109"/>
      <c r="BX864" s="109"/>
    </row>
    <row r="865" spans="1:7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  <c r="BR865" s="109"/>
      <c r="BS865" s="109"/>
      <c r="BT865" s="109"/>
      <c r="BU865" s="109"/>
      <c r="BV865" s="109"/>
      <c r="BW865" s="109"/>
      <c r="BX865" s="109"/>
    </row>
    <row r="866" spans="1:7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  <c r="BR866" s="109"/>
      <c r="BS866" s="109"/>
      <c r="BT866" s="109"/>
      <c r="BU866" s="109"/>
      <c r="BV866" s="109"/>
      <c r="BW866" s="109"/>
      <c r="BX866" s="109"/>
    </row>
    <row r="867" spans="1:7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  <c r="BR867" s="109"/>
      <c r="BS867" s="109"/>
      <c r="BT867" s="109"/>
      <c r="BU867" s="109"/>
      <c r="BV867" s="109"/>
      <c r="BW867" s="109"/>
      <c r="BX867" s="109"/>
    </row>
    <row r="868" spans="1:7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  <c r="BR868" s="109"/>
      <c r="BS868" s="109"/>
      <c r="BT868" s="109"/>
      <c r="BU868" s="109"/>
      <c r="BV868" s="109"/>
      <c r="BW868" s="109"/>
      <c r="BX868" s="109"/>
    </row>
    <row r="869" spans="1:7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  <c r="BR869" s="109"/>
      <c r="BS869" s="109"/>
      <c r="BT869" s="109"/>
      <c r="BU869" s="109"/>
      <c r="BV869" s="109"/>
      <c r="BW869" s="109"/>
      <c r="BX869" s="109"/>
    </row>
    <row r="870" spans="1:7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  <c r="BR870" s="109"/>
      <c r="BS870" s="109"/>
      <c r="BT870" s="109"/>
      <c r="BU870" s="109"/>
      <c r="BV870" s="109"/>
      <c r="BW870" s="109"/>
      <c r="BX870" s="109"/>
    </row>
    <row r="871" spans="1:7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  <c r="BR871" s="109"/>
      <c r="BS871" s="109"/>
      <c r="BT871" s="109"/>
      <c r="BU871" s="109"/>
      <c r="BV871" s="109"/>
      <c r="BW871" s="109"/>
      <c r="BX871" s="109"/>
    </row>
    <row r="872" spans="1:7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  <c r="BR872" s="109"/>
      <c r="BS872" s="109"/>
      <c r="BT872" s="109"/>
      <c r="BU872" s="109"/>
      <c r="BV872" s="109"/>
      <c r="BW872" s="109"/>
      <c r="BX872" s="109"/>
    </row>
    <row r="873" spans="1:7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  <c r="BR873" s="109"/>
      <c r="BS873" s="109"/>
      <c r="BT873" s="109"/>
      <c r="BU873" s="109"/>
      <c r="BV873" s="109"/>
      <c r="BW873" s="109"/>
      <c r="BX873" s="109"/>
    </row>
    <row r="874" spans="1:7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  <c r="BR874" s="109"/>
      <c r="BS874" s="109"/>
      <c r="BT874" s="109"/>
      <c r="BU874" s="109"/>
      <c r="BV874" s="109"/>
      <c r="BW874" s="109"/>
      <c r="BX874" s="109"/>
    </row>
    <row r="875" spans="1:7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  <c r="BR875" s="109"/>
      <c r="BS875" s="109"/>
      <c r="BT875" s="109"/>
      <c r="BU875" s="109"/>
      <c r="BV875" s="109"/>
      <c r="BW875" s="109"/>
      <c r="BX875" s="109"/>
    </row>
    <row r="876" spans="1:7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  <c r="BR876" s="109"/>
      <c r="BS876" s="109"/>
      <c r="BT876" s="109"/>
      <c r="BU876" s="109"/>
      <c r="BV876" s="109"/>
      <c r="BW876" s="109"/>
      <c r="BX876" s="109"/>
    </row>
    <row r="877" spans="1:7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  <c r="BR877" s="109"/>
      <c r="BS877" s="109"/>
      <c r="BT877" s="109"/>
      <c r="BU877" s="109"/>
      <c r="BV877" s="109"/>
      <c r="BW877" s="109"/>
      <c r="BX877" s="109"/>
    </row>
    <row r="878" spans="1:7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  <c r="BR878" s="109"/>
      <c r="BS878" s="109"/>
      <c r="BT878" s="109"/>
      <c r="BU878" s="109"/>
      <c r="BV878" s="109"/>
      <c r="BW878" s="109"/>
      <c r="BX878" s="109"/>
    </row>
    <row r="879" spans="1:7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  <c r="BR879" s="109"/>
      <c r="BS879" s="109"/>
      <c r="BT879" s="109"/>
      <c r="BU879" s="109"/>
      <c r="BV879" s="109"/>
      <c r="BW879" s="109"/>
      <c r="BX879" s="109"/>
    </row>
    <row r="880" spans="1:7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  <c r="BR880" s="109"/>
      <c r="BS880" s="109"/>
      <c r="BT880" s="109"/>
      <c r="BU880" s="109"/>
      <c r="BV880" s="109"/>
      <c r="BW880" s="109"/>
      <c r="BX880" s="109"/>
    </row>
    <row r="881" spans="1:7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  <c r="BR881" s="109"/>
      <c r="BS881" s="109"/>
      <c r="BT881" s="109"/>
      <c r="BU881" s="109"/>
      <c r="BV881" s="109"/>
      <c r="BW881" s="109"/>
      <c r="BX881" s="109"/>
    </row>
    <row r="882" spans="1:7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  <c r="BR882" s="109"/>
      <c r="BS882" s="109"/>
      <c r="BT882" s="109"/>
      <c r="BU882" s="109"/>
      <c r="BV882" s="109"/>
      <c r="BW882" s="109"/>
      <c r="BX882" s="109"/>
    </row>
    <row r="883" spans="1:7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  <c r="BR883" s="109"/>
      <c r="BS883" s="109"/>
      <c r="BT883" s="109"/>
      <c r="BU883" s="109"/>
      <c r="BV883" s="109"/>
      <c r="BW883" s="109"/>
      <c r="BX883" s="109"/>
    </row>
    <row r="884" spans="1:7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  <c r="BR884" s="109"/>
      <c r="BS884" s="109"/>
      <c r="BT884" s="109"/>
      <c r="BU884" s="109"/>
      <c r="BV884" s="109"/>
      <c r="BW884" s="109"/>
      <c r="BX884" s="109"/>
    </row>
    <row r="885" spans="1:7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  <c r="BR885" s="109"/>
      <c r="BS885" s="109"/>
      <c r="BT885" s="109"/>
      <c r="BU885" s="109"/>
      <c r="BV885" s="109"/>
      <c r="BW885" s="109"/>
      <c r="BX885" s="109"/>
    </row>
    <row r="886" spans="1:7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  <c r="BR886" s="109"/>
      <c r="BS886" s="109"/>
      <c r="BT886" s="109"/>
      <c r="BU886" s="109"/>
      <c r="BV886" s="109"/>
      <c r="BW886" s="109"/>
      <c r="BX886" s="109"/>
    </row>
    <row r="887" spans="1:7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  <c r="BR887" s="109"/>
      <c r="BS887" s="109"/>
      <c r="BT887" s="109"/>
      <c r="BU887" s="109"/>
      <c r="BV887" s="109"/>
      <c r="BW887" s="109"/>
      <c r="BX887" s="109"/>
    </row>
    <row r="888" spans="1:7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  <c r="BR888" s="109"/>
      <c r="BS888" s="109"/>
      <c r="BT888" s="109"/>
      <c r="BU888" s="109"/>
      <c r="BV888" s="109"/>
      <c r="BW888" s="109"/>
      <c r="BX888" s="109"/>
    </row>
    <row r="889" spans="1:7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  <c r="BR889" s="109"/>
      <c r="BS889" s="109"/>
      <c r="BT889" s="109"/>
      <c r="BU889" s="109"/>
      <c r="BV889" s="109"/>
      <c r="BW889" s="109"/>
      <c r="BX889" s="109"/>
    </row>
    <row r="890" spans="1:7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  <c r="BR890" s="109"/>
      <c r="BS890" s="109"/>
      <c r="BT890" s="109"/>
      <c r="BU890" s="109"/>
      <c r="BV890" s="109"/>
      <c r="BW890" s="109"/>
      <c r="BX890" s="109"/>
    </row>
    <row r="891" spans="1:7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  <c r="BR891" s="109"/>
      <c r="BS891" s="109"/>
      <c r="BT891" s="109"/>
      <c r="BU891" s="109"/>
      <c r="BV891" s="109"/>
      <c r="BW891" s="109"/>
      <c r="BX891" s="109"/>
    </row>
    <row r="892" spans="1:7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  <c r="BR892" s="109"/>
      <c r="BS892" s="109"/>
      <c r="BT892" s="109"/>
      <c r="BU892" s="109"/>
      <c r="BV892" s="109"/>
      <c r="BW892" s="109"/>
      <c r="BX892" s="109"/>
    </row>
    <row r="893" spans="1:7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  <c r="BR893" s="109"/>
      <c r="BS893" s="109"/>
      <c r="BT893" s="109"/>
      <c r="BU893" s="109"/>
      <c r="BV893" s="109"/>
      <c r="BW893" s="109"/>
      <c r="BX893" s="109"/>
    </row>
    <row r="894" spans="1:7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  <c r="BR894" s="109"/>
      <c r="BS894" s="109"/>
      <c r="BT894" s="109"/>
      <c r="BU894" s="109"/>
      <c r="BV894" s="109"/>
      <c r="BW894" s="109"/>
      <c r="BX894" s="109"/>
    </row>
    <row r="895" spans="1:7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  <c r="BR895" s="109"/>
      <c r="BS895" s="109"/>
      <c r="BT895" s="109"/>
      <c r="BU895" s="109"/>
      <c r="BV895" s="109"/>
      <c r="BW895" s="109"/>
      <c r="BX895" s="109"/>
    </row>
    <row r="896" spans="1:7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  <c r="BR896" s="109"/>
      <c r="BS896" s="109"/>
      <c r="BT896" s="109"/>
      <c r="BU896" s="109"/>
      <c r="BV896" s="109"/>
      <c r="BW896" s="109"/>
      <c r="BX896" s="109"/>
    </row>
    <row r="897" spans="1:7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  <c r="BR897" s="109"/>
      <c r="BS897" s="109"/>
      <c r="BT897" s="109"/>
      <c r="BU897" s="109"/>
      <c r="BV897" s="109"/>
      <c r="BW897" s="109"/>
      <c r="BX897" s="109"/>
    </row>
    <row r="898" spans="1:7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  <c r="BR898" s="109"/>
      <c r="BS898" s="109"/>
      <c r="BT898" s="109"/>
      <c r="BU898" s="109"/>
      <c r="BV898" s="109"/>
      <c r="BW898" s="109"/>
      <c r="BX898" s="109"/>
    </row>
    <row r="899" spans="1:7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  <c r="BR899" s="109"/>
      <c r="BS899" s="109"/>
      <c r="BT899" s="109"/>
      <c r="BU899" s="109"/>
      <c r="BV899" s="109"/>
      <c r="BW899" s="109"/>
      <c r="BX899" s="109"/>
    </row>
    <row r="900" spans="1:7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  <c r="BR900" s="109"/>
      <c r="BS900" s="109"/>
      <c r="BT900" s="109"/>
      <c r="BU900" s="109"/>
      <c r="BV900" s="109"/>
      <c r="BW900" s="109"/>
      <c r="BX900" s="109"/>
    </row>
    <row r="901" spans="1:7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  <c r="BR901" s="109"/>
      <c r="BS901" s="109"/>
      <c r="BT901" s="109"/>
      <c r="BU901" s="109"/>
      <c r="BV901" s="109"/>
      <c r="BW901" s="109"/>
      <c r="BX901" s="109"/>
    </row>
    <row r="902" spans="1:7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  <c r="BR902" s="109"/>
      <c r="BS902" s="109"/>
      <c r="BT902" s="109"/>
      <c r="BU902" s="109"/>
      <c r="BV902" s="109"/>
      <c r="BW902" s="109"/>
      <c r="BX902" s="109"/>
    </row>
    <row r="903" spans="1:7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  <c r="BR903" s="109"/>
      <c r="BS903" s="109"/>
      <c r="BT903" s="109"/>
      <c r="BU903" s="109"/>
      <c r="BV903" s="109"/>
      <c r="BW903" s="109"/>
      <c r="BX903" s="109"/>
    </row>
    <row r="904" spans="1:7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  <c r="BR904" s="109"/>
      <c r="BS904" s="109"/>
      <c r="BT904" s="109"/>
      <c r="BU904" s="109"/>
      <c r="BV904" s="109"/>
      <c r="BW904" s="109"/>
      <c r="BX904" s="109"/>
    </row>
    <row r="905" spans="1:7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  <c r="BR905" s="109"/>
      <c r="BS905" s="109"/>
      <c r="BT905" s="109"/>
      <c r="BU905" s="109"/>
      <c r="BV905" s="109"/>
      <c r="BW905" s="109"/>
      <c r="BX905" s="109"/>
    </row>
    <row r="906" spans="1:7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  <c r="BR906" s="109"/>
      <c r="BS906" s="109"/>
      <c r="BT906" s="109"/>
      <c r="BU906" s="109"/>
      <c r="BV906" s="109"/>
      <c r="BW906" s="109"/>
      <c r="BX906" s="109"/>
    </row>
    <row r="907" spans="1:7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  <c r="BR907" s="109"/>
      <c r="BS907" s="109"/>
      <c r="BT907" s="109"/>
      <c r="BU907" s="109"/>
      <c r="BV907" s="109"/>
      <c r="BW907" s="109"/>
      <c r="BX907" s="109"/>
    </row>
    <row r="908" spans="1:7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  <c r="BR908" s="109"/>
      <c r="BS908" s="109"/>
      <c r="BT908" s="109"/>
      <c r="BU908" s="109"/>
      <c r="BV908" s="109"/>
      <c r="BW908" s="109"/>
      <c r="BX908" s="109"/>
    </row>
    <row r="909" spans="1:7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  <c r="BR909" s="109"/>
      <c r="BS909" s="109"/>
      <c r="BT909" s="109"/>
      <c r="BU909" s="109"/>
      <c r="BV909" s="109"/>
      <c r="BW909" s="109"/>
      <c r="BX909" s="109"/>
    </row>
    <row r="910" spans="1:7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  <c r="BR910" s="109"/>
      <c r="BS910" s="109"/>
      <c r="BT910" s="109"/>
      <c r="BU910" s="109"/>
      <c r="BV910" s="109"/>
      <c r="BW910" s="109"/>
      <c r="BX910" s="109"/>
    </row>
    <row r="911" spans="1:7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  <c r="BR911" s="109"/>
      <c r="BS911" s="109"/>
      <c r="BT911" s="109"/>
      <c r="BU911" s="109"/>
      <c r="BV911" s="109"/>
      <c r="BW911" s="109"/>
      <c r="BX911" s="109"/>
    </row>
    <row r="912" spans="1:7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  <c r="BR912" s="109"/>
      <c r="BS912" s="109"/>
      <c r="BT912" s="109"/>
      <c r="BU912" s="109"/>
      <c r="BV912" s="109"/>
      <c r="BW912" s="109"/>
      <c r="BX912" s="109"/>
    </row>
    <row r="913" spans="1:7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  <c r="BR913" s="109"/>
      <c r="BS913" s="109"/>
      <c r="BT913" s="109"/>
      <c r="BU913" s="109"/>
      <c r="BV913" s="109"/>
      <c r="BW913" s="109"/>
      <c r="BX913" s="109"/>
    </row>
    <row r="914" spans="1:7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  <c r="BR914" s="109"/>
      <c r="BS914" s="109"/>
      <c r="BT914" s="109"/>
      <c r="BU914" s="109"/>
      <c r="BV914" s="109"/>
      <c r="BW914" s="109"/>
      <c r="BX914" s="109"/>
    </row>
    <row r="915" spans="1:7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  <c r="BR915" s="109"/>
      <c r="BS915" s="109"/>
      <c r="BT915" s="109"/>
      <c r="BU915" s="109"/>
      <c r="BV915" s="109"/>
      <c r="BW915" s="109"/>
      <c r="BX915" s="109"/>
    </row>
    <row r="916" spans="1:7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  <c r="BR916" s="109"/>
      <c r="BS916" s="109"/>
      <c r="BT916" s="109"/>
      <c r="BU916" s="109"/>
      <c r="BV916" s="109"/>
      <c r="BW916" s="109"/>
      <c r="BX916" s="109"/>
    </row>
    <row r="917" spans="1:7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  <c r="BR917" s="109"/>
      <c r="BS917" s="109"/>
      <c r="BT917" s="109"/>
      <c r="BU917" s="109"/>
      <c r="BV917" s="109"/>
      <c r="BW917" s="109"/>
      <c r="BX917" s="109"/>
    </row>
    <row r="918" spans="1:7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  <c r="BR918" s="109"/>
      <c r="BS918" s="109"/>
      <c r="BT918" s="109"/>
      <c r="BU918" s="109"/>
      <c r="BV918" s="109"/>
      <c r="BW918" s="109"/>
      <c r="BX918" s="109"/>
    </row>
    <row r="919" spans="1:7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  <c r="BR919" s="109"/>
      <c r="BS919" s="109"/>
      <c r="BT919" s="109"/>
      <c r="BU919" s="109"/>
      <c r="BV919" s="109"/>
      <c r="BW919" s="109"/>
      <c r="BX919" s="109"/>
    </row>
    <row r="920" spans="1:7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  <c r="BR920" s="109"/>
      <c r="BS920" s="109"/>
      <c r="BT920" s="109"/>
      <c r="BU920" s="109"/>
      <c r="BV920" s="109"/>
      <c r="BW920" s="109"/>
      <c r="BX920" s="109"/>
    </row>
    <row r="921" spans="1:7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  <c r="BR921" s="109"/>
      <c r="BS921" s="109"/>
      <c r="BT921" s="109"/>
      <c r="BU921" s="109"/>
      <c r="BV921" s="109"/>
      <c r="BW921" s="109"/>
      <c r="BX921" s="109"/>
    </row>
    <row r="922" spans="1:7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  <c r="BR922" s="109"/>
      <c r="BS922" s="109"/>
      <c r="BT922" s="109"/>
      <c r="BU922" s="109"/>
      <c r="BV922" s="109"/>
      <c r="BW922" s="109"/>
      <c r="BX922" s="109"/>
    </row>
    <row r="923" spans="1:7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  <c r="BR923" s="109"/>
      <c r="BS923" s="109"/>
      <c r="BT923" s="109"/>
      <c r="BU923" s="109"/>
      <c r="BV923" s="109"/>
      <c r="BW923" s="109"/>
      <c r="BX923" s="109"/>
    </row>
    <row r="924" spans="1:7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  <c r="BR924" s="109"/>
      <c r="BS924" s="109"/>
      <c r="BT924" s="109"/>
      <c r="BU924" s="109"/>
      <c r="BV924" s="109"/>
      <c r="BW924" s="109"/>
      <c r="BX924" s="109"/>
    </row>
    <row r="925" spans="1:7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  <c r="BR925" s="109"/>
      <c r="BS925" s="109"/>
      <c r="BT925" s="109"/>
      <c r="BU925" s="109"/>
      <c r="BV925" s="109"/>
      <c r="BW925" s="109"/>
      <c r="BX925" s="109"/>
    </row>
    <row r="926" spans="1:7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  <c r="BR926" s="109"/>
      <c r="BS926" s="109"/>
      <c r="BT926" s="109"/>
      <c r="BU926" s="109"/>
      <c r="BV926" s="109"/>
      <c r="BW926" s="109"/>
      <c r="BX926" s="109"/>
    </row>
    <row r="927" spans="1:7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  <c r="BR927" s="109"/>
      <c r="BS927" s="109"/>
      <c r="BT927" s="109"/>
      <c r="BU927" s="109"/>
      <c r="BV927" s="109"/>
      <c r="BW927" s="109"/>
      <c r="BX927" s="109"/>
    </row>
    <row r="928" spans="1:7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  <c r="BR928" s="109"/>
      <c r="BS928" s="109"/>
      <c r="BT928" s="109"/>
      <c r="BU928" s="109"/>
      <c r="BV928" s="109"/>
      <c r="BW928" s="109"/>
      <c r="BX928" s="109"/>
    </row>
    <row r="929" spans="1:7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  <c r="BR929" s="109"/>
      <c r="BS929" s="109"/>
      <c r="BT929" s="109"/>
      <c r="BU929" s="109"/>
      <c r="BV929" s="109"/>
      <c r="BW929" s="109"/>
      <c r="BX929" s="109"/>
    </row>
    <row r="930" spans="1:7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  <c r="BR930" s="109"/>
      <c r="BS930" s="109"/>
      <c r="BT930" s="109"/>
      <c r="BU930" s="109"/>
      <c r="BV930" s="109"/>
      <c r="BW930" s="109"/>
      <c r="BX930" s="109"/>
    </row>
    <row r="931" spans="1:7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  <c r="BR931" s="109"/>
      <c r="BS931" s="109"/>
      <c r="BT931" s="109"/>
      <c r="BU931" s="109"/>
      <c r="BV931" s="109"/>
      <c r="BW931" s="109"/>
      <c r="BX931" s="109"/>
    </row>
    <row r="932" spans="1:7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  <c r="BR932" s="109"/>
      <c r="BS932" s="109"/>
      <c r="BT932" s="109"/>
      <c r="BU932" s="109"/>
      <c r="BV932" s="109"/>
      <c r="BW932" s="109"/>
      <c r="BX932" s="109"/>
    </row>
    <row r="933" spans="1:7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  <c r="BR933" s="109"/>
      <c r="BS933" s="109"/>
      <c r="BT933" s="109"/>
      <c r="BU933" s="109"/>
      <c r="BV933" s="109"/>
      <c r="BW933" s="109"/>
      <c r="BX933" s="109"/>
    </row>
    <row r="934" spans="1:7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  <c r="BR934" s="109"/>
      <c r="BS934" s="109"/>
      <c r="BT934" s="109"/>
      <c r="BU934" s="109"/>
      <c r="BV934" s="109"/>
      <c r="BW934" s="109"/>
      <c r="BX934" s="109"/>
    </row>
    <row r="935" spans="1:7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  <c r="BR935" s="109"/>
      <c r="BS935" s="109"/>
      <c r="BT935" s="109"/>
      <c r="BU935" s="109"/>
      <c r="BV935" s="109"/>
      <c r="BW935" s="109"/>
      <c r="BX935" s="109"/>
    </row>
    <row r="936" spans="1:7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  <c r="BR936" s="109"/>
      <c r="BS936" s="109"/>
      <c r="BT936" s="109"/>
      <c r="BU936" s="109"/>
      <c r="BV936" s="109"/>
      <c r="BW936" s="109"/>
      <c r="BX936" s="109"/>
    </row>
    <row r="937" spans="1:7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  <c r="BR937" s="109"/>
      <c r="BS937" s="109"/>
      <c r="BT937" s="109"/>
      <c r="BU937" s="109"/>
      <c r="BV937" s="109"/>
      <c r="BW937" s="109"/>
      <c r="BX937" s="109"/>
    </row>
    <row r="938" spans="1:7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  <c r="BR938" s="109"/>
      <c r="BS938" s="109"/>
      <c r="BT938" s="109"/>
      <c r="BU938" s="109"/>
      <c r="BV938" s="109"/>
      <c r="BW938" s="109"/>
      <c r="BX938" s="109"/>
    </row>
    <row r="939" spans="1:7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  <c r="BR939" s="109"/>
      <c r="BS939" s="109"/>
      <c r="BT939" s="109"/>
      <c r="BU939" s="109"/>
      <c r="BV939" s="109"/>
      <c r="BW939" s="109"/>
      <c r="BX939" s="109"/>
    </row>
    <row r="940" spans="1:7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  <c r="BR940" s="109"/>
      <c r="BS940" s="109"/>
      <c r="BT940" s="109"/>
      <c r="BU940" s="109"/>
      <c r="BV940" s="109"/>
      <c r="BW940" s="109"/>
      <c r="BX940" s="109"/>
    </row>
    <row r="941" spans="1:7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  <c r="BR941" s="109"/>
      <c r="BS941" s="109"/>
      <c r="BT941" s="109"/>
      <c r="BU941" s="109"/>
      <c r="BV941" s="109"/>
      <c r="BW941" s="109"/>
      <c r="BX941" s="109"/>
    </row>
    <row r="942" spans="1:7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  <c r="BR942" s="109"/>
      <c r="BS942" s="109"/>
      <c r="BT942" s="109"/>
      <c r="BU942" s="109"/>
      <c r="BV942" s="109"/>
      <c r="BW942" s="109"/>
      <c r="BX942" s="109"/>
    </row>
    <row r="943" spans="1:7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  <c r="BR943" s="109"/>
      <c r="BS943" s="109"/>
      <c r="BT943" s="109"/>
      <c r="BU943" s="109"/>
      <c r="BV943" s="109"/>
      <c r="BW943" s="109"/>
      <c r="BX943" s="109"/>
    </row>
    <row r="944" spans="1:7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  <c r="BR944" s="109"/>
      <c r="BS944" s="109"/>
      <c r="BT944" s="109"/>
      <c r="BU944" s="109"/>
      <c r="BV944" s="109"/>
      <c r="BW944" s="109"/>
      <c r="BX944" s="109"/>
    </row>
    <row r="945" spans="1:7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  <c r="BR945" s="109"/>
      <c r="BS945" s="109"/>
      <c r="BT945" s="109"/>
      <c r="BU945" s="109"/>
      <c r="BV945" s="109"/>
      <c r="BW945" s="109"/>
      <c r="BX945" s="109"/>
    </row>
    <row r="946" spans="1:7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  <c r="BR946" s="109"/>
      <c r="BS946" s="109"/>
      <c r="BT946" s="109"/>
      <c r="BU946" s="109"/>
      <c r="BV946" s="109"/>
      <c r="BW946" s="109"/>
      <c r="BX946" s="109"/>
    </row>
    <row r="947" spans="1:7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  <c r="BR947" s="109"/>
      <c r="BS947" s="109"/>
      <c r="BT947" s="109"/>
      <c r="BU947" s="109"/>
      <c r="BV947" s="109"/>
      <c r="BW947" s="109"/>
      <c r="BX947" s="109"/>
    </row>
    <row r="948" spans="1:7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  <c r="BR948" s="109"/>
      <c r="BS948" s="109"/>
      <c r="BT948" s="109"/>
      <c r="BU948" s="109"/>
      <c r="BV948" s="109"/>
      <c r="BW948" s="109"/>
      <c r="BX948" s="109"/>
    </row>
    <row r="949" spans="1:7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  <c r="BR949" s="109"/>
      <c r="BS949" s="109"/>
      <c r="BT949" s="109"/>
      <c r="BU949" s="109"/>
      <c r="BV949" s="109"/>
      <c r="BW949" s="109"/>
      <c r="BX949" s="109"/>
    </row>
    <row r="950" spans="1:7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  <c r="BR950" s="109"/>
      <c r="BS950" s="109"/>
      <c r="BT950" s="109"/>
      <c r="BU950" s="109"/>
      <c r="BV950" s="109"/>
      <c r="BW950" s="109"/>
      <c r="BX950" s="109"/>
    </row>
    <row r="951" spans="1:7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  <c r="BR951" s="109"/>
      <c r="BS951" s="109"/>
      <c r="BT951" s="109"/>
      <c r="BU951" s="109"/>
      <c r="BV951" s="109"/>
      <c r="BW951" s="109"/>
      <c r="BX951" s="109"/>
    </row>
    <row r="952" spans="1:7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  <c r="BR952" s="109"/>
      <c r="BS952" s="109"/>
      <c r="BT952" s="109"/>
      <c r="BU952" s="109"/>
      <c r="BV952" s="109"/>
      <c r="BW952" s="109"/>
      <c r="BX952" s="109"/>
    </row>
    <row r="953" spans="1:7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  <c r="BR953" s="109"/>
      <c r="BS953" s="109"/>
      <c r="BT953" s="109"/>
      <c r="BU953" s="109"/>
      <c r="BV953" s="109"/>
      <c r="BW953" s="109"/>
      <c r="BX953" s="109"/>
    </row>
    <row r="954" spans="1:7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  <c r="BR954" s="109"/>
      <c r="BS954" s="109"/>
      <c r="BT954" s="109"/>
      <c r="BU954" s="109"/>
      <c r="BV954" s="109"/>
      <c r="BW954" s="109"/>
      <c r="BX954" s="109"/>
    </row>
    <row r="955" spans="1:7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  <c r="BR955" s="109"/>
      <c r="BS955" s="109"/>
      <c r="BT955" s="109"/>
      <c r="BU955" s="109"/>
      <c r="BV955" s="109"/>
      <c r="BW955" s="109"/>
      <c r="BX955" s="109"/>
    </row>
    <row r="956" spans="1:7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  <c r="BR956" s="109"/>
      <c r="BS956" s="109"/>
      <c r="BT956" s="109"/>
      <c r="BU956" s="109"/>
      <c r="BV956" s="109"/>
      <c r="BW956" s="109"/>
      <c r="BX956" s="109"/>
    </row>
    <row r="957" spans="1:7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  <c r="BR957" s="109"/>
      <c r="BS957" s="109"/>
      <c r="BT957" s="109"/>
      <c r="BU957" s="109"/>
      <c r="BV957" s="109"/>
      <c r="BW957" s="109"/>
      <c r="BX957" s="109"/>
    </row>
    <row r="958" spans="1:7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  <c r="BR958" s="109"/>
      <c r="BS958" s="109"/>
      <c r="BT958" s="109"/>
      <c r="BU958" s="109"/>
      <c r="BV958" s="109"/>
      <c r="BW958" s="109"/>
      <c r="BX958" s="109"/>
    </row>
    <row r="959" spans="1:7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  <c r="BR959" s="109"/>
      <c r="BS959" s="109"/>
      <c r="BT959" s="109"/>
      <c r="BU959" s="109"/>
      <c r="BV959" s="109"/>
      <c r="BW959" s="109"/>
      <c r="BX959" s="109"/>
    </row>
    <row r="960" spans="1:7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  <c r="BR960" s="109"/>
      <c r="BS960" s="109"/>
      <c r="BT960" s="109"/>
      <c r="BU960" s="109"/>
      <c r="BV960" s="109"/>
      <c r="BW960" s="109"/>
      <c r="BX960" s="109"/>
    </row>
    <row r="961" spans="1:7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  <c r="BR961" s="109"/>
      <c r="BS961" s="109"/>
      <c r="BT961" s="109"/>
      <c r="BU961" s="109"/>
      <c r="BV961" s="109"/>
      <c r="BW961" s="109"/>
      <c r="BX961" s="109"/>
    </row>
    <row r="962" spans="1:7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  <c r="BR962" s="109"/>
      <c r="BS962" s="109"/>
      <c r="BT962" s="109"/>
      <c r="BU962" s="109"/>
      <c r="BV962" s="109"/>
      <c r="BW962" s="109"/>
      <c r="BX962" s="109"/>
    </row>
    <row r="963" spans="1:7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  <c r="BR963" s="109"/>
      <c r="BS963" s="109"/>
      <c r="BT963" s="109"/>
      <c r="BU963" s="109"/>
      <c r="BV963" s="109"/>
      <c r="BW963" s="109"/>
      <c r="BX963" s="109"/>
    </row>
    <row r="964" spans="1:7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  <c r="BR964" s="109"/>
      <c r="BS964" s="109"/>
      <c r="BT964" s="109"/>
      <c r="BU964" s="109"/>
      <c r="BV964" s="109"/>
      <c r="BW964" s="109"/>
      <c r="BX964" s="109"/>
    </row>
    <row r="965" spans="1:7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  <c r="BR965" s="109"/>
      <c r="BS965" s="109"/>
      <c r="BT965" s="109"/>
      <c r="BU965" s="109"/>
      <c r="BV965" s="109"/>
      <c r="BW965" s="109"/>
      <c r="BX965" s="109"/>
    </row>
    <row r="966" spans="1:7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  <c r="BR966" s="109"/>
      <c r="BS966" s="109"/>
      <c r="BT966" s="109"/>
      <c r="BU966" s="109"/>
      <c r="BV966" s="109"/>
      <c r="BW966" s="109"/>
      <c r="BX966" s="109"/>
    </row>
    <row r="967" spans="1:7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  <c r="BR967" s="109"/>
      <c r="BS967" s="109"/>
      <c r="BT967" s="109"/>
      <c r="BU967" s="109"/>
      <c r="BV967" s="109"/>
      <c r="BW967" s="109"/>
      <c r="BX967" s="109"/>
    </row>
    <row r="968" spans="1:7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  <c r="BR968" s="109"/>
      <c r="BS968" s="109"/>
      <c r="BT968" s="109"/>
      <c r="BU968" s="109"/>
      <c r="BV968" s="109"/>
      <c r="BW968" s="109"/>
      <c r="BX968" s="109"/>
    </row>
    <row r="969" spans="1:7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  <c r="BR969" s="109"/>
      <c r="BS969" s="109"/>
      <c r="BT969" s="109"/>
      <c r="BU969" s="109"/>
      <c r="BV969" s="109"/>
      <c r="BW969" s="109"/>
      <c r="BX969" s="109"/>
    </row>
    <row r="970" spans="1:7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  <c r="BR970" s="109"/>
      <c r="BS970" s="109"/>
      <c r="BT970" s="109"/>
      <c r="BU970" s="109"/>
      <c r="BV970" s="109"/>
      <c r="BW970" s="109"/>
      <c r="BX970" s="109"/>
    </row>
    <row r="971" spans="1:7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  <c r="BR971" s="109"/>
      <c r="BS971" s="109"/>
      <c r="BT971" s="109"/>
      <c r="BU971" s="109"/>
      <c r="BV971" s="109"/>
      <c r="BW971" s="109"/>
      <c r="BX971" s="109"/>
    </row>
    <row r="972" spans="1:7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  <c r="BR972" s="109"/>
      <c r="BS972" s="109"/>
      <c r="BT972" s="109"/>
      <c r="BU972" s="109"/>
      <c r="BV972" s="109"/>
      <c r="BW972" s="109"/>
      <c r="BX972" s="109"/>
    </row>
    <row r="973" spans="1:7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  <c r="BR973" s="109"/>
      <c r="BS973" s="109"/>
      <c r="BT973" s="109"/>
      <c r="BU973" s="109"/>
      <c r="BV973" s="109"/>
      <c r="BW973" s="109"/>
      <c r="BX973" s="109"/>
    </row>
    <row r="974" spans="1:7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  <c r="BR974" s="109"/>
      <c r="BS974" s="109"/>
      <c r="BT974" s="109"/>
      <c r="BU974" s="109"/>
      <c r="BV974" s="109"/>
      <c r="BW974" s="109"/>
      <c r="BX974" s="109"/>
    </row>
    <row r="975" spans="1:7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  <c r="BR975" s="109"/>
      <c r="BS975" s="109"/>
      <c r="BT975" s="109"/>
      <c r="BU975" s="109"/>
      <c r="BV975" s="109"/>
      <c r="BW975" s="109"/>
      <c r="BX975" s="109"/>
    </row>
    <row r="976" spans="1:7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  <c r="BR976" s="109"/>
      <c r="BS976" s="109"/>
      <c r="BT976" s="109"/>
      <c r="BU976" s="109"/>
      <c r="BV976" s="109"/>
      <c r="BW976" s="109"/>
      <c r="BX976" s="109"/>
    </row>
    <row r="977" spans="1:7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  <c r="BR977" s="109"/>
      <c r="BS977" s="109"/>
      <c r="BT977" s="109"/>
      <c r="BU977" s="109"/>
      <c r="BV977" s="109"/>
      <c r="BW977" s="109"/>
      <c r="BX977" s="109"/>
    </row>
    <row r="978" spans="1:7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  <c r="BR978" s="109"/>
      <c r="BS978" s="109"/>
      <c r="BT978" s="109"/>
      <c r="BU978" s="109"/>
      <c r="BV978" s="109"/>
      <c r="BW978" s="109"/>
      <c r="BX978" s="109"/>
    </row>
    <row r="979" spans="1:7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  <c r="BR979" s="109"/>
      <c r="BS979" s="109"/>
      <c r="BT979" s="109"/>
      <c r="BU979" s="109"/>
      <c r="BV979" s="109"/>
      <c r="BW979" s="109"/>
      <c r="BX979" s="109"/>
    </row>
    <row r="980" spans="1:7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  <c r="BR980" s="109"/>
      <c r="BS980" s="109"/>
      <c r="BT980" s="109"/>
      <c r="BU980" s="109"/>
      <c r="BV980" s="109"/>
      <c r="BW980" s="109"/>
      <c r="BX980" s="109"/>
    </row>
    <row r="981" spans="1:7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  <c r="BR981" s="109"/>
      <c r="BS981" s="109"/>
      <c r="BT981" s="109"/>
      <c r="BU981" s="109"/>
      <c r="BV981" s="109"/>
      <c r="BW981" s="109"/>
      <c r="BX981" s="109"/>
    </row>
    <row r="982" spans="1:7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  <c r="BR982" s="109"/>
      <c r="BS982" s="109"/>
      <c r="BT982" s="109"/>
      <c r="BU982" s="109"/>
      <c r="BV982" s="109"/>
      <c r="BW982" s="109"/>
      <c r="BX982" s="109"/>
    </row>
    <row r="983" spans="1:7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  <c r="BR983" s="109"/>
      <c r="BS983" s="109"/>
      <c r="BT983" s="109"/>
      <c r="BU983" s="109"/>
      <c r="BV983" s="109"/>
      <c r="BW983" s="109"/>
      <c r="BX983" s="109"/>
    </row>
    <row r="984" spans="1:7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  <c r="BR984" s="109"/>
      <c r="BS984" s="109"/>
      <c r="BT984" s="109"/>
      <c r="BU984" s="109"/>
      <c r="BV984" s="109"/>
      <c r="BW984" s="109"/>
      <c r="BX984" s="109"/>
    </row>
    <row r="985" spans="1:7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  <c r="BR985" s="109"/>
      <c r="BS985" s="109"/>
      <c r="BT985" s="109"/>
      <c r="BU985" s="109"/>
      <c r="BV985" s="109"/>
      <c r="BW985" s="109"/>
      <c r="BX985" s="109"/>
    </row>
    <row r="986" spans="1:7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  <c r="BR986" s="109"/>
      <c r="BS986" s="109"/>
      <c r="BT986" s="109"/>
      <c r="BU986" s="109"/>
      <c r="BV986" s="109"/>
      <c r="BW986" s="109"/>
      <c r="BX986" s="109"/>
    </row>
    <row r="987" spans="1:7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  <c r="BR987" s="109"/>
      <c r="BS987" s="109"/>
      <c r="BT987" s="109"/>
      <c r="BU987" s="109"/>
      <c r="BV987" s="109"/>
      <c r="BW987" s="109"/>
      <c r="BX987" s="109"/>
    </row>
    <row r="988" spans="1:7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  <c r="BR988" s="109"/>
      <c r="BS988" s="109"/>
      <c r="BT988" s="109"/>
      <c r="BU988" s="109"/>
      <c r="BV988" s="109"/>
      <c r="BW988" s="109"/>
      <c r="BX988" s="109"/>
    </row>
    <row r="989" spans="1:7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  <c r="BR989" s="109"/>
      <c r="BS989" s="109"/>
      <c r="BT989" s="109"/>
      <c r="BU989" s="109"/>
      <c r="BV989" s="109"/>
      <c r="BW989" s="109"/>
      <c r="BX989" s="109"/>
    </row>
    <row r="990" spans="1:7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  <c r="BR990" s="109"/>
      <c r="BS990" s="109"/>
      <c r="BT990" s="109"/>
      <c r="BU990" s="109"/>
      <c r="BV990" s="109"/>
      <c r="BW990" s="109"/>
      <c r="BX990" s="109"/>
    </row>
    <row r="991" spans="1:7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  <c r="BR991" s="109"/>
      <c r="BS991" s="109"/>
      <c r="BT991" s="109"/>
      <c r="BU991" s="109"/>
      <c r="BV991" s="109"/>
      <c r="BW991" s="109"/>
      <c r="BX991" s="109"/>
    </row>
    <row r="992" spans="1:7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  <c r="BR992" s="109"/>
      <c r="BS992" s="109"/>
      <c r="BT992" s="109"/>
      <c r="BU992" s="109"/>
      <c r="BV992" s="109"/>
      <c r="BW992" s="109"/>
      <c r="BX992" s="109"/>
    </row>
    <row r="993" spans="1:7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  <c r="BR993" s="109"/>
      <c r="BS993" s="109"/>
      <c r="BT993" s="109"/>
      <c r="BU993" s="109"/>
      <c r="BV993" s="109"/>
      <c r="BW993" s="109"/>
      <c r="BX993" s="109"/>
    </row>
    <row r="994" spans="1:7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  <c r="BR994" s="109"/>
      <c r="BS994" s="109"/>
      <c r="BT994" s="109"/>
      <c r="BU994" s="109"/>
      <c r="BV994" s="109"/>
      <c r="BW994" s="109"/>
      <c r="BX994" s="109"/>
    </row>
    <row r="995" spans="1:7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  <c r="BR995" s="109"/>
      <c r="BS995" s="109"/>
      <c r="BT995" s="109"/>
      <c r="BU995" s="109"/>
      <c r="BV995" s="109"/>
      <c r="BW995" s="109"/>
      <c r="BX995" s="109"/>
    </row>
    <row r="996" spans="1:7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  <c r="BR996" s="109"/>
      <c r="BS996" s="109"/>
      <c r="BT996" s="109"/>
      <c r="BU996" s="109"/>
      <c r="BV996" s="109"/>
      <c r="BW996" s="109"/>
      <c r="BX996" s="109"/>
    </row>
    <row r="997" spans="1:7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  <c r="BR997" s="109"/>
      <c r="BS997" s="109"/>
      <c r="BT997" s="109"/>
      <c r="BU997" s="109"/>
      <c r="BV997" s="109"/>
      <c r="BW997" s="109"/>
      <c r="BX997" s="109"/>
    </row>
    <row r="998" spans="1:7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  <c r="BR998" s="109"/>
      <c r="BS998" s="109"/>
      <c r="BT998" s="109"/>
      <c r="BU998" s="109"/>
      <c r="BV998" s="109"/>
      <c r="BW998" s="109"/>
      <c r="BX998" s="109"/>
    </row>
    <row r="999" spans="1:7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  <c r="BR999" s="109"/>
      <c r="BS999" s="109"/>
      <c r="BT999" s="109"/>
      <c r="BU999" s="109"/>
      <c r="BV999" s="109"/>
      <c r="BW999" s="109"/>
      <c r="BX999" s="109"/>
    </row>
    <row r="1000" spans="1:7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  <c r="BR1000" s="109"/>
      <c r="BS1000" s="109"/>
      <c r="BT1000" s="109"/>
      <c r="BU1000" s="109"/>
      <c r="BV1000" s="109"/>
      <c r="BW1000" s="109"/>
      <c r="BX1000" s="109"/>
    </row>
    <row r="1001" spans="1:7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  <c r="BR1001" s="109"/>
      <c r="BS1001" s="109"/>
      <c r="BT1001" s="109"/>
      <c r="BU1001" s="109"/>
      <c r="BV1001" s="109"/>
      <c r="BW1001" s="109"/>
      <c r="BX1001" s="109"/>
    </row>
    <row r="1002" spans="1:7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  <c r="BR1002" s="109"/>
      <c r="BS1002" s="109"/>
      <c r="BT1002" s="109"/>
      <c r="BU1002" s="109"/>
      <c r="BV1002" s="109"/>
      <c r="BW1002" s="109"/>
      <c r="BX1002" s="109"/>
    </row>
    <row r="1003" spans="1:7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  <c r="BR1003" s="109"/>
      <c r="BS1003" s="109"/>
      <c r="BT1003" s="109"/>
      <c r="BU1003" s="109"/>
      <c r="BV1003" s="109"/>
      <c r="BW1003" s="109"/>
      <c r="BX1003" s="109"/>
    </row>
    <row r="1004" spans="1:7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  <c r="BR1004" s="109"/>
      <c r="BS1004" s="109"/>
      <c r="BT1004" s="109"/>
      <c r="BU1004" s="109"/>
      <c r="BV1004" s="109"/>
      <c r="BW1004" s="109"/>
      <c r="BX1004" s="109"/>
    </row>
    <row r="1005" spans="1:7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  <c r="BR1005" s="109"/>
      <c r="BS1005" s="109"/>
      <c r="BT1005" s="109"/>
      <c r="BU1005" s="109"/>
      <c r="BV1005" s="109"/>
      <c r="BW1005" s="109"/>
      <c r="BX1005" s="109"/>
    </row>
    <row r="1006" spans="1:7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  <c r="BR1006" s="109"/>
      <c r="BS1006" s="109"/>
      <c r="BT1006" s="109"/>
      <c r="BU1006" s="109"/>
      <c r="BV1006" s="109"/>
      <c r="BW1006" s="109"/>
      <c r="BX1006" s="109"/>
    </row>
    <row r="1007" spans="1:7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  <c r="BR1007" s="109"/>
      <c r="BS1007" s="109"/>
      <c r="BT1007" s="109"/>
      <c r="BU1007" s="109"/>
      <c r="BV1007" s="109"/>
      <c r="BW1007" s="109"/>
      <c r="BX1007" s="109"/>
    </row>
    <row r="1008" spans="1:7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  <c r="BR1008" s="109"/>
      <c r="BS1008" s="109"/>
      <c r="BT1008" s="109"/>
      <c r="BU1008" s="109"/>
      <c r="BV1008" s="109"/>
      <c r="BW1008" s="109"/>
      <c r="BX1008" s="109"/>
    </row>
    <row r="1009" spans="1:7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  <c r="BR1009" s="109"/>
      <c r="BS1009" s="109"/>
      <c r="BT1009" s="109"/>
      <c r="BU1009" s="109"/>
      <c r="BV1009" s="109"/>
      <c r="BW1009" s="109"/>
      <c r="BX1009" s="109"/>
    </row>
    <row r="1010" spans="1:7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  <c r="BR1010" s="109"/>
      <c r="BS1010" s="109"/>
      <c r="BT1010" s="109"/>
      <c r="BU1010" s="109"/>
      <c r="BV1010" s="109"/>
      <c r="BW1010" s="109"/>
      <c r="BX1010" s="109"/>
    </row>
    <row r="1011" spans="1:7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  <c r="BR1011" s="109"/>
      <c r="BS1011" s="109"/>
      <c r="BT1011" s="109"/>
      <c r="BU1011" s="109"/>
      <c r="BV1011" s="109"/>
      <c r="BW1011" s="109"/>
      <c r="BX1011" s="109"/>
    </row>
    <row r="1012" spans="1:7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  <c r="BR1012" s="109"/>
      <c r="BS1012" s="109"/>
      <c r="BT1012" s="109"/>
      <c r="BU1012" s="109"/>
      <c r="BV1012" s="109"/>
      <c r="BW1012" s="109"/>
      <c r="BX1012" s="109"/>
    </row>
    <row r="1013" spans="1:7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  <c r="BR1013" s="109"/>
      <c r="BS1013" s="109"/>
      <c r="BT1013" s="109"/>
      <c r="BU1013" s="109"/>
      <c r="BV1013" s="109"/>
      <c r="BW1013" s="109"/>
      <c r="BX1013" s="109"/>
    </row>
    <row r="1014" spans="1:7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  <c r="BR1014" s="109"/>
      <c r="BS1014" s="109"/>
      <c r="BT1014" s="109"/>
      <c r="BU1014" s="109"/>
      <c r="BV1014" s="109"/>
      <c r="BW1014" s="109"/>
      <c r="BX1014" s="109"/>
    </row>
    <row r="1015" spans="1:7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  <c r="BR1015" s="109"/>
      <c r="BS1015" s="109"/>
      <c r="BT1015" s="109"/>
      <c r="BU1015" s="109"/>
      <c r="BV1015" s="109"/>
      <c r="BW1015" s="109"/>
      <c r="BX1015" s="109"/>
    </row>
    <row r="1016" spans="1:7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  <c r="BR1016" s="109"/>
      <c r="BS1016" s="109"/>
      <c r="BT1016" s="109"/>
      <c r="BU1016" s="109"/>
      <c r="BV1016" s="109"/>
      <c r="BW1016" s="109"/>
      <c r="BX1016" s="109"/>
    </row>
    <row r="1017" spans="1:7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  <c r="BR1017" s="109"/>
      <c r="BS1017" s="109"/>
      <c r="BT1017" s="109"/>
      <c r="BU1017" s="109"/>
      <c r="BV1017" s="109"/>
      <c r="BW1017" s="109"/>
      <c r="BX1017" s="109"/>
    </row>
    <row r="1018" spans="1:7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  <c r="BR1018" s="109"/>
      <c r="BS1018" s="109"/>
      <c r="BT1018" s="109"/>
      <c r="BU1018" s="109"/>
      <c r="BV1018" s="109"/>
      <c r="BW1018" s="109"/>
      <c r="BX1018" s="109"/>
    </row>
    <row r="1019" spans="1:7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  <c r="BR1019" s="109"/>
      <c r="BS1019" s="109"/>
      <c r="BT1019" s="109"/>
      <c r="BU1019" s="109"/>
      <c r="BV1019" s="109"/>
      <c r="BW1019" s="109"/>
      <c r="BX1019" s="109"/>
    </row>
    <row r="1020" spans="1:7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  <c r="BR1020" s="109"/>
      <c r="BS1020" s="109"/>
      <c r="BT1020" s="109"/>
      <c r="BU1020" s="109"/>
      <c r="BV1020" s="109"/>
      <c r="BW1020" s="109"/>
      <c r="BX1020" s="109"/>
    </row>
    <row r="1021" spans="1:7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  <c r="BR1021" s="109"/>
      <c r="BS1021" s="109"/>
      <c r="BT1021" s="109"/>
      <c r="BU1021" s="109"/>
      <c r="BV1021" s="109"/>
      <c r="BW1021" s="109"/>
      <c r="BX1021" s="109"/>
    </row>
    <row r="1022" spans="1:7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  <c r="BR1022" s="109"/>
      <c r="BS1022" s="109"/>
      <c r="BT1022" s="109"/>
      <c r="BU1022" s="109"/>
      <c r="BV1022" s="109"/>
      <c r="BW1022" s="109"/>
      <c r="BX1022" s="109"/>
    </row>
    <row r="1023" spans="1:7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  <c r="BR1023" s="109"/>
      <c r="BS1023" s="109"/>
      <c r="BT1023" s="109"/>
      <c r="BU1023" s="109"/>
      <c r="BV1023" s="109"/>
      <c r="BW1023" s="109"/>
      <c r="BX1023" s="109"/>
    </row>
    <row r="1024" spans="1:7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  <c r="BR1024" s="109"/>
      <c r="BS1024" s="109"/>
      <c r="BT1024" s="109"/>
      <c r="BU1024" s="109"/>
      <c r="BV1024" s="109"/>
      <c r="BW1024" s="109"/>
      <c r="BX1024" s="109"/>
    </row>
    <row r="1025" spans="1:7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  <c r="BR1025" s="109"/>
      <c r="BS1025" s="109"/>
      <c r="BT1025" s="109"/>
      <c r="BU1025" s="109"/>
      <c r="BV1025" s="109"/>
      <c r="BW1025" s="109"/>
      <c r="BX1025" s="109"/>
    </row>
    <row r="1026" spans="1:7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  <c r="BR1026" s="109"/>
      <c r="BS1026" s="109"/>
      <c r="BT1026" s="109"/>
      <c r="BU1026" s="109"/>
      <c r="BV1026" s="109"/>
      <c r="BW1026" s="109"/>
      <c r="BX1026" s="109"/>
    </row>
    <row r="1027" spans="1:7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  <c r="BR1027" s="109"/>
      <c r="BS1027" s="109"/>
      <c r="BT1027" s="109"/>
      <c r="BU1027" s="109"/>
      <c r="BV1027" s="109"/>
      <c r="BW1027" s="109"/>
      <c r="BX1027" s="109"/>
    </row>
    <row r="1028" spans="1:7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  <c r="BR1028" s="109"/>
      <c r="BS1028" s="109"/>
      <c r="BT1028" s="109"/>
      <c r="BU1028" s="109"/>
      <c r="BV1028" s="109"/>
      <c r="BW1028" s="109"/>
      <c r="BX1028" s="109"/>
    </row>
    <row r="1029" spans="1:7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  <c r="BR1029" s="109"/>
      <c r="BS1029" s="109"/>
      <c r="BT1029" s="109"/>
      <c r="BU1029" s="109"/>
      <c r="BV1029" s="109"/>
      <c r="BW1029" s="109"/>
      <c r="BX1029" s="109"/>
    </row>
    <row r="1030" spans="1:7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  <c r="BR1030" s="109"/>
      <c r="BS1030" s="109"/>
      <c r="BT1030" s="109"/>
      <c r="BU1030" s="109"/>
      <c r="BV1030" s="109"/>
      <c r="BW1030" s="109"/>
      <c r="BX1030" s="109"/>
    </row>
    <row r="1031" spans="1:7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  <c r="BR1031" s="109"/>
      <c r="BS1031" s="109"/>
      <c r="BT1031" s="109"/>
      <c r="BU1031" s="109"/>
      <c r="BV1031" s="109"/>
      <c r="BW1031" s="109"/>
      <c r="BX1031" s="109"/>
    </row>
    <row r="1032" spans="1:7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  <c r="BR1032" s="109"/>
      <c r="BS1032" s="109"/>
      <c r="BT1032" s="109"/>
      <c r="BU1032" s="109"/>
      <c r="BV1032" s="109"/>
      <c r="BW1032" s="109"/>
      <c r="BX1032" s="109"/>
    </row>
    <row r="1033" spans="1:7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  <c r="BR1033" s="109"/>
      <c r="BS1033" s="109"/>
      <c r="BT1033" s="109"/>
      <c r="BU1033" s="109"/>
      <c r="BV1033" s="109"/>
      <c r="BW1033" s="109"/>
      <c r="BX1033" s="109"/>
    </row>
    <row r="1034" spans="1:7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  <c r="BR1034" s="109"/>
      <c r="BS1034" s="109"/>
      <c r="BT1034" s="109"/>
      <c r="BU1034" s="109"/>
      <c r="BV1034" s="109"/>
      <c r="BW1034" s="109"/>
      <c r="BX1034" s="109"/>
    </row>
    <row r="1035" spans="1:7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  <c r="BR1035" s="109"/>
      <c r="BS1035" s="109"/>
      <c r="BT1035" s="109"/>
      <c r="BU1035" s="109"/>
      <c r="BV1035" s="109"/>
      <c r="BW1035" s="109"/>
      <c r="BX1035" s="109"/>
    </row>
    <row r="1036" spans="1:7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  <c r="BR1036" s="109"/>
      <c r="BS1036" s="109"/>
      <c r="BT1036" s="109"/>
      <c r="BU1036" s="109"/>
      <c r="BV1036" s="109"/>
      <c r="BW1036" s="109"/>
      <c r="BX1036" s="109"/>
    </row>
    <row r="1037" spans="1:7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  <c r="BR1037" s="109"/>
      <c r="BS1037" s="109"/>
      <c r="BT1037" s="109"/>
      <c r="BU1037" s="109"/>
      <c r="BV1037" s="109"/>
      <c r="BW1037" s="109"/>
      <c r="BX1037" s="109"/>
    </row>
    <row r="1038" spans="1:7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  <c r="BR1038" s="109"/>
      <c r="BS1038" s="109"/>
      <c r="BT1038" s="109"/>
      <c r="BU1038" s="109"/>
      <c r="BV1038" s="109"/>
      <c r="BW1038" s="109"/>
      <c r="BX1038" s="109"/>
    </row>
    <row r="1039" spans="1:7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  <c r="BR1039" s="109"/>
      <c r="BS1039" s="109"/>
      <c r="BT1039" s="109"/>
      <c r="BU1039" s="109"/>
      <c r="BV1039" s="109"/>
      <c r="BW1039" s="109"/>
      <c r="BX1039" s="109"/>
    </row>
    <row r="1040" spans="1:7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  <c r="BR1040" s="109"/>
      <c r="BS1040" s="109"/>
      <c r="BT1040" s="109"/>
      <c r="BU1040" s="109"/>
      <c r="BV1040" s="109"/>
      <c r="BW1040" s="109"/>
      <c r="BX1040" s="109"/>
    </row>
    <row r="1041" spans="1:7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  <c r="BR1041" s="109"/>
      <c r="BS1041" s="109"/>
      <c r="BT1041" s="109"/>
      <c r="BU1041" s="109"/>
      <c r="BV1041" s="109"/>
      <c r="BW1041" s="109"/>
      <c r="BX1041" s="109"/>
    </row>
    <row r="1042" spans="1:7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  <c r="BR1042" s="109"/>
      <c r="BS1042" s="109"/>
      <c r="BT1042" s="109"/>
      <c r="BU1042" s="109"/>
      <c r="BV1042" s="109"/>
      <c r="BW1042" s="109"/>
      <c r="BX1042" s="109"/>
    </row>
    <row r="1043" spans="1:7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  <c r="BR1043" s="109"/>
      <c r="BS1043" s="109"/>
      <c r="BT1043" s="109"/>
      <c r="BU1043" s="109"/>
      <c r="BV1043" s="109"/>
      <c r="BW1043" s="109"/>
      <c r="BX1043" s="109"/>
    </row>
    <row r="1044" spans="1:7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  <c r="BR1044" s="109"/>
      <c r="BS1044" s="109"/>
      <c r="BT1044" s="109"/>
      <c r="BU1044" s="109"/>
      <c r="BV1044" s="109"/>
      <c r="BW1044" s="109"/>
      <c r="BX1044" s="109"/>
    </row>
    <row r="1045" spans="1:7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  <c r="BR1045" s="109"/>
      <c r="BS1045" s="109"/>
      <c r="BT1045" s="109"/>
      <c r="BU1045" s="109"/>
      <c r="BV1045" s="109"/>
      <c r="BW1045" s="109"/>
      <c r="BX1045" s="109"/>
    </row>
    <row r="1046" spans="1:7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  <c r="BR1046" s="109"/>
      <c r="BS1046" s="109"/>
      <c r="BT1046" s="109"/>
      <c r="BU1046" s="109"/>
      <c r="BV1046" s="109"/>
      <c r="BW1046" s="109"/>
      <c r="BX1046" s="109"/>
    </row>
    <row r="1047" spans="1:7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  <c r="BR1047" s="109"/>
      <c r="BS1047" s="109"/>
      <c r="BT1047" s="109"/>
      <c r="BU1047" s="109"/>
      <c r="BV1047" s="109"/>
      <c r="BW1047" s="109"/>
      <c r="BX1047" s="109"/>
    </row>
    <row r="1048" spans="1:7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  <c r="BR1048" s="109"/>
      <c r="BS1048" s="109"/>
      <c r="BT1048" s="109"/>
      <c r="BU1048" s="109"/>
      <c r="BV1048" s="109"/>
      <c r="BW1048" s="109"/>
      <c r="BX1048" s="109"/>
    </row>
    <row r="1049" spans="1:7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  <c r="BR1049" s="109"/>
      <c r="BS1049" s="109"/>
      <c r="BT1049" s="109"/>
      <c r="BU1049" s="109"/>
      <c r="BV1049" s="109"/>
      <c r="BW1049" s="109"/>
      <c r="BX1049" s="109"/>
    </row>
    <row r="1050" spans="1:7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  <c r="BR1050" s="109"/>
      <c r="BS1050" s="109"/>
      <c r="BT1050" s="109"/>
      <c r="BU1050" s="109"/>
      <c r="BV1050" s="109"/>
      <c r="BW1050" s="109"/>
      <c r="BX1050" s="109"/>
    </row>
    <row r="1051" spans="1:7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  <c r="BR1051" s="109"/>
      <c r="BS1051" s="109"/>
      <c r="BT1051" s="109"/>
      <c r="BU1051" s="109"/>
      <c r="BV1051" s="109"/>
      <c r="BW1051" s="109"/>
      <c r="BX1051" s="109"/>
    </row>
    <row r="1052" spans="1:7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  <c r="BR1052" s="109"/>
      <c r="BS1052" s="109"/>
      <c r="BT1052" s="109"/>
      <c r="BU1052" s="109"/>
      <c r="BV1052" s="109"/>
      <c r="BW1052" s="109"/>
      <c r="BX1052" s="109"/>
    </row>
    <row r="1053" spans="1:7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  <c r="BR1053" s="109"/>
      <c r="BS1053" s="109"/>
      <c r="BT1053" s="109"/>
      <c r="BU1053" s="109"/>
      <c r="BV1053" s="109"/>
      <c r="BW1053" s="109"/>
      <c r="BX1053" s="109"/>
    </row>
    <row r="1054" spans="1:7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  <c r="BR1054" s="109"/>
      <c r="BS1054" s="109"/>
      <c r="BT1054" s="109"/>
      <c r="BU1054" s="109"/>
      <c r="BV1054" s="109"/>
      <c r="BW1054" s="109"/>
      <c r="BX1054" s="109"/>
    </row>
    <row r="1055" spans="1:7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  <c r="BR1055" s="109"/>
      <c r="BS1055" s="109"/>
      <c r="BT1055" s="109"/>
      <c r="BU1055" s="109"/>
      <c r="BV1055" s="109"/>
      <c r="BW1055" s="109"/>
      <c r="BX1055" s="109"/>
    </row>
    <row r="1056" spans="1:7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  <c r="BR1056" s="109"/>
      <c r="BS1056" s="109"/>
      <c r="BT1056" s="109"/>
      <c r="BU1056" s="109"/>
      <c r="BV1056" s="109"/>
      <c r="BW1056" s="109"/>
      <c r="BX1056" s="109"/>
    </row>
    <row r="1057" spans="1:7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  <c r="BR1057" s="109"/>
      <c r="BS1057" s="109"/>
      <c r="BT1057" s="109"/>
      <c r="BU1057" s="109"/>
      <c r="BV1057" s="109"/>
      <c r="BW1057" s="109"/>
      <c r="BX1057" s="109"/>
    </row>
    <row r="1058" spans="1:7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  <c r="BR1058" s="109"/>
      <c r="BS1058" s="109"/>
      <c r="BT1058" s="109"/>
      <c r="BU1058" s="109"/>
      <c r="BV1058" s="109"/>
      <c r="BW1058" s="109"/>
      <c r="BX1058" s="109"/>
    </row>
    <row r="1059" spans="1:7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  <c r="BR1059" s="109"/>
      <c r="BS1059" s="109"/>
      <c r="BT1059" s="109"/>
      <c r="BU1059" s="109"/>
      <c r="BV1059" s="109"/>
      <c r="BW1059" s="109"/>
      <c r="BX1059" s="109"/>
    </row>
    <row r="1060" spans="1:7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  <c r="BR1060" s="109"/>
      <c r="BS1060" s="109"/>
      <c r="BT1060" s="109"/>
      <c r="BU1060" s="109"/>
      <c r="BV1060" s="109"/>
      <c r="BW1060" s="109"/>
      <c r="BX1060" s="109"/>
    </row>
    <row r="1061" spans="1:7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  <c r="BR1061" s="109"/>
      <c r="BS1061" s="109"/>
      <c r="BT1061" s="109"/>
      <c r="BU1061" s="109"/>
      <c r="BV1061" s="109"/>
      <c r="BW1061" s="109"/>
      <c r="BX1061" s="109"/>
    </row>
    <row r="1062" spans="1:7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  <c r="BR1062" s="109"/>
      <c r="BS1062" s="109"/>
      <c r="BT1062" s="109"/>
      <c r="BU1062" s="109"/>
      <c r="BV1062" s="109"/>
      <c r="BW1062" s="109"/>
      <c r="BX1062" s="109"/>
    </row>
    <row r="1063" spans="1:7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  <c r="BR1063" s="109"/>
      <c r="BS1063" s="109"/>
      <c r="BT1063" s="109"/>
      <c r="BU1063" s="109"/>
      <c r="BV1063" s="109"/>
      <c r="BW1063" s="109"/>
      <c r="BX1063" s="109"/>
    </row>
    <row r="1064" spans="1:7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  <c r="BR1064" s="109"/>
      <c r="BS1064" s="109"/>
      <c r="BT1064" s="109"/>
      <c r="BU1064" s="109"/>
      <c r="BV1064" s="109"/>
      <c r="BW1064" s="109"/>
      <c r="BX1064" s="109"/>
    </row>
    <row r="1065" spans="1:7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  <c r="BR1065" s="109"/>
      <c r="BS1065" s="109"/>
      <c r="BT1065" s="109"/>
      <c r="BU1065" s="109"/>
      <c r="BV1065" s="109"/>
      <c r="BW1065" s="109"/>
      <c r="BX1065" s="109"/>
    </row>
    <row r="1066" spans="1:7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  <c r="BR1066" s="109"/>
      <c r="BS1066" s="109"/>
      <c r="BT1066" s="109"/>
      <c r="BU1066" s="109"/>
      <c r="BV1066" s="109"/>
      <c r="BW1066" s="109"/>
      <c r="BX1066" s="109"/>
    </row>
    <row r="1067" spans="1:7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  <c r="BR1067" s="109"/>
      <c r="BS1067" s="109"/>
      <c r="BT1067" s="109"/>
      <c r="BU1067" s="109"/>
      <c r="BV1067" s="109"/>
      <c r="BW1067" s="109"/>
      <c r="BX1067" s="109"/>
    </row>
    <row r="1068" spans="1:7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  <c r="BR1068" s="109"/>
      <c r="BS1068" s="109"/>
      <c r="BT1068" s="109"/>
      <c r="BU1068" s="109"/>
      <c r="BV1068" s="109"/>
      <c r="BW1068" s="109"/>
      <c r="BX1068" s="109"/>
    </row>
    <row r="1069" spans="1:7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  <c r="BR1069" s="109"/>
      <c r="BS1069" s="109"/>
      <c r="BT1069" s="109"/>
      <c r="BU1069" s="109"/>
      <c r="BV1069" s="109"/>
      <c r="BW1069" s="109"/>
      <c r="BX1069" s="109"/>
    </row>
    <row r="1070" spans="1:7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  <c r="BR1070" s="109"/>
      <c r="BS1070" s="109"/>
      <c r="BT1070" s="109"/>
      <c r="BU1070" s="109"/>
      <c r="BV1070" s="109"/>
      <c r="BW1070" s="109"/>
      <c r="BX1070" s="109"/>
    </row>
    <row r="1071" spans="1:7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  <c r="BR1071" s="109"/>
      <c r="BS1071" s="109"/>
      <c r="BT1071" s="109"/>
      <c r="BU1071" s="109"/>
      <c r="BV1071" s="109"/>
      <c r="BW1071" s="109"/>
      <c r="BX1071" s="109"/>
    </row>
    <row r="1072" spans="1:7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  <c r="BR1072" s="109"/>
      <c r="BS1072" s="109"/>
      <c r="BT1072" s="109"/>
      <c r="BU1072" s="109"/>
      <c r="BV1072" s="109"/>
      <c r="BW1072" s="109"/>
      <c r="BX1072" s="109"/>
    </row>
    <row r="1073" spans="1:7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  <c r="BR1073" s="109"/>
      <c r="BS1073" s="109"/>
      <c r="BT1073" s="109"/>
      <c r="BU1073" s="109"/>
      <c r="BV1073" s="109"/>
      <c r="BW1073" s="109"/>
      <c r="BX1073" s="109"/>
    </row>
    <row r="1074" spans="1:7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  <c r="BR1074" s="109"/>
      <c r="BS1074" s="109"/>
      <c r="BT1074" s="109"/>
      <c r="BU1074" s="109"/>
      <c r="BV1074" s="109"/>
      <c r="BW1074" s="109"/>
      <c r="BX1074" s="109"/>
    </row>
    <row r="1075" spans="1:7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  <c r="BR1075" s="109"/>
      <c r="BS1075" s="109"/>
      <c r="BT1075" s="109"/>
      <c r="BU1075" s="109"/>
      <c r="BV1075" s="109"/>
      <c r="BW1075" s="109"/>
      <c r="BX1075" s="109"/>
    </row>
    <row r="1076" spans="1:7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  <c r="BR1076" s="109"/>
      <c r="BS1076" s="109"/>
      <c r="BT1076" s="109"/>
      <c r="BU1076" s="109"/>
      <c r="BV1076" s="109"/>
      <c r="BW1076" s="109"/>
      <c r="BX1076" s="109"/>
    </row>
    <row r="1077" spans="1:7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  <c r="BR1077" s="109"/>
      <c r="BS1077" s="109"/>
      <c r="BT1077" s="109"/>
      <c r="BU1077" s="109"/>
      <c r="BV1077" s="109"/>
      <c r="BW1077" s="109"/>
      <c r="BX1077" s="109"/>
    </row>
    <row r="1078" spans="1:7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  <c r="BR1078" s="109"/>
      <c r="BS1078" s="109"/>
      <c r="BT1078" s="109"/>
      <c r="BU1078" s="109"/>
      <c r="BV1078" s="109"/>
      <c r="BW1078" s="109"/>
      <c r="BX1078" s="109"/>
    </row>
    <row r="1079" spans="1:7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  <c r="BR1079" s="109"/>
      <c r="BS1079" s="109"/>
      <c r="BT1079" s="109"/>
      <c r="BU1079" s="109"/>
      <c r="BV1079" s="109"/>
      <c r="BW1079" s="109"/>
      <c r="BX1079" s="109"/>
    </row>
    <row r="1080" spans="1:7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  <c r="BR1080" s="109"/>
      <c r="BS1080" s="109"/>
      <c r="BT1080" s="109"/>
      <c r="BU1080" s="109"/>
      <c r="BV1080" s="109"/>
      <c r="BW1080" s="109"/>
      <c r="BX1080" s="109"/>
    </row>
    <row r="1081" spans="1:7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  <c r="BR1081" s="109"/>
      <c r="BS1081" s="109"/>
      <c r="BT1081" s="109"/>
      <c r="BU1081" s="109"/>
      <c r="BV1081" s="109"/>
      <c r="BW1081" s="109"/>
      <c r="BX1081" s="109"/>
    </row>
    <row r="1082" spans="1:7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  <c r="BR1082" s="109"/>
      <c r="BS1082" s="109"/>
      <c r="BT1082" s="109"/>
      <c r="BU1082" s="109"/>
      <c r="BV1082" s="109"/>
      <c r="BW1082" s="109"/>
      <c r="BX1082" s="109"/>
    </row>
    <row r="1083" spans="1:7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  <c r="BR1083" s="109"/>
      <c r="BS1083" s="109"/>
      <c r="BT1083" s="109"/>
      <c r="BU1083" s="109"/>
      <c r="BV1083" s="109"/>
      <c r="BW1083" s="109"/>
      <c r="BX1083" s="109"/>
    </row>
    <row r="1084" spans="1:7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  <c r="BR1084" s="109"/>
      <c r="BS1084" s="109"/>
      <c r="BT1084" s="109"/>
      <c r="BU1084" s="109"/>
      <c r="BV1084" s="109"/>
      <c r="BW1084" s="109"/>
      <c r="BX1084" s="109"/>
    </row>
    <row r="1085" spans="1:7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  <c r="BR1085" s="109"/>
      <c r="BS1085" s="109"/>
      <c r="BT1085" s="109"/>
      <c r="BU1085" s="109"/>
      <c r="BV1085" s="109"/>
      <c r="BW1085" s="109"/>
      <c r="BX1085" s="109"/>
    </row>
    <row r="1086" spans="1:7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  <c r="BR1086" s="109"/>
      <c r="BS1086" s="109"/>
      <c r="BT1086" s="109"/>
      <c r="BU1086" s="109"/>
      <c r="BV1086" s="109"/>
      <c r="BW1086" s="109"/>
      <c r="BX1086" s="109"/>
    </row>
    <row r="1087" spans="1:7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  <c r="BR1087" s="109"/>
      <c r="BS1087" s="109"/>
      <c r="BT1087" s="109"/>
      <c r="BU1087" s="109"/>
      <c r="BV1087" s="109"/>
      <c r="BW1087" s="109"/>
      <c r="BX1087" s="109"/>
    </row>
    <row r="1088" spans="1:7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  <c r="BR1088" s="109"/>
      <c r="BS1088" s="109"/>
      <c r="BT1088" s="109"/>
      <c r="BU1088" s="109"/>
      <c r="BV1088" s="109"/>
      <c r="BW1088" s="109"/>
      <c r="BX1088" s="109"/>
    </row>
    <row r="1089" spans="1:7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  <c r="BR1089" s="109"/>
      <c r="BS1089" s="109"/>
      <c r="BT1089" s="109"/>
      <c r="BU1089" s="109"/>
      <c r="BV1089" s="109"/>
      <c r="BW1089" s="109"/>
      <c r="BX1089" s="109"/>
    </row>
    <row r="1090" spans="1:7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  <c r="BR1090" s="109"/>
      <c r="BS1090" s="109"/>
      <c r="BT1090" s="109"/>
      <c r="BU1090" s="109"/>
      <c r="BV1090" s="109"/>
      <c r="BW1090" s="109"/>
      <c r="BX1090" s="109"/>
    </row>
    <row r="1091" spans="1:7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  <c r="BR1091" s="109"/>
      <c r="BS1091" s="109"/>
      <c r="BT1091" s="109"/>
      <c r="BU1091" s="109"/>
      <c r="BV1091" s="109"/>
      <c r="BW1091" s="109"/>
      <c r="BX1091" s="109"/>
    </row>
    <row r="1092" spans="1:7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  <c r="BR1092" s="109"/>
      <c r="BS1092" s="109"/>
      <c r="BT1092" s="109"/>
      <c r="BU1092" s="109"/>
      <c r="BV1092" s="109"/>
      <c r="BW1092" s="109"/>
      <c r="BX1092" s="109"/>
    </row>
    <row r="1093" spans="1:7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  <c r="BR1093" s="109"/>
      <c r="BS1093" s="109"/>
      <c r="BT1093" s="109"/>
      <c r="BU1093" s="109"/>
      <c r="BV1093" s="109"/>
      <c r="BW1093" s="109"/>
      <c r="BX1093" s="109"/>
    </row>
    <row r="1094" spans="1:7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  <c r="BR1094" s="109"/>
      <c r="BS1094" s="109"/>
      <c r="BT1094" s="109"/>
      <c r="BU1094" s="109"/>
      <c r="BV1094" s="109"/>
      <c r="BW1094" s="109"/>
      <c r="BX1094" s="109"/>
    </row>
    <row r="1095" spans="1:7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  <c r="BR1095" s="109"/>
      <c r="BS1095" s="109"/>
      <c r="BT1095" s="109"/>
      <c r="BU1095" s="109"/>
      <c r="BV1095" s="109"/>
      <c r="BW1095" s="109"/>
      <c r="BX1095" s="109"/>
    </row>
    <row r="1096" spans="1:7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  <c r="BR1096" s="109"/>
      <c r="BS1096" s="109"/>
      <c r="BT1096" s="109"/>
      <c r="BU1096" s="109"/>
      <c r="BV1096" s="109"/>
      <c r="BW1096" s="109"/>
      <c r="BX1096" s="109"/>
    </row>
    <row r="1097" spans="1:7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  <c r="BR1097" s="109"/>
      <c r="BS1097" s="109"/>
      <c r="BT1097" s="109"/>
      <c r="BU1097" s="109"/>
      <c r="BV1097" s="109"/>
      <c r="BW1097" s="109"/>
      <c r="BX1097" s="109"/>
    </row>
    <row r="1098" spans="1:7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  <c r="BR1098" s="109"/>
      <c r="BS1098" s="109"/>
      <c r="BT1098" s="109"/>
      <c r="BU1098" s="109"/>
      <c r="BV1098" s="109"/>
      <c r="BW1098" s="109"/>
      <c r="BX1098" s="109"/>
    </row>
    <row r="1099" spans="1:7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  <c r="BR1099" s="109"/>
      <c r="BS1099" s="109"/>
      <c r="BT1099" s="109"/>
      <c r="BU1099" s="109"/>
      <c r="BV1099" s="109"/>
      <c r="BW1099" s="109"/>
      <c r="BX1099" s="109"/>
    </row>
    <row r="1100" spans="1:7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  <c r="BR1100" s="109"/>
      <c r="BS1100" s="109"/>
      <c r="BT1100" s="109"/>
      <c r="BU1100" s="109"/>
      <c r="BV1100" s="109"/>
      <c r="BW1100" s="109"/>
      <c r="BX1100" s="109"/>
    </row>
    <row r="1101" spans="1:7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  <c r="BR1101" s="109"/>
      <c r="BS1101" s="109"/>
      <c r="BT1101" s="109"/>
      <c r="BU1101" s="109"/>
      <c r="BV1101" s="109"/>
      <c r="BW1101" s="109"/>
      <c r="BX1101" s="109"/>
    </row>
    <row r="1102" spans="1:7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  <c r="BR1102" s="109"/>
      <c r="BS1102" s="109"/>
      <c r="BT1102" s="109"/>
      <c r="BU1102" s="109"/>
      <c r="BV1102" s="109"/>
      <c r="BW1102" s="109"/>
      <c r="BX1102" s="109"/>
    </row>
    <row r="1103" spans="1:7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  <c r="BR1103" s="109"/>
      <c r="BS1103" s="109"/>
      <c r="BT1103" s="109"/>
      <c r="BU1103" s="109"/>
      <c r="BV1103" s="109"/>
      <c r="BW1103" s="109"/>
      <c r="BX1103" s="109"/>
    </row>
    <row r="1104" spans="1:7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  <c r="BR1104" s="109"/>
      <c r="BS1104" s="109"/>
      <c r="BT1104" s="109"/>
      <c r="BU1104" s="109"/>
      <c r="BV1104" s="109"/>
      <c r="BW1104" s="109"/>
      <c r="BX1104" s="109"/>
    </row>
    <row r="1105" spans="1:7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  <c r="BR1105" s="109"/>
      <c r="BS1105" s="109"/>
      <c r="BT1105" s="109"/>
      <c r="BU1105" s="109"/>
      <c r="BV1105" s="109"/>
      <c r="BW1105" s="109"/>
      <c r="BX1105" s="109"/>
    </row>
    <row r="1106" spans="1:7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  <c r="BR1106" s="109"/>
      <c r="BS1106" s="109"/>
      <c r="BT1106" s="109"/>
      <c r="BU1106" s="109"/>
      <c r="BV1106" s="109"/>
      <c r="BW1106" s="109"/>
      <c r="BX1106" s="109"/>
    </row>
    <row r="1107" spans="1:7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  <c r="BR1107" s="109"/>
      <c r="BS1107" s="109"/>
      <c r="BT1107" s="109"/>
      <c r="BU1107" s="109"/>
      <c r="BV1107" s="109"/>
      <c r="BW1107" s="109"/>
      <c r="BX1107" s="109"/>
    </row>
    <row r="1108" spans="1:7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  <c r="BR1108" s="109"/>
      <c r="BS1108" s="109"/>
      <c r="BT1108" s="109"/>
      <c r="BU1108" s="109"/>
      <c r="BV1108" s="109"/>
      <c r="BW1108" s="109"/>
      <c r="BX1108" s="109"/>
    </row>
    <row r="1109" spans="1:7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  <c r="BR1109" s="109"/>
      <c r="BS1109" s="109"/>
      <c r="BT1109" s="109"/>
      <c r="BU1109" s="109"/>
      <c r="BV1109" s="109"/>
      <c r="BW1109" s="109"/>
      <c r="BX1109" s="109"/>
    </row>
    <row r="1110" spans="1:7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  <c r="BR1110" s="109"/>
      <c r="BS1110" s="109"/>
      <c r="BT1110" s="109"/>
      <c r="BU1110" s="109"/>
      <c r="BV1110" s="109"/>
      <c r="BW1110" s="109"/>
      <c r="BX1110" s="109"/>
    </row>
    <row r="1111" spans="1:7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  <c r="BR1111" s="109"/>
      <c r="BS1111" s="109"/>
      <c r="BT1111" s="109"/>
      <c r="BU1111" s="109"/>
      <c r="BV1111" s="109"/>
      <c r="BW1111" s="109"/>
      <c r="BX1111" s="109"/>
    </row>
    <row r="1112" spans="1:7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  <c r="BR1112" s="109"/>
      <c r="BS1112" s="109"/>
      <c r="BT1112" s="109"/>
      <c r="BU1112" s="109"/>
      <c r="BV1112" s="109"/>
      <c r="BW1112" s="109"/>
      <c r="BX1112" s="109"/>
    </row>
    <row r="1113" spans="1:7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  <c r="BR1113" s="109"/>
      <c r="BS1113" s="109"/>
      <c r="BT1113" s="109"/>
      <c r="BU1113" s="109"/>
      <c r="BV1113" s="109"/>
      <c r="BW1113" s="109"/>
      <c r="BX1113" s="109"/>
    </row>
    <row r="1114" spans="1:7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  <c r="BR1114" s="109"/>
      <c r="BS1114" s="109"/>
      <c r="BT1114" s="109"/>
      <c r="BU1114" s="109"/>
      <c r="BV1114" s="109"/>
      <c r="BW1114" s="109"/>
      <c r="BX1114" s="109"/>
    </row>
    <row r="1115" spans="1:7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  <c r="BR1115" s="109"/>
      <c r="BS1115" s="109"/>
      <c r="BT1115" s="109"/>
      <c r="BU1115" s="109"/>
      <c r="BV1115" s="109"/>
      <c r="BW1115" s="109"/>
      <c r="BX1115" s="109"/>
    </row>
    <row r="1116" spans="1:7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  <c r="BR1116" s="109"/>
      <c r="BS1116" s="109"/>
      <c r="BT1116" s="109"/>
      <c r="BU1116" s="109"/>
      <c r="BV1116" s="109"/>
      <c r="BW1116" s="109"/>
      <c r="BX1116" s="109"/>
    </row>
    <row r="1117" spans="1:7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  <c r="BR1117" s="109"/>
      <c r="BS1117" s="109"/>
      <c r="BT1117" s="109"/>
      <c r="BU1117" s="109"/>
      <c r="BV1117" s="109"/>
      <c r="BW1117" s="109"/>
      <c r="BX1117" s="109"/>
    </row>
    <row r="1118" spans="1:7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  <c r="BR1118" s="109"/>
      <c r="BS1118" s="109"/>
      <c r="BT1118" s="109"/>
      <c r="BU1118" s="109"/>
      <c r="BV1118" s="109"/>
      <c r="BW1118" s="109"/>
      <c r="BX1118" s="109"/>
    </row>
    <row r="1119" spans="1:7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  <c r="BR1119" s="109"/>
      <c r="BS1119" s="109"/>
      <c r="BT1119" s="109"/>
      <c r="BU1119" s="109"/>
      <c r="BV1119" s="109"/>
      <c r="BW1119" s="109"/>
      <c r="BX1119" s="109"/>
    </row>
    <row r="1120" spans="1:7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  <c r="BR1120" s="109"/>
      <c r="BS1120" s="109"/>
      <c r="BT1120" s="109"/>
      <c r="BU1120" s="109"/>
      <c r="BV1120" s="109"/>
      <c r="BW1120" s="109"/>
      <c r="BX1120" s="109"/>
    </row>
    <row r="1121" spans="1:7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  <c r="BR1121" s="109"/>
      <c r="BS1121" s="109"/>
      <c r="BT1121" s="109"/>
      <c r="BU1121" s="109"/>
      <c r="BV1121" s="109"/>
      <c r="BW1121" s="109"/>
      <c r="BX1121" s="109"/>
    </row>
    <row r="1122" spans="1:7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  <c r="BR1122" s="109"/>
      <c r="BS1122" s="109"/>
      <c r="BT1122" s="109"/>
      <c r="BU1122" s="109"/>
      <c r="BV1122" s="109"/>
      <c r="BW1122" s="109"/>
      <c r="BX1122" s="109"/>
    </row>
    <row r="1123" spans="1:7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  <c r="BR1123" s="109"/>
      <c r="BS1123" s="109"/>
      <c r="BT1123" s="109"/>
      <c r="BU1123" s="109"/>
      <c r="BV1123" s="109"/>
      <c r="BW1123" s="109"/>
      <c r="BX1123" s="109"/>
    </row>
    <row r="1124" spans="1:7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  <c r="BR1124" s="109"/>
      <c r="BS1124" s="109"/>
      <c r="BT1124" s="109"/>
      <c r="BU1124" s="109"/>
      <c r="BV1124" s="109"/>
      <c r="BW1124" s="109"/>
      <c r="BX1124" s="109"/>
    </row>
    <row r="1125" spans="1:7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  <c r="BR1125" s="109"/>
      <c r="BS1125" s="109"/>
      <c r="BT1125" s="109"/>
      <c r="BU1125" s="109"/>
      <c r="BV1125" s="109"/>
      <c r="BW1125" s="109"/>
      <c r="BX1125" s="109"/>
    </row>
    <row r="1126" spans="1:7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  <c r="BR1126" s="109"/>
      <c r="BS1126" s="109"/>
      <c r="BT1126" s="109"/>
      <c r="BU1126" s="109"/>
      <c r="BV1126" s="109"/>
      <c r="BW1126" s="109"/>
      <c r="BX1126" s="109"/>
    </row>
    <row r="1127" spans="1:7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  <c r="BR1127" s="109"/>
      <c r="BS1127" s="109"/>
      <c r="BT1127" s="109"/>
      <c r="BU1127" s="109"/>
      <c r="BV1127" s="109"/>
      <c r="BW1127" s="109"/>
      <c r="BX1127" s="109"/>
    </row>
    <row r="1128" spans="1:7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  <c r="BR1128" s="109"/>
      <c r="BS1128" s="109"/>
      <c r="BT1128" s="109"/>
      <c r="BU1128" s="109"/>
      <c r="BV1128" s="109"/>
      <c r="BW1128" s="109"/>
      <c r="BX1128" s="109"/>
    </row>
    <row r="1129" spans="1:7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  <c r="BR1129" s="109"/>
      <c r="BS1129" s="109"/>
      <c r="BT1129" s="109"/>
      <c r="BU1129" s="109"/>
      <c r="BV1129" s="109"/>
      <c r="BW1129" s="109"/>
      <c r="BX1129" s="109"/>
    </row>
    <row r="1130" spans="1:7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  <c r="BR1130" s="109"/>
      <c r="BS1130" s="109"/>
      <c r="BT1130" s="109"/>
      <c r="BU1130" s="109"/>
      <c r="BV1130" s="109"/>
      <c r="BW1130" s="109"/>
      <c r="BX1130" s="109"/>
    </row>
    <row r="1131" spans="1:7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  <c r="BR1131" s="109"/>
      <c r="BS1131" s="109"/>
      <c r="BT1131" s="109"/>
      <c r="BU1131" s="109"/>
      <c r="BV1131" s="109"/>
      <c r="BW1131" s="109"/>
      <c r="BX1131" s="109"/>
    </row>
    <row r="1132" spans="1:7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  <c r="BR1132" s="109"/>
      <c r="BS1132" s="109"/>
      <c r="BT1132" s="109"/>
      <c r="BU1132" s="109"/>
      <c r="BV1132" s="109"/>
      <c r="BW1132" s="109"/>
      <c r="BX1132" s="109"/>
    </row>
    <row r="1133" spans="1:7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  <c r="BR1133" s="109"/>
      <c r="BS1133" s="109"/>
      <c r="BT1133" s="109"/>
      <c r="BU1133" s="109"/>
      <c r="BV1133" s="109"/>
      <c r="BW1133" s="109"/>
      <c r="BX1133" s="109"/>
    </row>
    <row r="1134" spans="1:7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  <c r="BR1134" s="109"/>
      <c r="BS1134" s="109"/>
      <c r="BT1134" s="109"/>
      <c r="BU1134" s="109"/>
      <c r="BV1134" s="109"/>
      <c r="BW1134" s="109"/>
      <c r="BX1134" s="109"/>
    </row>
    <row r="1135" spans="1:7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  <c r="BR1135" s="109"/>
      <c r="BS1135" s="109"/>
      <c r="BT1135" s="109"/>
      <c r="BU1135" s="109"/>
      <c r="BV1135" s="109"/>
      <c r="BW1135" s="109"/>
      <c r="BX1135" s="109"/>
    </row>
    <row r="1136" spans="1:7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  <c r="BR1136" s="109"/>
      <c r="BS1136" s="109"/>
      <c r="BT1136" s="109"/>
      <c r="BU1136" s="109"/>
      <c r="BV1136" s="109"/>
      <c r="BW1136" s="109"/>
      <c r="BX1136" s="109"/>
    </row>
    <row r="1137" spans="1:7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  <c r="BR1137" s="109"/>
      <c r="BS1137" s="109"/>
      <c r="BT1137" s="109"/>
      <c r="BU1137" s="109"/>
      <c r="BV1137" s="109"/>
      <c r="BW1137" s="109"/>
      <c r="BX1137" s="109"/>
    </row>
    <row r="1138" spans="1:7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  <c r="BR1138" s="109"/>
      <c r="BS1138" s="109"/>
      <c r="BT1138" s="109"/>
      <c r="BU1138" s="109"/>
      <c r="BV1138" s="109"/>
      <c r="BW1138" s="109"/>
      <c r="BX1138" s="109"/>
    </row>
    <row r="1139" spans="1:7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  <c r="BR1139" s="109"/>
      <c r="BS1139" s="109"/>
      <c r="BT1139" s="109"/>
      <c r="BU1139" s="109"/>
      <c r="BV1139" s="109"/>
      <c r="BW1139" s="109"/>
      <c r="BX1139" s="109"/>
    </row>
    <row r="1140" spans="1:7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  <c r="BR1140" s="109"/>
      <c r="BS1140" s="109"/>
      <c r="BT1140" s="109"/>
      <c r="BU1140" s="109"/>
      <c r="BV1140" s="109"/>
      <c r="BW1140" s="109"/>
      <c r="BX1140" s="109"/>
    </row>
    <row r="1141" spans="1:7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  <c r="BR1141" s="109"/>
      <c r="BS1141" s="109"/>
      <c r="BT1141" s="109"/>
      <c r="BU1141" s="109"/>
      <c r="BV1141" s="109"/>
      <c r="BW1141" s="109"/>
      <c r="BX1141" s="109"/>
    </row>
    <row r="1142" spans="1:7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  <c r="BR1142" s="109"/>
      <c r="BS1142" s="109"/>
      <c r="BT1142" s="109"/>
      <c r="BU1142" s="109"/>
      <c r="BV1142" s="109"/>
      <c r="BW1142" s="109"/>
      <c r="BX1142" s="109"/>
    </row>
    <row r="1143" spans="1:7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  <c r="BR1143" s="109"/>
      <c r="BS1143" s="109"/>
      <c r="BT1143" s="109"/>
      <c r="BU1143" s="109"/>
      <c r="BV1143" s="109"/>
      <c r="BW1143" s="109"/>
      <c r="BX1143" s="109"/>
    </row>
    <row r="1144" spans="1:7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  <c r="BR1144" s="109"/>
      <c r="BS1144" s="109"/>
      <c r="BT1144" s="109"/>
      <c r="BU1144" s="109"/>
      <c r="BV1144" s="109"/>
      <c r="BW1144" s="109"/>
      <c r="BX1144" s="109"/>
    </row>
    <row r="1145" spans="1:7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  <c r="BR1145" s="109"/>
      <c r="BS1145" s="109"/>
      <c r="BT1145" s="109"/>
      <c r="BU1145" s="109"/>
      <c r="BV1145" s="109"/>
      <c r="BW1145" s="109"/>
      <c r="BX1145" s="109"/>
    </row>
    <row r="1146" spans="1:7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  <c r="BR1146" s="109"/>
      <c r="BS1146" s="109"/>
      <c r="BT1146" s="109"/>
      <c r="BU1146" s="109"/>
      <c r="BV1146" s="109"/>
      <c r="BW1146" s="109"/>
      <c r="BX1146" s="109"/>
    </row>
    <row r="1147" spans="1:7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  <c r="BR1147" s="109"/>
      <c r="BS1147" s="109"/>
      <c r="BT1147" s="109"/>
      <c r="BU1147" s="109"/>
      <c r="BV1147" s="109"/>
      <c r="BW1147" s="109"/>
      <c r="BX1147" s="109"/>
    </row>
    <row r="1148" spans="1:7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  <c r="BR1148" s="109"/>
      <c r="BS1148" s="109"/>
      <c r="BT1148" s="109"/>
      <c r="BU1148" s="109"/>
      <c r="BV1148" s="109"/>
      <c r="BW1148" s="109"/>
      <c r="BX1148" s="109"/>
    </row>
    <row r="1149" spans="1:7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  <c r="BR1149" s="109"/>
      <c r="BS1149" s="109"/>
      <c r="BT1149" s="109"/>
      <c r="BU1149" s="109"/>
      <c r="BV1149" s="109"/>
      <c r="BW1149" s="109"/>
      <c r="BX1149" s="109"/>
    </row>
    <row r="1150" spans="1:7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  <c r="BR1150" s="109"/>
      <c r="BS1150" s="109"/>
      <c r="BT1150" s="109"/>
      <c r="BU1150" s="109"/>
      <c r="BV1150" s="109"/>
      <c r="BW1150" s="109"/>
      <c r="BX1150" s="109"/>
    </row>
    <row r="1151" spans="1:7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  <c r="BR1151" s="109"/>
      <c r="BS1151" s="109"/>
      <c r="BT1151" s="109"/>
      <c r="BU1151" s="109"/>
      <c r="BV1151" s="109"/>
      <c r="BW1151" s="109"/>
      <c r="BX1151" s="109"/>
    </row>
    <row r="1152" spans="1:7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  <c r="BR1152" s="109"/>
      <c r="BS1152" s="109"/>
      <c r="BT1152" s="109"/>
      <c r="BU1152" s="109"/>
      <c r="BV1152" s="109"/>
      <c r="BW1152" s="109"/>
      <c r="BX1152" s="109"/>
    </row>
    <row r="1153" spans="3:7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  <c r="BR1153" s="109"/>
      <c r="BS1153" s="109"/>
      <c r="BT1153" s="109"/>
      <c r="BU1153" s="109"/>
      <c r="BV1153" s="109"/>
      <c r="BW1153" s="109"/>
      <c r="BX1153" s="109"/>
    </row>
    <row r="1154" spans="3:7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  <c r="BR1154" s="109"/>
      <c r="BS1154" s="109"/>
      <c r="BT1154" s="109"/>
      <c r="BU1154" s="109"/>
      <c r="BV1154" s="109"/>
      <c r="BW1154" s="109"/>
      <c r="BX1154" s="109"/>
    </row>
  </sheetData>
  <mergeCells count="1">
    <mergeCell ref="A1:A2"/>
  </mergeCells>
  <conditionalFormatting sqref="J7:BX7">
    <cfRule type="expression" dxfId="763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topLeftCell="AE1" zoomScaleNormal="100" workbookViewId="0">
      <pane ySplit="4" topLeftCell="A5" activePane="bottomLeft" state="frozen"/>
      <selection pane="bottomLeft" activeCell="AT7" sqref="AT7:AW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8"/>
      <c r="C1" s="141" t="s">
        <v>32</v>
      </c>
      <c r="D1" s="2"/>
      <c r="J1" s="135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48" t="s">
        <v>1645</v>
      </c>
      <c r="AU1" s="134"/>
      <c r="AV1" s="134"/>
      <c r="AW1" s="134"/>
      <c r="AX1" s="119" t="s">
        <v>1185</v>
      </c>
      <c r="AY1" s="120"/>
      <c r="AZ1" s="120"/>
      <c r="BA1" s="120"/>
      <c r="BB1" s="121"/>
      <c r="BC1" s="116" t="s">
        <v>1184</v>
      </c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</row>
    <row r="2" spans="1:99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769</v>
      </c>
      <c r="T3" s="49"/>
      <c r="U3" s="49"/>
      <c r="V3" s="49"/>
      <c r="W3" s="49"/>
      <c r="X3" s="49"/>
      <c r="Y3" s="49"/>
      <c r="Z3" s="49"/>
      <c r="AA3" s="49"/>
      <c r="AB3" s="47" t="s">
        <v>770</v>
      </c>
      <c r="AC3" s="49"/>
      <c r="AD3" s="49"/>
      <c r="AE3" s="49"/>
      <c r="AF3" s="49"/>
      <c r="AG3" s="49"/>
      <c r="AH3" s="49"/>
      <c r="AI3" s="49"/>
      <c r="AJ3" s="48"/>
      <c r="AK3" s="49" t="s">
        <v>771</v>
      </c>
      <c r="AL3" s="49"/>
      <c r="AM3" s="49"/>
      <c r="AN3" s="49"/>
      <c r="AO3" s="49"/>
      <c r="AP3" s="49"/>
      <c r="AQ3" s="49"/>
      <c r="AR3" s="49"/>
      <c r="AS3" s="48"/>
      <c r="AT3" s="155"/>
      <c r="AU3" s="160"/>
      <c r="AV3" s="160"/>
      <c r="AW3" s="161"/>
      <c r="AX3" s="64" t="s">
        <v>93</v>
      </c>
      <c r="AY3" s="64"/>
      <c r="AZ3" s="64"/>
      <c r="BA3" s="64"/>
      <c r="BB3" s="64"/>
      <c r="BC3" s="125" t="s">
        <v>318</v>
      </c>
      <c r="BD3" s="126"/>
      <c r="BE3" s="126"/>
      <c r="BF3" s="126"/>
      <c r="BG3" s="126"/>
      <c r="BH3" s="126"/>
      <c r="BI3" s="126"/>
      <c r="BJ3" s="126"/>
      <c r="BK3" s="126"/>
      <c r="BL3" s="125" t="s">
        <v>7</v>
      </c>
      <c r="BM3" s="126"/>
      <c r="BN3" s="126"/>
      <c r="BO3" s="126"/>
      <c r="BP3" s="126"/>
      <c r="BQ3" s="126"/>
      <c r="BR3" s="126"/>
      <c r="BS3" s="126"/>
      <c r="BT3" s="126"/>
      <c r="BU3" s="125" t="s">
        <v>769</v>
      </c>
      <c r="BV3" s="126"/>
      <c r="BW3" s="126"/>
      <c r="BX3" s="126"/>
      <c r="BY3" s="126"/>
      <c r="BZ3" s="126"/>
      <c r="CA3" s="126"/>
      <c r="CB3" s="126"/>
      <c r="CC3" s="126"/>
      <c r="CD3" s="125" t="s">
        <v>770</v>
      </c>
      <c r="CE3" s="126"/>
      <c r="CF3" s="126"/>
      <c r="CG3" s="126"/>
      <c r="CH3" s="126"/>
      <c r="CI3" s="126"/>
      <c r="CJ3" s="126"/>
      <c r="CK3" s="126"/>
      <c r="CL3" s="126"/>
      <c r="CM3" s="125" t="s">
        <v>771</v>
      </c>
      <c r="CN3" s="126"/>
      <c r="CO3" s="126"/>
      <c r="CP3" s="126"/>
      <c r="CQ3" s="126"/>
      <c r="CR3" s="126"/>
      <c r="CS3" s="126"/>
      <c r="CT3" s="126"/>
      <c r="CU3" s="127"/>
    </row>
    <row r="4" spans="1:99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56" t="s">
        <v>318</v>
      </c>
      <c r="AU4" s="158" t="s">
        <v>769</v>
      </c>
      <c r="AV4" s="158" t="s">
        <v>770</v>
      </c>
      <c r="AW4" s="162" t="s">
        <v>771</v>
      </c>
      <c r="AX4" s="11" t="s">
        <v>768</v>
      </c>
      <c r="AY4" s="11" t="s">
        <v>32</v>
      </c>
      <c r="AZ4" s="11" t="s">
        <v>772</v>
      </c>
      <c r="BA4" s="11" t="s">
        <v>773</v>
      </c>
      <c r="BB4" s="11" t="s">
        <v>774</v>
      </c>
      <c r="BC4" s="128" t="s">
        <v>275</v>
      </c>
      <c r="BD4" s="129" t="s">
        <v>210</v>
      </c>
      <c r="BE4" s="129" t="s">
        <v>276</v>
      </c>
      <c r="BF4" s="129" t="s">
        <v>277</v>
      </c>
      <c r="BG4" s="129" t="s">
        <v>278</v>
      </c>
      <c r="BH4" s="129" t="s">
        <v>279</v>
      </c>
      <c r="BI4" s="129" t="s">
        <v>280</v>
      </c>
      <c r="BJ4" s="129" t="s">
        <v>281</v>
      </c>
      <c r="BK4" s="129" t="s">
        <v>282</v>
      </c>
      <c r="BL4" s="128" t="s">
        <v>275</v>
      </c>
      <c r="BM4" s="129" t="s">
        <v>210</v>
      </c>
      <c r="BN4" s="129" t="s">
        <v>276</v>
      </c>
      <c r="BO4" s="129" t="s">
        <v>277</v>
      </c>
      <c r="BP4" s="129" t="s">
        <v>278</v>
      </c>
      <c r="BQ4" s="129" t="s">
        <v>279</v>
      </c>
      <c r="BR4" s="129" t="s">
        <v>280</v>
      </c>
      <c r="BS4" s="129" t="s">
        <v>281</v>
      </c>
      <c r="BT4" s="129" t="s">
        <v>282</v>
      </c>
      <c r="BU4" s="128" t="s">
        <v>283</v>
      </c>
      <c r="BV4" s="129" t="s">
        <v>284</v>
      </c>
      <c r="BW4" s="129" t="s">
        <v>285</v>
      </c>
      <c r="BX4" s="129" t="s">
        <v>286</v>
      </c>
      <c r="BY4" s="129" t="s">
        <v>287</v>
      </c>
      <c r="BZ4" s="129" t="s">
        <v>288</v>
      </c>
      <c r="CA4" s="129" t="s">
        <v>289</v>
      </c>
      <c r="CB4" s="129" t="s">
        <v>290</v>
      </c>
      <c r="CC4" s="129" t="s">
        <v>291</v>
      </c>
      <c r="CD4" s="128" t="s">
        <v>292</v>
      </c>
      <c r="CE4" s="129" t="s">
        <v>293</v>
      </c>
      <c r="CF4" s="129" t="s">
        <v>294</v>
      </c>
      <c r="CG4" s="129" t="s">
        <v>295</v>
      </c>
      <c r="CH4" s="129" t="s">
        <v>296</v>
      </c>
      <c r="CI4" s="129" t="s">
        <v>297</v>
      </c>
      <c r="CJ4" s="129" t="s">
        <v>298</v>
      </c>
      <c r="CK4" s="129" t="s">
        <v>299</v>
      </c>
      <c r="CL4" s="129" t="s">
        <v>300</v>
      </c>
      <c r="CM4" s="128" t="s">
        <v>301</v>
      </c>
      <c r="CN4" s="129" t="s">
        <v>302</v>
      </c>
      <c r="CO4" s="129" t="s">
        <v>303</v>
      </c>
      <c r="CP4" s="129" t="s">
        <v>304</v>
      </c>
      <c r="CQ4" s="129" t="s">
        <v>305</v>
      </c>
      <c r="CR4" s="129" t="s">
        <v>306</v>
      </c>
      <c r="CS4" s="129" t="s">
        <v>307</v>
      </c>
      <c r="CT4" s="129" t="s">
        <v>308</v>
      </c>
      <c r="CU4" s="130" t="s">
        <v>309</v>
      </c>
    </row>
    <row r="5" spans="1:99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1">
        <f>SUBTOTAL(109,pmtct_stat_T[D_pmtct_stat_D_fy19])</f>
        <v>0</v>
      </c>
      <c r="AY5" s="61">
        <f>SUBTOTAL(109,pmtct_stat_T[D_pmtct_stat_fy19])</f>
        <v>0</v>
      </c>
      <c r="AZ5" s="61">
        <f>SUBTOTAL(109,pmtct_stat_T[D_pmtct_stat_known_fy19])</f>
        <v>0</v>
      </c>
      <c r="BA5" s="61">
        <f>SUBTOTAL(109,pmtct_stat_T[D_pmtct_stat_newneg_fy19])</f>
        <v>0</v>
      </c>
      <c r="BB5" s="61">
        <f>SUBTOTAL(109,pmtct_stat_T[D_pmtct_stat_newpos_fy19])</f>
        <v>0</v>
      </c>
      <c r="BC5" s="61">
        <f>SUBTOTAL(109,pmtct_stat_T[pmtct_stat_D_u10_f])</f>
        <v>0</v>
      </c>
      <c r="BD5" s="61">
        <f>SUBTOTAL(109,pmtct_stat_T[pmtct_stat_D_1014_f])</f>
        <v>0</v>
      </c>
      <c r="BE5" s="61">
        <f>SUBTOTAL(109,pmtct_stat_T[pmtct_stat_D_1519_f])</f>
        <v>0</v>
      </c>
      <c r="BF5" s="61">
        <f>SUBTOTAL(109,pmtct_stat_T[pmtct_stat_D_2024_f])</f>
        <v>0</v>
      </c>
      <c r="BG5" s="61">
        <f>SUBTOTAL(109,pmtct_stat_T[pmtct_stat_D_2529_f])</f>
        <v>0</v>
      </c>
      <c r="BH5" s="61">
        <f>SUBTOTAL(109,pmtct_stat_T[pmtct_stat_D_3034_f])</f>
        <v>0</v>
      </c>
      <c r="BI5" s="61">
        <f>SUBTOTAL(109,pmtct_stat_T[pmtct_stat_D_3539_f])</f>
        <v>0</v>
      </c>
      <c r="BJ5" s="61">
        <f>SUBTOTAL(109,pmtct_stat_T[pmtct_stat_D_4049_f])</f>
        <v>0</v>
      </c>
      <c r="BK5" s="61">
        <f>SUBTOTAL(109,pmtct_stat_T[pmtct_stat_D_o50_f])</f>
        <v>0</v>
      </c>
      <c r="BL5" s="61">
        <f>SUBTOTAL(109,pmtct_stat_T[pmtct_stat_u10_f])</f>
        <v>0</v>
      </c>
      <c r="BM5" s="61">
        <f>SUBTOTAL(109,pmtct_stat_T[pmtct_stat_1014_f])</f>
        <v>0</v>
      </c>
      <c r="BN5" s="61">
        <f>SUBTOTAL(109,pmtct_stat_T[pmtct_stat_1519_f])</f>
        <v>0</v>
      </c>
      <c r="BO5" s="61">
        <f>SUBTOTAL(109,pmtct_stat_T[pmtct_stat_2024_f])</f>
        <v>0</v>
      </c>
      <c r="BP5" s="61">
        <f>SUBTOTAL(109,pmtct_stat_T[pmtct_stat_2529_f])</f>
        <v>0</v>
      </c>
      <c r="BQ5" s="61">
        <f>SUBTOTAL(109,pmtct_stat_T[pmtct_stat_3034_f])</f>
        <v>0</v>
      </c>
      <c r="BR5" s="61">
        <f>SUBTOTAL(109,pmtct_stat_T[pmtct_stat_3539_f])</f>
        <v>0</v>
      </c>
      <c r="BS5" s="61">
        <f>SUBTOTAL(109,pmtct_stat_T[pmtct_stat_4049_f])</f>
        <v>0</v>
      </c>
      <c r="BT5" s="61">
        <f>SUBTOTAL(109,pmtct_stat_T[pmtct_stat_o50_f])</f>
        <v>0</v>
      </c>
      <c r="BU5" s="61">
        <f>SUBTOTAL(109,pmtct_stat_T[pmtct_stat_u10_f_known])</f>
        <v>0</v>
      </c>
      <c r="BV5" s="61">
        <f>SUBTOTAL(109,pmtct_stat_T[pmtct_stat_1014_f_known])</f>
        <v>0</v>
      </c>
      <c r="BW5" s="61">
        <f>SUBTOTAL(109,pmtct_stat_T[pmtct_stat_1519_f_known])</f>
        <v>0</v>
      </c>
      <c r="BX5" s="61">
        <f>SUBTOTAL(109,pmtct_stat_T[pmtct_stat_2024_f_known])</f>
        <v>0</v>
      </c>
      <c r="BY5" s="61">
        <f>SUBTOTAL(109,pmtct_stat_T[pmtct_stat_2529_f_known])</f>
        <v>0</v>
      </c>
      <c r="BZ5" s="61">
        <f>SUBTOTAL(109,pmtct_stat_T[pmtct_stat_3034_f_known])</f>
        <v>0</v>
      </c>
      <c r="CA5" s="61">
        <f>SUBTOTAL(109,pmtct_stat_T[pmtct_stat_3539_f_known])</f>
        <v>0</v>
      </c>
      <c r="CB5" s="61">
        <f>SUBTOTAL(109,pmtct_stat_T[pmtct_stat_4049_f_known])</f>
        <v>0</v>
      </c>
      <c r="CC5" s="61">
        <f>SUBTOTAL(109,pmtct_stat_T[pmtct_stat_o50_f_known])</f>
        <v>0</v>
      </c>
      <c r="CD5" s="61">
        <f>SUBTOTAL(109,pmtct_stat_T[pmtct_stat_u10_f_newneg])</f>
        <v>0</v>
      </c>
      <c r="CE5" s="61">
        <f>SUBTOTAL(109,pmtct_stat_T[pmtct_stat_1014_f_newneg])</f>
        <v>0</v>
      </c>
      <c r="CF5" s="61">
        <f>SUBTOTAL(109,pmtct_stat_T[pmtct_stat_1519_f_newneg])</f>
        <v>0</v>
      </c>
      <c r="CG5" s="61">
        <f>SUBTOTAL(109,pmtct_stat_T[pmtct_stat_2024_f_newneg])</f>
        <v>0</v>
      </c>
      <c r="CH5" s="61">
        <f>SUBTOTAL(109,pmtct_stat_T[pmtct_stat_2529_f_newneg])</f>
        <v>0</v>
      </c>
      <c r="CI5" s="61">
        <f>SUBTOTAL(109,pmtct_stat_T[pmtct_stat_3034_f_newneg])</f>
        <v>0</v>
      </c>
      <c r="CJ5" s="61">
        <f>SUBTOTAL(109,pmtct_stat_T[pmtct_stat_3539_f_newneg])</f>
        <v>0</v>
      </c>
      <c r="CK5" s="61">
        <f>SUBTOTAL(109,pmtct_stat_T[pmtct_stat_4049_f_newneg])</f>
        <v>0</v>
      </c>
      <c r="CL5" s="61">
        <f>SUBTOTAL(109,pmtct_stat_T[pmtct_stat_o50_f_newneg])</f>
        <v>0</v>
      </c>
      <c r="CM5" s="61">
        <f>SUBTOTAL(109,pmtct_stat_T[pmtct_stat_u10_f_newpos])</f>
        <v>0</v>
      </c>
      <c r="CN5" s="61">
        <f>SUBTOTAL(109,pmtct_stat_T[pmtct_stat_1014_f_newpos])</f>
        <v>0</v>
      </c>
      <c r="CO5" s="61">
        <f>SUBTOTAL(109,pmtct_stat_T[pmtct_stat_1519_f_newpos])</f>
        <v>0</v>
      </c>
      <c r="CP5" s="61">
        <f>SUBTOTAL(109,pmtct_stat_T[pmtct_stat_2024_f_newpos])</f>
        <v>0</v>
      </c>
      <c r="CQ5" s="61">
        <f>SUBTOTAL(109,pmtct_stat_T[pmtct_stat_2529_f_newpos])</f>
        <v>0</v>
      </c>
      <c r="CR5" s="61">
        <f>SUBTOTAL(109,pmtct_stat_T[pmtct_stat_3034_f_newpos])</f>
        <v>0</v>
      </c>
      <c r="CS5" s="61">
        <f>SUBTOTAL(109,pmtct_stat_T[pmtct_stat_3539_f_newpos])</f>
        <v>0</v>
      </c>
      <c r="CT5" s="61">
        <f>SUBTOTAL(109,pmtct_stat_T[pmtct_stat_4049_f_newpos])</f>
        <v>0</v>
      </c>
      <c r="CU5" s="61">
        <f>SUBTOTAL(109,pmtct_stat_T[pmtct_stat_o50_f_newpos])</f>
        <v>0</v>
      </c>
    </row>
    <row r="6" spans="1:99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1328</v>
      </c>
      <c r="K6" s="26" t="s">
        <v>1329</v>
      </c>
      <c r="L6" s="26" t="s">
        <v>1330</v>
      </c>
      <c r="M6" s="26" t="s">
        <v>1331</v>
      </c>
      <c r="N6" s="26" t="s">
        <v>1332</v>
      </c>
      <c r="O6" s="26" t="s">
        <v>1333</v>
      </c>
      <c r="P6" s="26" t="s">
        <v>1334</v>
      </c>
      <c r="Q6" s="26" t="s">
        <v>1335</v>
      </c>
      <c r="R6" s="26" t="s">
        <v>1336</v>
      </c>
      <c r="S6" s="26" t="s">
        <v>1337</v>
      </c>
      <c r="T6" s="26" t="s">
        <v>1338</v>
      </c>
      <c r="U6" s="26" t="s">
        <v>1339</v>
      </c>
      <c r="V6" s="26" t="s">
        <v>1340</v>
      </c>
      <c r="W6" s="26" t="s">
        <v>1341</v>
      </c>
      <c r="X6" s="26" t="s">
        <v>1342</v>
      </c>
      <c r="Y6" s="26" t="s">
        <v>1343</v>
      </c>
      <c r="Z6" s="26" t="s">
        <v>1344</v>
      </c>
      <c r="AA6" s="26" t="s">
        <v>1345</v>
      </c>
      <c r="AB6" s="26" t="s">
        <v>1346</v>
      </c>
      <c r="AC6" s="26" t="s">
        <v>1347</v>
      </c>
      <c r="AD6" s="26" t="s">
        <v>1348</v>
      </c>
      <c r="AE6" s="26" t="s">
        <v>1349</v>
      </c>
      <c r="AF6" s="26" t="s">
        <v>1350</v>
      </c>
      <c r="AG6" s="26" t="s">
        <v>1351</v>
      </c>
      <c r="AH6" s="26" t="s">
        <v>1352</v>
      </c>
      <c r="AI6" s="26" t="s">
        <v>1353</v>
      </c>
      <c r="AJ6" s="26" t="s">
        <v>1354</v>
      </c>
      <c r="AK6" s="26" t="s">
        <v>1355</v>
      </c>
      <c r="AL6" s="26" t="s">
        <v>1356</v>
      </c>
      <c r="AM6" s="26" t="s">
        <v>1357</v>
      </c>
      <c r="AN6" s="26" t="s">
        <v>1358</v>
      </c>
      <c r="AO6" s="26" t="s">
        <v>1359</v>
      </c>
      <c r="AP6" s="26" t="s">
        <v>1360</v>
      </c>
      <c r="AQ6" s="26" t="s">
        <v>1361</v>
      </c>
      <c r="AR6" s="26" t="s">
        <v>1362</v>
      </c>
      <c r="AS6" s="26" t="s">
        <v>1363</v>
      </c>
      <c r="AT6" s="26" t="s">
        <v>1641</v>
      </c>
      <c r="AU6" s="26" t="s">
        <v>1642</v>
      </c>
      <c r="AV6" s="26" t="s">
        <v>1644</v>
      </c>
      <c r="AW6" s="26" t="s">
        <v>1646</v>
      </c>
      <c r="AX6" s="26" t="s">
        <v>920</v>
      </c>
      <c r="AY6" s="26" t="s">
        <v>921</v>
      </c>
      <c r="AZ6" s="26" t="s">
        <v>924</v>
      </c>
      <c r="BA6" s="26" t="s">
        <v>923</v>
      </c>
      <c r="BB6" s="26" t="s">
        <v>922</v>
      </c>
      <c r="BC6" s="26" t="s">
        <v>543</v>
      </c>
      <c r="BD6" s="26" t="s">
        <v>544</v>
      </c>
      <c r="BE6" s="26" t="s">
        <v>545</v>
      </c>
      <c r="BF6" s="26" t="s">
        <v>546</v>
      </c>
      <c r="BG6" s="26" t="s">
        <v>547</v>
      </c>
      <c r="BH6" s="26" t="s">
        <v>548</v>
      </c>
      <c r="BI6" s="26" t="s">
        <v>549</v>
      </c>
      <c r="BJ6" s="26" t="s">
        <v>550</v>
      </c>
      <c r="BK6" s="26" t="s">
        <v>551</v>
      </c>
      <c r="BL6" s="26" t="s">
        <v>552</v>
      </c>
      <c r="BM6" s="26" t="s">
        <v>553</v>
      </c>
      <c r="BN6" s="26" t="s">
        <v>554</v>
      </c>
      <c r="BO6" s="26" t="s">
        <v>555</v>
      </c>
      <c r="BP6" s="26" t="s">
        <v>556</v>
      </c>
      <c r="BQ6" s="26" t="s">
        <v>557</v>
      </c>
      <c r="BR6" s="26" t="s">
        <v>558</v>
      </c>
      <c r="BS6" s="26" t="s">
        <v>559</v>
      </c>
      <c r="BT6" s="26" t="s">
        <v>560</v>
      </c>
      <c r="BU6" s="26" t="s">
        <v>561</v>
      </c>
      <c r="BV6" s="26" t="s">
        <v>564</v>
      </c>
      <c r="BW6" s="26" t="s">
        <v>567</v>
      </c>
      <c r="BX6" s="26" t="s">
        <v>570</v>
      </c>
      <c r="BY6" s="26" t="s">
        <v>573</v>
      </c>
      <c r="BZ6" s="26" t="s">
        <v>576</v>
      </c>
      <c r="CA6" s="26" t="s">
        <v>579</v>
      </c>
      <c r="CB6" s="26" t="s">
        <v>582</v>
      </c>
      <c r="CC6" s="26" t="s">
        <v>585</v>
      </c>
      <c r="CD6" s="26" t="s">
        <v>562</v>
      </c>
      <c r="CE6" s="26" t="s">
        <v>565</v>
      </c>
      <c r="CF6" s="26" t="s">
        <v>568</v>
      </c>
      <c r="CG6" s="26" t="s">
        <v>571</v>
      </c>
      <c r="CH6" s="26" t="s">
        <v>574</v>
      </c>
      <c r="CI6" s="26" t="s">
        <v>577</v>
      </c>
      <c r="CJ6" s="26" t="s">
        <v>580</v>
      </c>
      <c r="CK6" s="26" t="s">
        <v>583</v>
      </c>
      <c r="CL6" s="26" t="s">
        <v>586</v>
      </c>
      <c r="CM6" s="26" t="s">
        <v>563</v>
      </c>
      <c r="CN6" s="26" t="s">
        <v>566</v>
      </c>
      <c r="CO6" s="26" t="s">
        <v>569</v>
      </c>
      <c r="CP6" s="26" t="s">
        <v>572</v>
      </c>
      <c r="CQ6" s="26" t="s">
        <v>575</v>
      </c>
      <c r="CR6" s="26" t="s">
        <v>578</v>
      </c>
      <c r="CS6" s="26" t="s">
        <v>581</v>
      </c>
      <c r="CT6" s="26" t="s">
        <v>584</v>
      </c>
      <c r="CU6" s="26" t="s">
        <v>587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7">
        <f>SUM(pmtct_stat_T[[#This Row],[A_pmtct_stat_D_u10_f]:[A_pmtct_stat_D_o50_f]])</f>
        <v>0</v>
      </c>
      <c r="AU7" s="167">
        <f>SUM(pmtct_stat_T[[#This Row],[A_pmtct_stat_u10_f_known]:[A_pmtct_stat_o50_f_known]])</f>
        <v>0</v>
      </c>
      <c r="AV7" s="167">
        <f>SUM(pmtct_stat_T[[#This Row],[A_pmtct_stat_u10_f_newneg]:[A_pmtct_stat_o50_f_newneg]])</f>
        <v>0</v>
      </c>
      <c r="AW7" s="167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</row>
    <row r="13" spans="1:9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</row>
    <row r="14" spans="1:9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</row>
    <row r="15" spans="1:9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</row>
    <row r="16" spans="1:9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</row>
    <row r="17" spans="1:4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</row>
    <row r="18" spans="1:4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</row>
    <row r="19" spans="1:4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</row>
    <row r="20" spans="1:4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</row>
    <row r="21" spans="1:4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</row>
    <row r="22" spans="1:4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</row>
    <row r="23" spans="1:4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</row>
    <row r="24" spans="1:4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</row>
    <row r="25" spans="1:4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</row>
    <row r="26" spans="1:4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</row>
    <row r="27" spans="1:4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</row>
    <row r="28" spans="1:4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</row>
    <row r="29" spans="1:4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</row>
    <row r="30" spans="1:4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</row>
    <row r="31" spans="1:4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</row>
    <row r="32" spans="1:4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</row>
    <row r="33" spans="1:4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</row>
    <row r="34" spans="1:4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</row>
    <row r="35" spans="1:4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</row>
    <row r="36" spans="1:4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</row>
    <row r="37" spans="1:4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</row>
    <row r="38" spans="1:4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</row>
    <row r="39" spans="1:4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</row>
    <row r="40" spans="1:4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</row>
    <row r="41" spans="1:4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</row>
    <row r="42" spans="1:4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</row>
    <row r="43" spans="1:4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</row>
    <row r="44" spans="1:4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</row>
    <row r="45" spans="1:4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</row>
    <row r="46" spans="1:4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</row>
    <row r="47" spans="1:4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</row>
    <row r="48" spans="1:4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</row>
    <row r="49" spans="1:4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</row>
    <row r="50" spans="1:4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</row>
    <row r="51" spans="1:4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</row>
    <row r="52" spans="1:4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</row>
    <row r="53" spans="1:4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</row>
    <row r="54" spans="1:4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</row>
    <row r="55" spans="1:4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</row>
    <row r="56" spans="1:4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</row>
    <row r="57" spans="1:4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</row>
    <row r="58" spans="1:4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</row>
    <row r="59" spans="1:4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</row>
    <row r="60" spans="1:4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</row>
    <row r="61" spans="1:4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</row>
    <row r="62" spans="1:4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</row>
    <row r="63" spans="1:4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</row>
    <row r="64" spans="1:4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</row>
    <row r="65" spans="1:4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</row>
    <row r="66" spans="1:4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</row>
    <row r="67" spans="1:4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</row>
    <row r="68" spans="1:4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</row>
    <row r="69" spans="1:4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</row>
    <row r="70" spans="1:4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</row>
    <row r="71" spans="1:4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</row>
    <row r="72" spans="1:4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</row>
    <row r="73" spans="1:4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</row>
    <row r="74" spans="1:4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</row>
    <row r="75" spans="1:4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</row>
    <row r="76" spans="1:4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</row>
    <row r="77" spans="1:4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</row>
    <row r="78" spans="1:4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</row>
    <row r="79" spans="1:4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</row>
    <row r="80" spans="1:4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</row>
    <row r="81" spans="1:4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</row>
    <row r="82" spans="1:4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</row>
    <row r="83" spans="1:4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</row>
    <row r="84" spans="1:4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</row>
    <row r="85" spans="1:4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</row>
    <row r="86" spans="1:4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</row>
    <row r="87" spans="1:4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</row>
    <row r="88" spans="1:4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</row>
    <row r="89" spans="1:4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</row>
    <row r="90" spans="1:4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</row>
    <row r="91" spans="1:4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</row>
    <row r="92" spans="1:4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</row>
    <row r="93" spans="1:4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</row>
    <row r="94" spans="1:4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</row>
    <row r="95" spans="1:4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</row>
    <row r="96" spans="1:4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</row>
    <row r="97" spans="1:4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</row>
    <row r="98" spans="1:4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</row>
    <row r="99" spans="1:4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</row>
    <row r="100" spans="1:4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</row>
    <row r="101" spans="1:4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</row>
    <row r="102" spans="1:4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</row>
    <row r="103" spans="1:4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</row>
    <row r="104" spans="1:4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</row>
    <row r="105" spans="1:4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</row>
    <row r="106" spans="1:4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</row>
    <row r="107" spans="1:4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</row>
    <row r="108" spans="1:4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</row>
    <row r="109" spans="1:4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</row>
    <row r="110" spans="1:4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</row>
    <row r="111" spans="1:4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</row>
    <row r="112" spans="1:4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</row>
    <row r="113" spans="1:4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</row>
    <row r="114" spans="1:4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</row>
    <row r="115" spans="1:4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</row>
    <row r="116" spans="1:4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</row>
    <row r="117" spans="1:4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</row>
    <row r="118" spans="1:4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</row>
    <row r="119" spans="1:4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</row>
    <row r="120" spans="1:4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</row>
    <row r="121" spans="1:4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</row>
    <row r="122" spans="1:4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</row>
    <row r="123" spans="1:4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</row>
    <row r="124" spans="1:4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</row>
    <row r="125" spans="1:4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</row>
    <row r="126" spans="1:4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</row>
    <row r="127" spans="1:4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</row>
    <row r="128" spans="1:4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</row>
    <row r="129" spans="1:4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</row>
    <row r="130" spans="1:4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</row>
    <row r="131" spans="1:4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</row>
    <row r="132" spans="1:4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</row>
    <row r="133" spans="1:4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</row>
    <row r="134" spans="1:4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</row>
    <row r="135" spans="1:4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</row>
    <row r="136" spans="1:4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</row>
    <row r="137" spans="1:4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</row>
    <row r="138" spans="1:4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</row>
    <row r="139" spans="1:4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</row>
    <row r="140" spans="1:4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</row>
    <row r="141" spans="1:4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</row>
    <row r="142" spans="1:4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</row>
    <row r="143" spans="1:4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</row>
    <row r="144" spans="1:4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</row>
    <row r="145" spans="1:4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</row>
    <row r="146" spans="1:4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</row>
    <row r="147" spans="1:4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</row>
    <row r="148" spans="1:4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</row>
    <row r="149" spans="1:4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</row>
    <row r="150" spans="1:4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</row>
    <row r="151" spans="1:4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</row>
    <row r="152" spans="1:4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</row>
    <row r="153" spans="1:4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</row>
    <row r="154" spans="1:4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</row>
    <row r="155" spans="1:4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</row>
    <row r="156" spans="1:4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</row>
    <row r="157" spans="1:4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</row>
    <row r="158" spans="1:4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</row>
    <row r="159" spans="1:4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</row>
    <row r="160" spans="1:4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</row>
    <row r="161" spans="1:4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</row>
    <row r="162" spans="1:4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</row>
    <row r="163" spans="1:4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</row>
    <row r="164" spans="1:4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</row>
    <row r="165" spans="1:4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</row>
    <row r="166" spans="1:4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</row>
    <row r="167" spans="1:4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</row>
    <row r="168" spans="1:4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</row>
    <row r="169" spans="1:4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</row>
    <row r="170" spans="1:4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</row>
    <row r="171" spans="1:4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</row>
    <row r="172" spans="1:4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</row>
    <row r="173" spans="1:4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</row>
    <row r="174" spans="1:4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</row>
    <row r="175" spans="1:4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</row>
    <row r="176" spans="1:4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</row>
    <row r="177" spans="1:4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</row>
    <row r="178" spans="1:4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</row>
    <row r="179" spans="1:4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</row>
    <row r="180" spans="1:4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</row>
    <row r="181" spans="1:4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</row>
    <row r="182" spans="1:4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</row>
    <row r="183" spans="1:4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</row>
    <row r="184" spans="1:4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</row>
    <row r="185" spans="1:4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</row>
    <row r="186" spans="1:4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</row>
    <row r="187" spans="1:4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</row>
    <row r="188" spans="1:4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</row>
    <row r="189" spans="1:4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</row>
    <row r="190" spans="1:4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</row>
    <row r="191" spans="1:4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</row>
    <row r="192" spans="1:4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</row>
    <row r="193" spans="1:4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</row>
    <row r="194" spans="1:4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</row>
    <row r="195" spans="1:4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</row>
    <row r="196" spans="1:4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</row>
    <row r="197" spans="1:4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</row>
    <row r="198" spans="1:4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</row>
    <row r="199" spans="1:4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</row>
    <row r="200" spans="1:4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</row>
    <row r="201" spans="1:4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</row>
    <row r="202" spans="1:4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</row>
    <row r="203" spans="1:4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</row>
    <row r="204" spans="1:4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</row>
    <row r="205" spans="1:4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</row>
    <row r="206" spans="1:4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</row>
    <row r="207" spans="1:4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</row>
    <row r="208" spans="1:4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</row>
    <row r="209" spans="1:4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</row>
    <row r="210" spans="1:4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</row>
    <row r="211" spans="1:4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</row>
    <row r="212" spans="1:4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</row>
    <row r="213" spans="1:4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</row>
    <row r="214" spans="1:4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</row>
    <row r="215" spans="1:4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</row>
    <row r="216" spans="1:4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</row>
    <row r="217" spans="1:4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</row>
    <row r="218" spans="1:4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</row>
    <row r="219" spans="1:4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</row>
    <row r="220" spans="1:4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</row>
    <row r="221" spans="1:4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</row>
    <row r="222" spans="1:4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</row>
    <row r="223" spans="1:4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</row>
    <row r="224" spans="1:4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</row>
    <row r="225" spans="1:4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</row>
    <row r="226" spans="1:4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</row>
    <row r="227" spans="1:4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</row>
    <row r="228" spans="1:4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</row>
    <row r="229" spans="1:4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</row>
    <row r="230" spans="1:4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</row>
    <row r="231" spans="1:4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</row>
    <row r="232" spans="1:4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</row>
    <row r="233" spans="1:4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</row>
    <row r="234" spans="1:4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</row>
    <row r="235" spans="1:4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</row>
    <row r="236" spans="1:4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</row>
    <row r="237" spans="1:4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</row>
    <row r="238" spans="1:4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</row>
    <row r="239" spans="1:4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</row>
    <row r="240" spans="1:4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</row>
    <row r="241" spans="1:4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</row>
    <row r="242" spans="1:4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</row>
    <row r="243" spans="1:4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</row>
    <row r="244" spans="1:4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</row>
    <row r="245" spans="1:4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</row>
    <row r="246" spans="1:4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</row>
    <row r="247" spans="1:4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</row>
    <row r="248" spans="1:4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</row>
    <row r="249" spans="1:4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</row>
    <row r="250" spans="1:4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</row>
    <row r="251" spans="1:4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</row>
    <row r="252" spans="1:4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</row>
    <row r="253" spans="1:4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</row>
    <row r="254" spans="1:4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</row>
    <row r="255" spans="1:4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</row>
    <row r="256" spans="1:4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</row>
    <row r="257" spans="1:4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</row>
    <row r="258" spans="1:4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</row>
    <row r="259" spans="1:4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</row>
    <row r="260" spans="1:4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</row>
    <row r="261" spans="1:4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</row>
    <row r="262" spans="1:4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</row>
    <row r="263" spans="1:4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</row>
    <row r="264" spans="1:4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</row>
    <row r="265" spans="1:4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</row>
    <row r="266" spans="1:4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</row>
    <row r="267" spans="1:4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</row>
    <row r="268" spans="1:4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</row>
    <row r="269" spans="1:4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</row>
    <row r="270" spans="1:4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</row>
    <row r="271" spans="1:4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</row>
    <row r="272" spans="1:4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</row>
    <row r="273" spans="1:4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</row>
    <row r="274" spans="1:4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</row>
    <row r="275" spans="1:4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</row>
    <row r="276" spans="1:4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</row>
    <row r="277" spans="1:4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</row>
    <row r="278" spans="1:4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</row>
    <row r="279" spans="1:4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</row>
    <row r="280" spans="1:4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</row>
    <row r="281" spans="1:4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</row>
    <row r="282" spans="1:4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</row>
    <row r="283" spans="1:4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</row>
    <row r="284" spans="1:4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</row>
    <row r="285" spans="1:4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</row>
    <row r="286" spans="1:4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</row>
    <row r="287" spans="1:4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</row>
    <row r="288" spans="1:4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</row>
    <row r="289" spans="1:4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</row>
    <row r="290" spans="1:4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</row>
    <row r="291" spans="1:4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</row>
    <row r="292" spans="1:4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</row>
    <row r="293" spans="1:4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</row>
    <row r="294" spans="1:4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</row>
    <row r="295" spans="1:4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</row>
    <row r="296" spans="1:4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</row>
    <row r="297" spans="1:4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</row>
    <row r="298" spans="1:4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</row>
    <row r="299" spans="1:4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</row>
    <row r="300" spans="1:4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</row>
    <row r="301" spans="1:4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</row>
    <row r="302" spans="1:4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</row>
    <row r="303" spans="1:4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</row>
    <row r="304" spans="1:4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</row>
    <row r="305" spans="1:4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</row>
    <row r="306" spans="1:4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</row>
    <row r="307" spans="1:4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</row>
    <row r="308" spans="1:4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</row>
    <row r="309" spans="1:4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</row>
    <row r="310" spans="1:4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</row>
    <row r="311" spans="1:4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</row>
    <row r="312" spans="1:4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</row>
    <row r="313" spans="1:4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</row>
    <row r="314" spans="1:4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</row>
    <row r="315" spans="1:4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</row>
    <row r="316" spans="1:4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</row>
    <row r="317" spans="1:4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</row>
    <row r="318" spans="1:4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</row>
    <row r="319" spans="1:4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</row>
    <row r="320" spans="1:4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</row>
    <row r="321" spans="1:4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</row>
    <row r="322" spans="1:4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</row>
    <row r="323" spans="1:4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</row>
    <row r="324" spans="1:4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</row>
    <row r="325" spans="1:4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</row>
    <row r="326" spans="1:4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</row>
    <row r="327" spans="1:4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</row>
    <row r="328" spans="1:4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</row>
    <row r="329" spans="1:4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</row>
    <row r="330" spans="1:4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</row>
    <row r="331" spans="1:4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</row>
    <row r="332" spans="1:4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</row>
    <row r="333" spans="1:4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</row>
    <row r="334" spans="1:4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</row>
    <row r="335" spans="1:4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</row>
    <row r="336" spans="1:4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</row>
    <row r="337" spans="1:4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</row>
    <row r="338" spans="1:4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</row>
    <row r="339" spans="1:4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</row>
    <row r="340" spans="1:4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</row>
    <row r="341" spans="1:4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</row>
    <row r="342" spans="1:4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</row>
    <row r="343" spans="1:4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</row>
    <row r="344" spans="1:4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</row>
    <row r="345" spans="1:4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</row>
    <row r="346" spans="1:4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</row>
    <row r="347" spans="1:4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</row>
    <row r="348" spans="1:4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</row>
    <row r="349" spans="1:4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</row>
    <row r="350" spans="1:4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</row>
    <row r="351" spans="1:4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</row>
    <row r="352" spans="1:4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</row>
    <row r="353" spans="1:4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</row>
    <row r="354" spans="1:4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</row>
    <row r="355" spans="1:4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</row>
    <row r="356" spans="1:4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</row>
    <row r="357" spans="1:4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</row>
    <row r="358" spans="1:4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</row>
    <row r="359" spans="1:4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</row>
    <row r="360" spans="1:4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</row>
    <row r="361" spans="1:4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</row>
    <row r="362" spans="1:4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</row>
    <row r="363" spans="1:4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</row>
    <row r="364" spans="1:4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</row>
    <row r="365" spans="1:4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</row>
    <row r="366" spans="1:4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</row>
    <row r="367" spans="1:4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</row>
    <row r="368" spans="1:4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</row>
    <row r="369" spans="1:4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</row>
    <row r="370" spans="1:4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</row>
    <row r="371" spans="1:4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</row>
    <row r="372" spans="1:4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</row>
    <row r="373" spans="1:4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</row>
    <row r="374" spans="1:4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</row>
    <row r="375" spans="1:4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</row>
    <row r="376" spans="1:4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</row>
    <row r="377" spans="1:4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</row>
    <row r="378" spans="1:4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</row>
    <row r="379" spans="1:4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</row>
    <row r="380" spans="1:4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</row>
    <row r="381" spans="1:4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</row>
    <row r="382" spans="1:4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</row>
    <row r="383" spans="1:4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</row>
    <row r="384" spans="1:4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</row>
    <row r="385" spans="1:4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</row>
    <row r="386" spans="1:4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</row>
    <row r="387" spans="1:4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</row>
    <row r="388" spans="1:4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</row>
    <row r="389" spans="1:4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</row>
    <row r="390" spans="1:4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</row>
    <row r="391" spans="1:4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</row>
    <row r="392" spans="1:4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</row>
    <row r="393" spans="1:4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</row>
    <row r="394" spans="1:4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</row>
    <row r="395" spans="1:4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</row>
    <row r="396" spans="1:4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</row>
    <row r="397" spans="1:4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</row>
    <row r="398" spans="1:4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</row>
    <row r="399" spans="1:4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</row>
    <row r="400" spans="1:4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</row>
    <row r="401" spans="1:4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</row>
    <row r="402" spans="1:4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</row>
    <row r="403" spans="1:4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</row>
    <row r="404" spans="1:4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</row>
    <row r="405" spans="1:4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</row>
    <row r="406" spans="1:4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</row>
    <row r="407" spans="1:4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</row>
    <row r="408" spans="1:4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</row>
    <row r="409" spans="1:4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</row>
    <row r="410" spans="1:4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</row>
    <row r="411" spans="1:4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</row>
    <row r="412" spans="1:4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</row>
    <row r="413" spans="1:4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</row>
    <row r="414" spans="1:4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</row>
    <row r="415" spans="1:4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</row>
    <row r="416" spans="1:4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</row>
    <row r="417" spans="1:4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</row>
    <row r="418" spans="1:4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</row>
    <row r="419" spans="1:4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</row>
    <row r="420" spans="1:4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</row>
    <row r="421" spans="1:4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</row>
    <row r="422" spans="1:4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</row>
    <row r="423" spans="1:4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</row>
    <row r="424" spans="1:4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</row>
    <row r="425" spans="1:4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</row>
    <row r="426" spans="1:4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</row>
    <row r="427" spans="1:4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</row>
    <row r="428" spans="1:4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</row>
    <row r="429" spans="1:4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</row>
    <row r="430" spans="1:4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</row>
    <row r="431" spans="1:4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</row>
    <row r="432" spans="1:4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</row>
    <row r="433" spans="1:4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</row>
    <row r="434" spans="1:4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</row>
    <row r="435" spans="1:4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</row>
    <row r="436" spans="1:4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</row>
    <row r="437" spans="1:4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</row>
    <row r="438" spans="1:4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</row>
    <row r="439" spans="1:4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</row>
    <row r="440" spans="1:4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</row>
    <row r="441" spans="1:4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</row>
    <row r="442" spans="1:4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</row>
    <row r="443" spans="1:4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</row>
    <row r="444" spans="1:4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</row>
    <row r="445" spans="1:4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</row>
    <row r="446" spans="1:4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</row>
    <row r="447" spans="1:4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</row>
    <row r="448" spans="1:4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</row>
    <row r="449" spans="1:4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</row>
    <row r="450" spans="1:4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</row>
    <row r="451" spans="1:4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</row>
    <row r="452" spans="1:4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</row>
    <row r="453" spans="1:4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</row>
    <row r="454" spans="1:4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</row>
    <row r="455" spans="1:4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</row>
    <row r="456" spans="1:4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</row>
    <row r="457" spans="1:4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</row>
    <row r="458" spans="1:4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</row>
    <row r="459" spans="1:4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</row>
    <row r="460" spans="1:4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</row>
    <row r="461" spans="1:4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</row>
    <row r="462" spans="1:4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</row>
    <row r="463" spans="1:4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</row>
    <row r="464" spans="1:4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</row>
    <row r="465" spans="1:4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</row>
    <row r="466" spans="1:4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</row>
    <row r="467" spans="1:4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</row>
    <row r="468" spans="1:4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</row>
    <row r="469" spans="1:4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</row>
    <row r="470" spans="1:4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</row>
    <row r="471" spans="1:4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</row>
    <row r="472" spans="1:4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</row>
    <row r="473" spans="1:4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</row>
    <row r="474" spans="1:4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</row>
    <row r="475" spans="1:4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</row>
    <row r="476" spans="1:4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</row>
    <row r="477" spans="1:4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</row>
    <row r="478" spans="1:4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</row>
    <row r="479" spans="1:4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</row>
    <row r="480" spans="1:4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</row>
    <row r="481" spans="1:4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</row>
    <row r="482" spans="1:4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</row>
    <row r="483" spans="1:4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</row>
    <row r="484" spans="1:4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</row>
    <row r="485" spans="1:4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</row>
    <row r="486" spans="1:4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</row>
    <row r="487" spans="1:4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</row>
    <row r="488" spans="1:4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</row>
    <row r="489" spans="1:4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</row>
    <row r="490" spans="1:4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</row>
    <row r="491" spans="1:4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</row>
    <row r="492" spans="1:4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</row>
    <row r="493" spans="1:4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</row>
    <row r="494" spans="1:4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</row>
    <row r="495" spans="1:4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</row>
    <row r="496" spans="1:4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</row>
    <row r="497" spans="1:4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</row>
    <row r="498" spans="1:4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</row>
    <row r="499" spans="1:4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</row>
    <row r="500" spans="1:4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</row>
    <row r="501" spans="1:4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</row>
    <row r="502" spans="1:4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</row>
    <row r="503" spans="1:4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</row>
    <row r="504" spans="1:4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</row>
    <row r="505" spans="1:4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</row>
    <row r="506" spans="1:4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</row>
    <row r="507" spans="1:4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</row>
    <row r="508" spans="1:4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</row>
    <row r="509" spans="1:4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</row>
    <row r="510" spans="1:4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</row>
    <row r="511" spans="1:4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</row>
    <row r="512" spans="1:4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</row>
    <row r="513" spans="1:4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</row>
    <row r="514" spans="1:4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</row>
    <row r="515" spans="1:4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</row>
    <row r="516" spans="1:4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</row>
    <row r="517" spans="1:4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</row>
    <row r="518" spans="1:4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</row>
    <row r="519" spans="1:4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</row>
    <row r="520" spans="1:4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</row>
    <row r="521" spans="1:4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</row>
    <row r="522" spans="1:4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</row>
    <row r="523" spans="1:4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</row>
    <row r="524" spans="1:4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</row>
    <row r="525" spans="1:4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</row>
    <row r="526" spans="1:4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</row>
    <row r="527" spans="1:4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</row>
    <row r="528" spans="1:4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</row>
    <row r="529" spans="1:4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</row>
    <row r="530" spans="1:4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</row>
    <row r="531" spans="1:4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</row>
    <row r="532" spans="1:4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</row>
    <row r="533" spans="1:4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</row>
    <row r="534" spans="1:4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</row>
    <row r="535" spans="1:4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</row>
    <row r="536" spans="1:4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</row>
    <row r="537" spans="1:4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</row>
    <row r="538" spans="1:4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</row>
    <row r="539" spans="1:4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</row>
    <row r="540" spans="1:4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</row>
    <row r="541" spans="1:4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</row>
    <row r="542" spans="1:4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</row>
    <row r="543" spans="1:4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</row>
    <row r="544" spans="1:4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</row>
    <row r="545" spans="1:4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</row>
    <row r="546" spans="1:4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</row>
    <row r="547" spans="1:4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</row>
    <row r="548" spans="1:4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</row>
    <row r="549" spans="1:4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</row>
    <row r="550" spans="1:4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</row>
    <row r="551" spans="1:4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</row>
    <row r="552" spans="1:4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</row>
    <row r="553" spans="1:4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</row>
    <row r="554" spans="1:4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</row>
    <row r="555" spans="1:4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</row>
    <row r="556" spans="1:4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</row>
    <row r="557" spans="1:4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</row>
    <row r="558" spans="1:4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</row>
    <row r="559" spans="1:4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</row>
    <row r="560" spans="1:4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</row>
    <row r="561" spans="1:4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</row>
    <row r="562" spans="1:4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</row>
    <row r="563" spans="1:4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</row>
    <row r="564" spans="1:4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</row>
    <row r="565" spans="1:4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</row>
    <row r="566" spans="1:4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</row>
    <row r="567" spans="1:4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</row>
    <row r="568" spans="1:4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</row>
    <row r="569" spans="1:4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</row>
    <row r="570" spans="1:4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</row>
    <row r="571" spans="1:4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</row>
    <row r="572" spans="1:4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</row>
    <row r="573" spans="1:4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</row>
    <row r="574" spans="1:4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</row>
    <row r="575" spans="1:4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</row>
    <row r="576" spans="1:4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</row>
    <row r="577" spans="1:4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</row>
    <row r="578" spans="1:4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</row>
    <row r="579" spans="1:4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</row>
    <row r="580" spans="1:4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</row>
    <row r="581" spans="1:4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</row>
    <row r="582" spans="1:4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</row>
    <row r="583" spans="1:4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</row>
    <row r="584" spans="1:4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</row>
    <row r="585" spans="1:4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</row>
    <row r="586" spans="1:4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</row>
    <row r="587" spans="1:4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</row>
    <row r="588" spans="1:4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</row>
    <row r="589" spans="1:4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</row>
    <row r="590" spans="1:4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</row>
    <row r="591" spans="1:4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</row>
    <row r="592" spans="1:4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</row>
    <row r="593" spans="1:4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</row>
    <row r="594" spans="1:4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</row>
    <row r="595" spans="1:4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</row>
    <row r="596" spans="1:4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</row>
    <row r="597" spans="1:4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</row>
    <row r="598" spans="1:4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</row>
    <row r="599" spans="1:4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</row>
    <row r="600" spans="1:4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</row>
    <row r="601" spans="1:4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</row>
    <row r="602" spans="1:4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</row>
    <row r="603" spans="1:4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</row>
    <row r="604" spans="1:4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</row>
    <row r="605" spans="1:4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</row>
    <row r="606" spans="1:4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</row>
    <row r="607" spans="1:4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</row>
    <row r="608" spans="1:4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</row>
    <row r="609" spans="1:4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</row>
    <row r="610" spans="1:4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</row>
    <row r="611" spans="1:4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</row>
    <row r="612" spans="1:4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</row>
    <row r="613" spans="1:4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</row>
    <row r="614" spans="1:4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</row>
    <row r="615" spans="1:4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</row>
    <row r="616" spans="1:4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</row>
    <row r="617" spans="1:4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</row>
    <row r="618" spans="1:4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</row>
    <row r="619" spans="1:4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</row>
    <row r="620" spans="1:4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</row>
    <row r="621" spans="1:4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</row>
    <row r="622" spans="1:4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</row>
    <row r="623" spans="1:4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</row>
    <row r="624" spans="1:4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</row>
    <row r="625" spans="1:4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</row>
    <row r="626" spans="1:4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</row>
    <row r="627" spans="1:4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</row>
    <row r="628" spans="1:4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</row>
    <row r="629" spans="1:4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</row>
    <row r="630" spans="1:4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</row>
    <row r="631" spans="1:4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</row>
    <row r="632" spans="1:4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</row>
    <row r="633" spans="1:4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</row>
    <row r="634" spans="1:4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</row>
    <row r="635" spans="1:4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</row>
    <row r="636" spans="1:4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</row>
    <row r="637" spans="1:4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</row>
    <row r="638" spans="1:4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</row>
    <row r="639" spans="1:4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</row>
    <row r="640" spans="1:4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</row>
    <row r="641" spans="1:4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</row>
    <row r="642" spans="1:4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</row>
    <row r="643" spans="1:4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</row>
    <row r="644" spans="1:4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</row>
    <row r="645" spans="1:4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</row>
    <row r="646" spans="1:4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</row>
    <row r="647" spans="1:4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</row>
    <row r="648" spans="1:4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</row>
    <row r="649" spans="1:4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</row>
    <row r="650" spans="1:4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</row>
    <row r="651" spans="1:4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</row>
    <row r="652" spans="1:4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</row>
    <row r="653" spans="1:4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</row>
    <row r="654" spans="1:4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</row>
    <row r="655" spans="1:4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</row>
    <row r="656" spans="1:4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</row>
    <row r="657" spans="1:4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</row>
    <row r="658" spans="1:4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</row>
    <row r="659" spans="1:4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</row>
    <row r="660" spans="1:4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</row>
    <row r="661" spans="1:4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</row>
    <row r="662" spans="1:4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</row>
    <row r="663" spans="1:4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</row>
    <row r="664" spans="1:4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</row>
    <row r="665" spans="1:4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</row>
    <row r="666" spans="1:4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</row>
    <row r="667" spans="1:4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</row>
    <row r="668" spans="1:4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</row>
    <row r="669" spans="1:4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</row>
    <row r="670" spans="1:4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</row>
    <row r="671" spans="1:4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</row>
    <row r="672" spans="1:4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</row>
    <row r="673" spans="1:4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</row>
    <row r="674" spans="1:4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</row>
    <row r="675" spans="1:4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</row>
    <row r="676" spans="1:4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</row>
    <row r="677" spans="1:4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</row>
    <row r="678" spans="1:4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</row>
    <row r="679" spans="1:4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</row>
    <row r="680" spans="1:4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</row>
    <row r="681" spans="1:4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</row>
    <row r="682" spans="1:4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</row>
    <row r="683" spans="1:4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</row>
    <row r="684" spans="1:4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</row>
    <row r="685" spans="1:4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</row>
    <row r="686" spans="1:4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</row>
    <row r="687" spans="1:4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</row>
    <row r="688" spans="1:4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</row>
    <row r="689" spans="1:4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</row>
    <row r="690" spans="1:4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</row>
    <row r="691" spans="1:4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</row>
    <row r="692" spans="1:4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</row>
    <row r="693" spans="1:4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</row>
    <row r="694" spans="1:4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</row>
    <row r="695" spans="1:4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</row>
    <row r="696" spans="1:4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</row>
    <row r="697" spans="1:4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</row>
    <row r="698" spans="1:4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</row>
    <row r="699" spans="1:4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</row>
    <row r="700" spans="1:4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</row>
    <row r="701" spans="1:4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</row>
    <row r="702" spans="1:4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</row>
    <row r="703" spans="1:4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</row>
    <row r="704" spans="1:4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</row>
    <row r="705" spans="1:4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</row>
    <row r="706" spans="1:4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</row>
    <row r="707" spans="1:4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</row>
    <row r="708" spans="1:4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</row>
    <row r="709" spans="1:4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</row>
    <row r="710" spans="1:4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</row>
    <row r="711" spans="1:4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</row>
    <row r="712" spans="1:4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</row>
    <row r="713" spans="1:4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</row>
    <row r="714" spans="1:4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</row>
    <row r="715" spans="1:4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</row>
    <row r="716" spans="1:4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</row>
    <row r="717" spans="1:4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</row>
    <row r="718" spans="1:4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</row>
    <row r="719" spans="1:4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</row>
    <row r="720" spans="1:4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</row>
    <row r="721" spans="1:4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</row>
    <row r="722" spans="1:4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</row>
    <row r="723" spans="1:4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</row>
    <row r="724" spans="1:4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</row>
    <row r="725" spans="1:4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</row>
    <row r="726" spans="1:4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</row>
    <row r="727" spans="1:4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</row>
    <row r="728" spans="1:4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</row>
    <row r="729" spans="1:4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</row>
    <row r="730" spans="1:4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</row>
    <row r="731" spans="1:4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</row>
    <row r="732" spans="1:4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</row>
    <row r="733" spans="1:4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</row>
    <row r="734" spans="1:4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</row>
    <row r="735" spans="1:4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</row>
    <row r="736" spans="1:4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</row>
    <row r="737" spans="1:4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</row>
    <row r="738" spans="1:4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</row>
    <row r="739" spans="1:4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</row>
    <row r="740" spans="1:4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</row>
    <row r="741" spans="1:4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</row>
    <row r="742" spans="1:4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</row>
    <row r="743" spans="1:4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</row>
    <row r="744" spans="1:4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</row>
    <row r="745" spans="1:4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</row>
    <row r="746" spans="1:4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</row>
    <row r="747" spans="1:4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</row>
    <row r="748" spans="1:4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</row>
    <row r="749" spans="1:4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</row>
    <row r="750" spans="1:4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</row>
    <row r="751" spans="1:4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</row>
    <row r="752" spans="1:4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</row>
    <row r="753" spans="1:4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</row>
    <row r="754" spans="1:4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</row>
    <row r="755" spans="1:4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</row>
    <row r="756" spans="1:4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</row>
    <row r="757" spans="1:4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</row>
    <row r="758" spans="1:4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</row>
    <row r="759" spans="1:4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</row>
    <row r="760" spans="1:4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</row>
    <row r="761" spans="1:4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</row>
    <row r="762" spans="1:4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</row>
    <row r="763" spans="1:4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</row>
    <row r="764" spans="1:4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</row>
    <row r="765" spans="1:4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</row>
    <row r="766" spans="1:4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</row>
    <row r="767" spans="1:4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</row>
    <row r="768" spans="1:4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</row>
    <row r="769" spans="1:4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</row>
    <row r="770" spans="1:4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</row>
    <row r="771" spans="1:4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</row>
    <row r="772" spans="1:4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</row>
    <row r="773" spans="1:4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</row>
    <row r="774" spans="1:4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</row>
    <row r="775" spans="1:4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</row>
    <row r="776" spans="1:4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</row>
    <row r="777" spans="1:4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</row>
    <row r="778" spans="1:4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</row>
    <row r="779" spans="1:4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</row>
    <row r="780" spans="1:4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</row>
    <row r="781" spans="1:4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</row>
    <row r="782" spans="1:4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</row>
    <row r="783" spans="1:4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</row>
    <row r="784" spans="1:4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</row>
    <row r="785" spans="1:4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</row>
    <row r="786" spans="1:4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</row>
    <row r="787" spans="1:4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</row>
    <row r="788" spans="1:4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</row>
    <row r="789" spans="1:4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</row>
    <row r="790" spans="1:4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</row>
    <row r="791" spans="1:4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</row>
    <row r="792" spans="1:4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</row>
    <row r="793" spans="1:4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</row>
    <row r="794" spans="1:4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</row>
    <row r="795" spans="1:4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</row>
    <row r="796" spans="1:4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</row>
    <row r="797" spans="1:4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</row>
    <row r="798" spans="1:4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</row>
    <row r="799" spans="1:4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</row>
    <row r="800" spans="1:4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</row>
    <row r="801" spans="1:4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</row>
    <row r="802" spans="1:4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</row>
    <row r="803" spans="1:4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</row>
    <row r="804" spans="1:4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</row>
    <row r="805" spans="1:4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</row>
    <row r="806" spans="1:4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</row>
    <row r="807" spans="1:4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</row>
    <row r="808" spans="1:4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</row>
    <row r="809" spans="1:4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</row>
    <row r="810" spans="1:4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</row>
    <row r="811" spans="1:4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</row>
    <row r="812" spans="1:4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</row>
    <row r="813" spans="1:4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</row>
    <row r="814" spans="1:4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</row>
    <row r="815" spans="1:4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</row>
    <row r="816" spans="1:4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</row>
    <row r="817" spans="1:4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</row>
    <row r="818" spans="1:4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</row>
    <row r="819" spans="1:4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</row>
    <row r="820" spans="1:4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</row>
    <row r="821" spans="1:4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</row>
    <row r="822" spans="1:4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</row>
    <row r="823" spans="1:4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</row>
    <row r="824" spans="1:4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</row>
    <row r="825" spans="1:4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</row>
    <row r="826" spans="1:4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</row>
    <row r="827" spans="1:4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</row>
    <row r="828" spans="1:4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</row>
    <row r="829" spans="1:4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</row>
    <row r="830" spans="1:4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</row>
    <row r="831" spans="1:4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</row>
    <row r="832" spans="1:4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</row>
    <row r="833" spans="1:4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</row>
    <row r="834" spans="1:4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</row>
    <row r="835" spans="1:4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</row>
    <row r="836" spans="1:4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</row>
    <row r="837" spans="1:4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</row>
    <row r="838" spans="1:4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</row>
    <row r="839" spans="1:4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</row>
    <row r="840" spans="1:4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</row>
    <row r="841" spans="1:4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</row>
    <row r="842" spans="1:4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</row>
    <row r="843" spans="1:4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</row>
    <row r="844" spans="1:4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</row>
    <row r="845" spans="1:4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</row>
    <row r="846" spans="1:4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</row>
    <row r="847" spans="1:4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</row>
    <row r="848" spans="1:4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</row>
    <row r="849" spans="1:4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</row>
    <row r="850" spans="1:4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</row>
    <row r="851" spans="1:4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</row>
    <row r="852" spans="1:4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</row>
    <row r="853" spans="1:4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</row>
    <row r="854" spans="1:4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</row>
    <row r="855" spans="1:4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</row>
    <row r="856" spans="1:4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</row>
    <row r="857" spans="1:4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</row>
    <row r="858" spans="1:4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</row>
    <row r="859" spans="1:4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</row>
    <row r="860" spans="1:4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</row>
    <row r="861" spans="1:4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</row>
    <row r="862" spans="1:4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</row>
    <row r="863" spans="1:4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</row>
    <row r="864" spans="1:4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</row>
    <row r="865" spans="1:4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</row>
    <row r="866" spans="1:4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</row>
    <row r="867" spans="1:4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</row>
    <row r="868" spans="1:4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</row>
    <row r="869" spans="1:4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</row>
    <row r="870" spans="1:4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</row>
    <row r="871" spans="1:4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</row>
    <row r="872" spans="1:4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</row>
    <row r="873" spans="1:4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</row>
    <row r="874" spans="1:4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</row>
    <row r="875" spans="1:4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</row>
    <row r="876" spans="1:4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</row>
    <row r="877" spans="1:4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</row>
    <row r="878" spans="1:4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</row>
    <row r="879" spans="1:4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</row>
    <row r="880" spans="1:4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</row>
    <row r="881" spans="1:4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</row>
    <row r="882" spans="1:4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</row>
    <row r="883" spans="1:4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</row>
    <row r="884" spans="1:4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</row>
    <row r="885" spans="1:4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</row>
    <row r="886" spans="1:4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</row>
    <row r="887" spans="1:4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</row>
    <row r="888" spans="1:4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</row>
    <row r="889" spans="1:4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</row>
    <row r="890" spans="1:4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</row>
    <row r="891" spans="1:4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</row>
    <row r="892" spans="1:4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</row>
    <row r="893" spans="1:4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</row>
    <row r="894" spans="1:4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</row>
    <row r="895" spans="1:4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</row>
    <row r="896" spans="1:4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</row>
    <row r="897" spans="1:4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</row>
    <row r="898" spans="1:4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</row>
    <row r="899" spans="1:4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</row>
    <row r="900" spans="1:4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</row>
    <row r="901" spans="1:4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</row>
    <row r="902" spans="1:4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</row>
    <row r="903" spans="1:4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</row>
    <row r="904" spans="1:4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</row>
    <row r="905" spans="1:4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</row>
    <row r="906" spans="1:4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</row>
    <row r="907" spans="1:4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</row>
    <row r="908" spans="1:4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</row>
    <row r="909" spans="1:4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</row>
    <row r="910" spans="1:4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</row>
    <row r="911" spans="1:4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</row>
    <row r="912" spans="1:4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</row>
    <row r="913" spans="1:4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</row>
    <row r="914" spans="1:4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</row>
    <row r="915" spans="1:4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</row>
    <row r="916" spans="1:4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</row>
    <row r="917" spans="1:4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</row>
    <row r="918" spans="1:4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</row>
    <row r="919" spans="1:4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</row>
    <row r="920" spans="1:4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</row>
    <row r="921" spans="1:4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</row>
    <row r="922" spans="1:4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</row>
    <row r="923" spans="1:4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</row>
    <row r="924" spans="1:4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</row>
    <row r="925" spans="1:4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</row>
    <row r="926" spans="1:4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</row>
    <row r="927" spans="1:4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</row>
    <row r="928" spans="1:4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</row>
    <row r="929" spans="1:4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</row>
    <row r="930" spans="1:4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</row>
    <row r="931" spans="1:4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</row>
    <row r="932" spans="1:4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</row>
    <row r="933" spans="1:4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</row>
    <row r="934" spans="1:4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</row>
    <row r="935" spans="1:4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</row>
    <row r="936" spans="1:4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</row>
    <row r="937" spans="1:4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</row>
    <row r="938" spans="1:4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</row>
    <row r="939" spans="1:4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</row>
    <row r="940" spans="1:4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</row>
    <row r="941" spans="1:4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</row>
    <row r="942" spans="1:4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</row>
    <row r="943" spans="1:4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</row>
    <row r="944" spans="1:4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</row>
    <row r="945" spans="1:4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</row>
    <row r="946" spans="1:4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</row>
    <row r="947" spans="1:4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</row>
    <row r="948" spans="1:4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</row>
    <row r="949" spans="1:4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</row>
    <row r="950" spans="1:4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</row>
    <row r="951" spans="1:4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</row>
    <row r="952" spans="1:4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</row>
    <row r="953" spans="1:4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</row>
    <row r="954" spans="1:4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</row>
    <row r="955" spans="1:4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</row>
    <row r="956" spans="1:4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</row>
    <row r="957" spans="1:4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</row>
    <row r="958" spans="1:4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</row>
    <row r="959" spans="1:4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</row>
    <row r="960" spans="1:4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</row>
    <row r="961" spans="1:4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</row>
    <row r="962" spans="1:4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</row>
    <row r="963" spans="1:4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</row>
    <row r="964" spans="1:4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</row>
    <row r="965" spans="1:4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</row>
    <row r="966" spans="1:4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</row>
    <row r="967" spans="1:4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</row>
    <row r="968" spans="1:4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</row>
    <row r="969" spans="1:4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</row>
    <row r="970" spans="1:4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</row>
    <row r="971" spans="1:4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</row>
    <row r="972" spans="1:4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</row>
    <row r="973" spans="1:4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</row>
    <row r="974" spans="1:4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</row>
    <row r="975" spans="1:4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</row>
    <row r="976" spans="1:4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</row>
    <row r="977" spans="1:4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</row>
    <row r="978" spans="1:4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</row>
    <row r="979" spans="1:4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</row>
    <row r="980" spans="1:4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</row>
    <row r="981" spans="1:4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</row>
    <row r="982" spans="1:4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</row>
    <row r="983" spans="1:4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</row>
    <row r="984" spans="1:4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</row>
    <row r="985" spans="1:4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</row>
    <row r="986" spans="1:4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</row>
    <row r="987" spans="1:4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</row>
    <row r="988" spans="1:4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</row>
    <row r="989" spans="1:4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</row>
    <row r="990" spans="1:4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</row>
    <row r="991" spans="1:4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</row>
    <row r="992" spans="1:4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</row>
    <row r="993" spans="1:4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</row>
    <row r="994" spans="1:4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</row>
    <row r="995" spans="1:4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</row>
    <row r="996" spans="1:4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</row>
    <row r="997" spans="1:4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</row>
    <row r="998" spans="1:4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</row>
    <row r="999" spans="1:4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</row>
    <row r="1000" spans="1:4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</row>
    <row r="1001" spans="1:4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</row>
    <row r="1002" spans="1:4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</row>
    <row r="1003" spans="1:4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</row>
    <row r="1004" spans="1:4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</row>
    <row r="1005" spans="1:4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</row>
    <row r="1006" spans="1:4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</row>
    <row r="1007" spans="1:4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</row>
    <row r="1008" spans="1:4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</row>
    <row r="1009" spans="1:4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</row>
    <row r="1010" spans="1:4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</row>
    <row r="1011" spans="1:4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</row>
    <row r="1012" spans="1:4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</row>
    <row r="1013" spans="1:4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</row>
    <row r="1014" spans="1:4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</row>
    <row r="1015" spans="1:4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</row>
    <row r="1016" spans="1:4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</row>
    <row r="1017" spans="1:4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</row>
    <row r="1018" spans="1:4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</row>
    <row r="1019" spans="1:4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</row>
    <row r="1020" spans="1:4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</row>
    <row r="1021" spans="1:4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</row>
    <row r="1022" spans="1:4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</row>
    <row r="1023" spans="1:4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</row>
    <row r="1024" spans="1:4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</row>
    <row r="1025" spans="1:4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</row>
    <row r="1026" spans="1:4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</row>
    <row r="1027" spans="1:4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</row>
    <row r="1028" spans="1:4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</row>
    <row r="1029" spans="1:4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</row>
    <row r="1030" spans="1:4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</row>
    <row r="1031" spans="1:4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</row>
    <row r="1032" spans="1:4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</row>
    <row r="1033" spans="1:4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</row>
    <row r="1034" spans="1:4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</row>
    <row r="1035" spans="1:4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</row>
    <row r="1036" spans="1:4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</row>
    <row r="1037" spans="1:4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</row>
    <row r="1038" spans="1:4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</row>
    <row r="1039" spans="1:4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</row>
    <row r="1040" spans="1:4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</row>
    <row r="1041" spans="1:4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</row>
    <row r="1042" spans="1:4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</row>
    <row r="1043" spans="1:4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</row>
    <row r="1044" spans="1:4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</row>
    <row r="1045" spans="1:4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</row>
    <row r="1046" spans="1:4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</row>
    <row r="1047" spans="1:4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</row>
    <row r="1048" spans="1:4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</row>
    <row r="1049" spans="1:4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</row>
    <row r="1050" spans="1:4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</row>
    <row r="1051" spans="1:4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</row>
    <row r="1052" spans="1:4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</row>
    <row r="1053" spans="1:4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</row>
    <row r="1054" spans="1:4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</row>
    <row r="1055" spans="1:4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</row>
    <row r="1056" spans="1:4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</row>
    <row r="1057" spans="1:4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</row>
    <row r="1058" spans="1:4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</row>
    <row r="1059" spans="1:4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</row>
    <row r="1060" spans="1:4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</row>
    <row r="1061" spans="1:4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</row>
    <row r="1062" spans="1:4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</row>
    <row r="1063" spans="1:4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</row>
    <row r="1064" spans="1:4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</row>
    <row r="1065" spans="1:4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</row>
    <row r="1066" spans="1:4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</row>
    <row r="1067" spans="1:4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</row>
    <row r="1068" spans="1:4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</row>
    <row r="1069" spans="1:4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</row>
    <row r="1070" spans="1:4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</row>
    <row r="1071" spans="1:4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</row>
    <row r="1072" spans="1:4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</row>
    <row r="1073" spans="1:4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</row>
    <row r="1074" spans="1:4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</row>
    <row r="1075" spans="1:4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</row>
    <row r="1076" spans="1:4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</row>
    <row r="1077" spans="1:4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</row>
    <row r="1078" spans="1:4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</row>
    <row r="1079" spans="1:4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</row>
    <row r="1080" spans="1:4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</row>
    <row r="1081" spans="1:4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</row>
    <row r="1082" spans="1:4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</row>
    <row r="1083" spans="1:4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</row>
    <row r="1084" spans="1:4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</row>
    <row r="1085" spans="1:4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</row>
    <row r="1086" spans="1:4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</row>
    <row r="1087" spans="1:4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</row>
    <row r="1088" spans="1:4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</row>
    <row r="1089" spans="1:4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</row>
    <row r="1090" spans="1:4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</row>
    <row r="1091" spans="1:4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</row>
    <row r="1092" spans="1:4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</row>
    <row r="1093" spans="1:4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</row>
    <row r="1094" spans="1:4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</row>
    <row r="1095" spans="1:4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</row>
    <row r="1096" spans="1:4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</row>
    <row r="1097" spans="1:4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</row>
    <row r="1098" spans="1:4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</row>
    <row r="1099" spans="1:4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</row>
    <row r="1100" spans="1:4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</row>
    <row r="1101" spans="1:4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</row>
    <row r="1102" spans="1:4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</row>
    <row r="1103" spans="1:4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</row>
    <row r="1104" spans="1:4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</row>
    <row r="1105" spans="1:4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</row>
    <row r="1106" spans="1:4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</row>
    <row r="1107" spans="1:4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</row>
    <row r="1108" spans="1:4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</row>
    <row r="1109" spans="1:4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</row>
    <row r="1110" spans="1:4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</row>
    <row r="1111" spans="1:4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</row>
    <row r="1112" spans="1:4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</row>
    <row r="1113" spans="1:4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</row>
    <row r="1114" spans="1:4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</row>
    <row r="1115" spans="1:4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</row>
    <row r="1116" spans="1:4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</row>
    <row r="1117" spans="1:4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</row>
    <row r="1118" spans="1:4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</row>
    <row r="1119" spans="1:4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</row>
    <row r="1120" spans="1:4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</row>
    <row r="1121" spans="1:4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</row>
    <row r="1122" spans="1:4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</row>
    <row r="1123" spans="1:4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</row>
    <row r="1124" spans="1:4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</row>
    <row r="1125" spans="1:4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</row>
    <row r="1126" spans="1:4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</row>
    <row r="1127" spans="1:4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</row>
    <row r="1128" spans="1:4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</row>
    <row r="1129" spans="1:4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</row>
    <row r="1130" spans="1:4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</row>
    <row r="1131" spans="1:4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</row>
    <row r="1132" spans="1:4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</row>
    <row r="1133" spans="1:4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</row>
    <row r="1134" spans="1:4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</row>
    <row r="1135" spans="1:4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</row>
    <row r="1136" spans="1:4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</row>
    <row r="1137" spans="1:4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</row>
    <row r="1138" spans="1:4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</row>
    <row r="1139" spans="1:4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</row>
    <row r="1140" spans="1:4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</row>
    <row r="1141" spans="1:4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</row>
    <row r="1142" spans="1:4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</row>
    <row r="1143" spans="1:4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</row>
    <row r="1144" spans="1:4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</row>
    <row r="1145" spans="1:4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</row>
    <row r="1146" spans="1:4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</row>
    <row r="1147" spans="1:4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</row>
    <row r="1148" spans="1:4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</row>
    <row r="1149" spans="1:4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</row>
    <row r="1150" spans="1:4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</row>
    <row r="1151" spans="1:4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</row>
    <row r="1152" spans="1:4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</row>
    <row r="1153" spans="3:4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</row>
    <row r="1154" spans="3:4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</row>
  </sheetData>
  <mergeCells count="1">
    <mergeCell ref="A1:A2"/>
  </mergeCells>
  <conditionalFormatting sqref="J7:R7">
    <cfRule type="expression" dxfId="614" priority="2">
      <formula>$AX7=0</formula>
    </cfRule>
  </conditionalFormatting>
  <conditionalFormatting sqref="S7:AW7">
    <cfRule type="expression" dxfId="613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topLeftCell="R1" zoomScaleNormal="100" workbookViewId="0">
      <pane ySplit="4" topLeftCell="A5" activePane="bottomLeft" state="frozen"/>
      <selection pane="bottomLeft" activeCell="Z7" sqref="Z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8"/>
      <c r="C1" s="141" t="s">
        <v>30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24" t="s">
        <v>1645</v>
      </c>
      <c r="AA1" s="124" t="s">
        <v>1185</v>
      </c>
      <c r="AB1" s="54" t="s">
        <v>1184</v>
      </c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</row>
    <row r="2" spans="1:43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163" t="s">
        <v>1643</v>
      </c>
      <c r="AA3" s="62" t="s">
        <v>748</v>
      </c>
      <c r="AB3" s="125" t="s">
        <v>7</v>
      </c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7"/>
    </row>
    <row r="4" spans="1:43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64" t="s">
        <v>7</v>
      </c>
      <c r="AA4" s="10" t="s">
        <v>30</v>
      </c>
      <c r="AB4" s="128" t="s">
        <v>210</v>
      </c>
      <c r="AC4" s="129" t="s">
        <v>211</v>
      </c>
      <c r="AD4" s="129" t="s">
        <v>276</v>
      </c>
      <c r="AE4" s="129" t="s">
        <v>310</v>
      </c>
      <c r="AF4" s="129" t="s">
        <v>277</v>
      </c>
      <c r="AG4" s="129" t="s">
        <v>311</v>
      </c>
      <c r="AH4" s="129" t="s">
        <v>278</v>
      </c>
      <c r="AI4" s="129" t="s">
        <v>312</v>
      </c>
      <c r="AJ4" s="129" t="s">
        <v>279</v>
      </c>
      <c r="AK4" s="129" t="s">
        <v>313</v>
      </c>
      <c r="AL4" s="129" t="s">
        <v>280</v>
      </c>
      <c r="AM4" s="129" t="s">
        <v>314</v>
      </c>
      <c r="AN4" s="129" t="s">
        <v>281</v>
      </c>
      <c r="AO4" s="129" t="s">
        <v>315</v>
      </c>
      <c r="AP4" s="129" t="s">
        <v>282</v>
      </c>
      <c r="AQ4" s="130" t="s">
        <v>316</v>
      </c>
    </row>
    <row r="5" spans="1:43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1379</v>
      </c>
      <c r="K6" s="26" t="s">
        <v>1364</v>
      </c>
      <c r="L6" s="26" t="s">
        <v>1365</v>
      </c>
      <c r="M6" s="26" t="s">
        <v>1366</v>
      </c>
      <c r="N6" s="26" t="s">
        <v>1367</v>
      </c>
      <c r="O6" s="26" t="s">
        <v>1368</v>
      </c>
      <c r="P6" s="26" t="s">
        <v>1369</v>
      </c>
      <c r="Q6" s="26" t="s">
        <v>1370</v>
      </c>
      <c r="R6" s="26" t="s">
        <v>1371</v>
      </c>
      <c r="S6" s="26" t="s">
        <v>1372</v>
      </c>
      <c r="T6" s="26" t="s">
        <v>1373</v>
      </c>
      <c r="U6" s="26" t="s">
        <v>1374</v>
      </c>
      <c r="V6" s="26" t="s">
        <v>1375</v>
      </c>
      <c r="W6" s="26" t="s">
        <v>1376</v>
      </c>
      <c r="X6" s="26" t="s">
        <v>1377</v>
      </c>
      <c r="Y6" s="26" t="s">
        <v>1378</v>
      </c>
      <c r="Z6" s="26" t="s">
        <v>1641</v>
      </c>
      <c r="AA6" s="26" t="s">
        <v>1008</v>
      </c>
      <c r="AB6" s="26" t="s">
        <v>588</v>
      </c>
      <c r="AC6" s="26" t="s">
        <v>589</v>
      </c>
      <c r="AD6" s="26" t="s">
        <v>590</v>
      </c>
      <c r="AE6" s="26" t="s">
        <v>591</v>
      </c>
      <c r="AF6" s="26" t="s">
        <v>592</v>
      </c>
      <c r="AG6" s="26" t="s">
        <v>593</v>
      </c>
      <c r="AH6" s="26" t="s">
        <v>594</v>
      </c>
      <c r="AI6" s="26" t="s">
        <v>595</v>
      </c>
      <c r="AJ6" s="26" t="s">
        <v>596</v>
      </c>
      <c r="AK6" s="26" t="s">
        <v>597</v>
      </c>
      <c r="AL6" s="26" t="s">
        <v>598</v>
      </c>
      <c r="AM6" s="26" t="s">
        <v>599</v>
      </c>
      <c r="AN6" s="26" t="s">
        <v>600</v>
      </c>
      <c r="AO6" s="26" t="s">
        <v>601</v>
      </c>
      <c r="AP6" s="26" t="s">
        <v>602</v>
      </c>
      <c r="AQ6" s="26" t="s">
        <v>603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7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/>
    </row>
    <row r="13" spans="1:4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/>
    </row>
    <row r="14" spans="1:4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/>
    </row>
    <row r="15" spans="1:4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/>
    </row>
    <row r="16" spans="1:4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/>
    </row>
  </sheetData>
  <mergeCells count="1">
    <mergeCell ref="A1:A2"/>
  </mergeCells>
  <conditionalFormatting sqref="J7:Z7">
    <cfRule type="expression" dxfId="513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topLeftCell="N1" zoomScaleNormal="100" workbookViewId="0">
      <pane ySplit="4" topLeftCell="A5" activePane="bottomLeft" state="frozen"/>
      <selection pane="bottomLeft" activeCell="AB7" sqref="AB7: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8"/>
      <c r="C1" s="141" t="s">
        <v>317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48" t="s">
        <v>1645</v>
      </c>
      <c r="AC1" s="134"/>
      <c r="AD1" s="53" t="s">
        <v>1185</v>
      </c>
      <c r="AE1" s="119" t="s">
        <v>1184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</row>
    <row r="2" spans="1:48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155" t="s">
        <v>1643</v>
      </c>
      <c r="AC3" s="161"/>
      <c r="AD3" s="62" t="s">
        <v>748</v>
      </c>
      <c r="AE3" s="125" t="s">
        <v>7</v>
      </c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5" t="s">
        <v>199</v>
      </c>
      <c r="AT3" s="126"/>
      <c r="AU3" s="126"/>
      <c r="AV3" s="126"/>
    </row>
    <row r="4" spans="1:48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56" t="s">
        <v>7</v>
      </c>
      <c r="AC4" s="162" t="s">
        <v>199</v>
      </c>
      <c r="AD4" s="10" t="s">
        <v>317</v>
      </c>
      <c r="AE4" s="128" t="s">
        <v>276</v>
      </c>
      <c r="AF4" s="129" t="s">
        <v>310</v>
      </c>
      <c r="AG4" s="129" t="s">
        <v>277</v>
      </c>
      <c r="AH4" s="129" t="s">
        <v>311</v>
      </c>
      <c r="AI4" s="129" t="s">
        <v>278</v>
      </c>
      <c r="AJ4" s="129" t="s">
        <v>312</v>
      </c>
      <c r="AK4" s="129" t="s">
        <v>279</v>
      </c>
      <c r="AL4" s="129" t="s">
        <v>313</v>
      </c>
      <c r="AM4" s="129" t="s">
        <v>280</v>
      </c>
      <c r="AN4" s="129" t="s">
        <v>314</v>
      </c>
      <c r="AO4" s="129" t="s">
        <v>281</v>
      </c>
      <c r="AP4" s="129" t="s">
        <v>315</v>
      </c>
      <c r="AQ4" s="129" t="s">
        <v>282</v>
      </c>
      <c r="AR4" s="129" t="s">
        <v>316</v>
      </c>
      <c r="AS4" s="128" t="s">
        <v>201</v>
      </c>
      <c r="AT4" s="129" t="s">
        <v>319</v>
      </c>
      <c r="AU4" s="129" t="s">
        <v>320</v>
      </c>
      <c r="AV4" s="129" t="s">
        <v>321</v>
      </c>
    </row>
    <row r="5" spans="1:48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1381</v>
      </c>
      <c r="K6" s="26" t="s">
        <v>1382</v>
      </c>
      <c r="L6" s="26" t="s">
        <v>1383</v>
      </c>
      <c r="M6" s="26" t="s">
        <v>1384</v>
      </c>
      <c r="N6" s="26" t="s">
        <v>1385</v>
      </c>
      <c r="O6" s="26" t="s">
        <v>1386</v>
      </c>
      <c r="P6" s="26" t="s">
        <v>1387</v>
      </c>
      <c r="Q6" s="26" t="s">
        <v>1388</v>
      </c>
      <c r="R6" s="26" t="s">
        <v>1389</v>
      </c>
      <c r="S6" s="26" t="s">
        <v>1390</v>
      </c>
      <c r="T6" s="26" t="s">
        <v>1391</v>
      </c>
      <c r="U6" s="26" t="s">
        <v>1392</v>
      </c>
      <c r="V6" s="26" t="s">
        <v>1393</v>
      </c>
      <c r="W6" s="26" t="s">
        <v>1394</v>
      </c>
      <c r="X6" s="26" t="s">
        <v>1395</v>
      </c>
      <c r="Y6" s="26" t="s">
        <v>1396</v>
      </c>
      <c r="Z6" s="26" t="s">
        <v>1397</v>
      </c>
      <c r="AA6" s="26" t="s">
        <v>1398</v>
      </c>
      <c r="AB6" s="26" t="s">
        <v>1641</v>
      </c>
      <c r="AC6" s="26" t="s">
        <v>1642</v>
      </c>
      <c r="AD6" s="26" t="s">
        <v>1011</v>
      </c>
      <c r="AE6" s="26" t="s">
        <v>604</v>
      </c>
      <c r="AF6" s="26" t="s">
        <v>605</v>
      </c>
      <c r="AG6" s="26" t="s">
        <v>606</v>
      </c>
      <c r="AH6" s="26" t="s">
        <v>607</v>
      </c>
      <c r="AI6" s="26" t="s">
        <v>608</v>
      </c>
      <c r="AJ6" s="26" t="s">
        <v>609</v>
      </c>
      <c r="AK6" s="26" t="s">
        <v>610</v>
      </c>
      <c r="AL6" s="26" t="s">
        <v>611</v>
      </c>
      <c r="AM6" s="26" t="s">
        <v>612</v>
      </c>
      <c r="AN6" s="26" t="s">
        <v>613</v>
      </c>
      <c r="AO6" s="26" t="s">
        <v>614</v>
      </c>
      <c r="AP6" s="26" t="s">
        <v>615</v>
      </c>
      <c r="AQ6" s="26" t="s">
        <v>616</v>
      </c>
      <c r="AR6" s="26" t="s">
        <v>617</v>
      </c>
      <c r="AS6" s="26" t="s">
        <v>618</v>
      </c>
      <c r="AT6" s="26" t="s">
        <v>619</v>
      </c>
      <c r="AU6" s="26" t="s">
        <v>620</v>
      </c>
      <c r="AV6" s="26" t="s">
        <v>621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7">
        <f>SUM(prep_new_T[[#This Row],[A_prep_new_1519_f]:[A_prep_new_o50_m]])</f>
        <v>0</v>
      </c>
      <c r="AC7" s="167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AC7">
    <cfRule type="expression" dxfId="469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R7" sqref="R7:S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9" customWidth="1"/>
  </cols>
  <sheetData>
    <row r="1" spans="1:29" s="1" customFormat="1" ht="23.25" x14ac:dyDescent="0.35">
      <c r="A1" s="168"/>
      <c r="C1" s="141" t="s">
        <v>18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48" t="s">
        <v>1645</v>
      </c>
      <c r="S1" s="150"/>
      <c r="T1" s="53" t="s">
        <v>1185</v>
      </c>
      <c r="U1" s="54"/>
      <c r="V1" s="53" t="s">
        <v>1184</v>
      </c>
      <c r="W1" s="54"/>
      <c r="X1" s="54"/>
      <c r="Y1" s="54"/>
      <c r="Z1" s="72"/>
      <c r="AA1" s="72"/>
      <c r="AB1" s="72"/>
      <c r="AC1" s="72"/>
    </row>
    <row r="2" spans="1:29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1624</v>
      </c>
      <c r="O3" s="49"/>
      <c r="P3" s="49"/>
      <c r="Q3" s="48"/>
      <c r="R3" s="160" t="s">
        <v>1643</v>
      </c>
      <c r="S3" s="160"/>
      <c r="T3" s="62" t="s">
        <v>93</v>
      </c>
      <c r="U3" s="64"/>
      <c r="V3" s="125" t="s">
        <v>362</v>
      </c>
      <c r="W3" s="126"/>
      <c r="X3" s="126"/>
      <c r="Y3" s="126"/>
      <c r="Z3" s="125" t="s">
        <v>1624</v>
      </c>
      <c r="AA3" s="126"/>
      <c r="AB3" s="126"/>
      <c r="AC3" s="127"/>
    </row>
    <row r="4" spans="1:29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1630</v>
      </c>
      <c r="K4" s="13" t="s">
        <v>1631</v>
      </c>
      <c r="L4" s="13" t="s">
        <v>1632</v>
      </c>
      <c r="M4" s="13" t="s">
        <v>1633</v>
      </c>
      <c r="N4" s="8" t="s">
        <v>1630</v>
      </c>
      <c r="O4" s="13" t="s">
        <v>1631</v>
      </c>
      <c r="P4" s="13" t="s">
        <v>1632</v>
      </c>
      <c r="Q4" s="9" t="s">
        <v>1633</v>
      </c>
      <c r="R4" s="158" t="s">
        <v>362</v>
      </c>
      <c r="S4" s="158" t="s">
        <v>1624</v>
      </c>
      <c r="T4" s="10" t="s">
        <v>1172</v>
      </c>
      <c r="U4" s="11" t="s">
        <v>94</v>
      </c>
      <c r="V4" s="128" t="s">
        <v>1630</v>
      </c>
      <c r="W4" s="129" t="s">
        <v>1631</v>
      </c>
      <c r="X4" s="129" t="s">
        <v>1632</v>
      </c>
      <c r="Y4" s="129" t="s">
        <v>1633</v>
      </c>
      <c r="Z4" s="128" t="s">
        <v>1630</v>
      </c>
      <c r="AA4" s="129" t="s">
        <v>1631</v>
      </c>
      <c r="AB4" s="129" t="s">
        <v>1632</v>
      </c>
      <c r="AC4" s="130" t="s">
        <v>1633</v>
      </c>
    </row>
    <row r="5" spans="1:29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1">
        <f>SUBTOTAL(109,tb_stat_T[D_tb_stat_D_fy19])</f>
        <v>0</v>
      </c>
      <c r="U5" s="61">
        <f>SUBTOTAL(109,tb_stat_T[D_tb_stat_fy19])</f>
        <v>0</v>
      </c>
      <c r="V5" s="61">
        <f>SUBTOTAL(109,tb_stat_T[tb_stat_D_u15_f])</f>
        <v>0</v>
      </c>
      <c r="W5" s="61">
        <f>SUBTOTAL(109,tb_stat_T[tb_stat_D_u15_m])</f>
        <v>0</v>
      </c>
      <c r="X5" s="61">
        <f>SUBTOTAL(109,tb_stat_T[tb_stat_D_o15_f])</f>
        <v>0</v>
      </c>
      <c r="Y5" s="61">
        <f>SUBTOTAL(109,tb_stat_T[tb_stat_D_o15_m])</f>
        <v>0</v>
      </c>
      <c r="Z5" s="61">
        <f>SUBTOTAL(109,tb_stat_T[tb_stat_u15_f_newneg])</f>
        <v>0</v>
      </c>
      <c r="AA5" s="61">
        <f>SUBTOTAL(109,tb_stat_T[tb_stat_u15_m_newneg])</f>
        <v>0</v>
      </c>
      <c r="AB5" s="61">
        <f>SUBTOTAL(109,tb_stat_T[tb_stat_o15_f_newneg])</f>
        <v>0</v>
      </c>
      <c r="AC5" s="61">
        <f>SUBTOTAL(109,tb_stat_T[tb_stat_o15_m_newneg])</f>
        <v>0</v>
      </c>
    </row>
    <row r="6" spans="1:29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1625</v>
      </c>
      <c r="O6" s="26" t="s">
        <v>1626</v>
      </c>
      <c r="P6" s="26" t="s">
        <v>1627</v>
      </c>
      <c r="Q6" s="26" t="s">
        <v>1628</v>
      </c>
      <c r="R6" s="26" t="s">
        <v>1641</v>
      </c>
      <c r="S6" s="26" t="s">
        <v>1642</v>
      </c>
      <c r="T6" s="26" t="s">
        <v>1140</v>
      </c>
      <c r="U6" s="26" t="s">
        <v>929</v>
      </c>
      <c r="V6" s="26" t="s">
        <v>642</v>
      </c>
      <c r="W6" s="26" t="s">
        <v>643</v>
      </c>
      <c r="X6" s="26" t="s">
        <v>644</v>
      </c>
      <c r="Y6" s="26" t="s">
        <v>645</v>
      </c>
      <c r="Z6" s="26" t="s">
        <v>821</v>
      </c>
      <c r="AA6" s="26" t="s">
        <v>822</v>
      </c>
      <c r="AB6" s="26" t="s">
        <v>823</v>
      </c>
      <c r="AC6" s="26" t="s">
        <v>824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7">
        <f>SUM(tb_stat_T[[#This Row],[A_tb_stat_D_u15_f]:[A_tb_stat_D_o15_m]])</f>
        <v>0</v>
      </c>
      <c r="S7" s="167">
        <f>SUM(tb_stat_T[[#This Row],[A_tb_stat_u15_f]:[A_tb_stat_o15_m]])</f>
        <v>0</v>
      </c>
      <c r="T7" s="42"/>
      <c r="U7" s="42"/>
      <c r="V7" s="65">
        <f>tb_stat_T[[D_tb_stat_D_fy19]:[D_tb_stat_D_fy19]]*tb_stat_T[A_tb_stat_D_u15_f]</f>
        <v>0</v>
      </c>
      <c r="W7" s="65">
        <f>tb_stat_T[[D_tb_stat_D_fy19]:[D_tb_stat_D_fy19]]*tb_stat_T[A_tb_stat_D_u15_m]</f>
        <v>0</v>
      </c>
      <c r="X7" s="65">
        <f>tb_stat_T[[D_tb_stat_D_fy19]:[D_tb_stat_D_fy19]]*tb_stat_T[A_tb_stat_D_o15_f]</f>
        <v>0</v>
      </c>
      <c r="Y7" s="65">
        <f>tb_stat_T[[D_tb_stat_D_fy19]:[D_tb_stat_D_fy19]]*tb_stat_T[A_tb_stat_D_o15_m]</f>
        <v>0</v>
      </c>
      <c r="Z7" s="65">
        <f>tb_stat_T[[D_tb_stat_fy19]:[D_tb_stat_fy19]]*tb_stat_T[A_tb_stat_u15_f]</f>
        <v>0</v>
      </c>
      <c r="AA7" s="65">
        <f>tb_stat_T[[D_tb_stat_fy19]:[D_tb_stat_fy19]]*tb_stat_T[A_tb_stat_u15_m]</f>
        <v>0</v>
      </c>
      <c r="AB7" s="65">
        <f>tb_stat_T[[D_tb_stat_fy19]:[D_tb_stat_fy19]]*tb_stat_T[A_tb_stat_o15_f]</f>
        <v>0</v>
      </c>
      <c r="AC7" s="65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</row>
    <row r="13" spans="1:2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</row>
    <row r="14" spans="1:2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</row>
    <row r="15" spans="1:2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</row>
    <row r="16" spans="1:2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</row>
    <row r="17" spans="1:1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</row>
    <row r="18" spans="1:1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</row>
    <row r="19" spans="1:1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</row>
    <row r="20" spans="1:1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</row>
    <row r="21" spans="1:1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</row>
    <row r="22" spans="1:1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</row>
    <row r="23" spans="1:1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</row>
    <row r="24" spans="1:1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</row>
    <row r="25" spans="1:1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</row>
    <row r="26" spans="1:1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</row>
    <row r="27" spans="1:1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</row>
    <row r="28" spans="1:1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</row>
    <row r="29" spans="1:1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</row>
    <row r="30" spans="1:1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</row>
    <row r="31" spans="1:1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</row>
    <row r="32" spans="1:1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</row>
    <row r="33" spans="1:1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</row>
    <row r="34" spans="1:1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</row>
    <row r="35" spans="1:1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</row>
    <row r="36" spans="1:1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</row>
    <row r="37" spans="1:1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</row>
    <row r="38" spans="1:1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</row>
    <row r="39" spans="1:1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</row>
    <row r="40" spans="1:1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</row>
    <row r="41" spans="1:1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</row>
    <row r="42" spans="1:1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</row>
    <row r="43" spans="1:1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</row>
    <row r="44" spans="1:1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</row>
    <row r="45" spans="1:1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</row>
    <row r="46" spans="1:1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</row>
    <row r="47" spans="1:1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</row>
    <row r="48" spans="1:1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</row>
    <row r="49" spans="1:1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</row>
    <row r="50" spans="1:1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</row>
    <row r="51" spans="1:1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</row>
    <row r="52" spans="1:1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</row>
    <row r="53" spans="1:1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</row>
    <row r="54" spans="1:1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</row>
    <row r="55" spans="1:1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</row>
    <row r="56" spans="1:1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</row>
    <row r="57" spans="1:1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</row>
    <row r="58" spans="1:1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</row>
    <row r="59" spans="1:1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</row>
    <row r="60" spans="1:1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</row>
    <row r="61" spans="1:1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</row>
    <row r="62" spans="1:1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</row>
    <row r="63" spans="1:1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</row>
    <row r="64" spans="1:1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</row>
    <row r="65" spans="1:1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</row>
    <row r="66" spans="1:1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</row>
    <row r="67" spans="1:1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</row>
    <row r="68" spans="1:1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</row>
    <row r="69" spans="1:1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</row>
    <row r="70" spans="1:1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</row>
    <row r="71" spans="1:1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</row>
    <row r="72" spans="1:1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</row>
    <row r="73" spans="1:1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</row>
    <row r="74" spans="1:1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</row>
    <row r="75" spans="1:1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</row>
    <row r="76" spans="1:1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</row>
    <row r="77" spans="1:1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</row>
    <row r="78" spans="1:1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</row>
    <row r="79" spans="1:1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</row>
    <row r="80" spans="1:1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</row>
    <row r="81" spans="1:1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</row>
    <row r="82" spans="1:1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</row>
    <row r="83" spans="1:1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</row>
    <row r="84" spans="1:1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</row>
    <row r="85" spans="1:1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</row>
    <row r="86" spans="1:1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</row>
    <row r="87" spans="1:1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</row>
    <row r="88" spans="1:1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</row>
    <row r="89" spans="1:1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</row>
    <row r="90" spans="1:1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</row>
    <row r="91" spans="1:1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</row>
    <row r="92" spans="1:1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</row>
    <row r="93" spans="1:1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</row>
    <row r="94" spans="1:1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</row>
    <row r="95" spans="1:1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</row>
    <row r="96" spans="1:1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</row>
    <row r="97" spans="1:1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</row>
    <row r="98" spans="1:1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</row>
    <row r="99" spans="1:1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</row>
    <row r="100" spans="1:1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</row>
    <row r="101" spans="1:1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</row>
    <row r="102" spans="1:1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</row>
    <row r="103" spans="1:1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</row>
    <row r="104" spans="1:1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</row>
    <row r="105" spans="1:1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</row>
    <row r="106" spans="1:1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</row>
    <row r="107" spans="1:1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</row>
    <row r="108" spans="1:1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</row>
    <row r="109" spans="1:1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</row>
    <row r="110" spans="1:1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</row>
    <row r="111" spans="1:1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</row>
    <row r="112" spans="1:1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</row>
    <row r="113" spans="1:1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</row>
    <row r="114" spans="1:1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</row>
    <row r="115" spans="1:1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</row>
    <row r="116" spans="1:1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</row>
    <row r="117" spans="1:1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</row>
    <row r="118" spans="1:1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</row>
    <row r="119" spans="1:1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</row>
    <row r="120" spans="1:1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</row>
    <row r="121" spans="1:1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</row>
    <row r="122" spans="1:1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</row>
    <row r="123" spans="1:1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</row>
    <row r="124" spans="1:1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</row>
    <row r="125" spans="1:1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</row>
    <row r="126" spans="1:1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</row>
    <row r="127" spans="1:1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</row>
    <row r="128" spans="1:1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</row>
    <row r="129" spans="1:1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</row>
    <row r="130" spans="1:1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</row>
    <row r="131" spans="1:1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</row>
    <row r="132" spans="1:1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</row>
    <row r="133" spans="1:1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</row>
    <row r="134" spans="1:1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</row>
    <row r="135" spans="1:1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</row>
    <row r="136" spans="1:1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</row>
    <row r="137" spans="1:1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</row>
    <row r="138" spans="1:1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</row>
    <row r="139" spans="1:1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</row>
    <row r="140" spans="1:1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</row>
    <row r="141" spans="1:1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</row>
    <row r="142" spans="1:1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</row>
    <row r="143" spans="1:1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</row>
    <row r="144" spans="1:1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</row>
    <row r="145" spans="1:1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</row>
    <row r="146" spans="1:1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</row>
    <row r="147" spans="1:1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</row>
    <row r="148" spans="1:1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</row>
    <row r="149" spans="1:1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</row>
    <row r="150" spans="1:1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</row>
    <row r="151" spans="1:1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</row>
    <row r="152" spans="1:1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</row>
    <row r="153" spans="1:1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</row>
    <row r="154" spans="1:1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</row>
    <row r="155" spans="1:1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</row>
    <row r="156" spans="1:1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</row>
    <row r="157" spans="1:1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</row>
    <row r="158" spans="1:1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</row>
    <row r="159" spans="1:1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</row>
    <row r="160" spans="1:1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</row>
    <row r="161" spans="1:1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</row>
    <row r="162" spans="1:1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</row>
    <row r="163" spans="1:1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</row>
    <row r="164" spans="1:1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</row>
    <row r="165" spans="1:1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</row>
    <row r="166" spans="1:1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</row>
    <row r="167" spans="1:1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</row>
    <row r="168" spans="1:1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</row>
    <row r="169" spans="1:1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</row>
    <row r="170" spans="1:1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</row>
    <row r="171" spans="1:1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</row>
    <row r="172" spans="1:1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</row>
    <row r="173" spans="1:1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</row>
    <row r="174" spans="1:1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</row>
    <row r="175" spans="1:1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</row>
    <row r="176" spans="1:1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</row>
    <row r="177" spans="1:1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</row>
    <row r="178" spans="1:1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</row>
    <row r="179" spans="1:1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</row>
    <row r="180" spans="1:1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</row>
    <row r="181" spans="1:1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</row>
    <row r="182" spans="1:1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</row>
    <row r="183" spans="1:1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</row>
    <row r="184" spans="1:1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</row>
    <row r="185" spans="1:1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</row>
    <row r="186" spans="1:1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</row>
    <row r="187" spans="1:1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</row>
    <row r="188" spans="1:1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</row>
    <row r="189" spans="1:1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</row>
    <row r="190" spans="1:1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</row>
    <row r="191" spans="1:1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</row>
    <row r="192" spans="1:1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</row>
    <row r="193" spans="1:1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</row>
    <row r="194" spans="1:1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</row>
    <row r="195" spans="1:1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</row>
    <row r="196" spans="1:1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</row>
    <row r="197" spans="1:1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</row>
    <row r="198" spans="1:1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</row>
    <row r="199" spans="1:1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</row>
    <row r="200" spans="1:1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</row>
    <row r="201" spans="1:1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</row>
    <row r="202" spans="1:1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</row>
    <row r="203" spans="1:1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</row>
    <row r="204" spans="1:1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</row>
    <row r="205" spans="1:1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</row>
    <row r="206" spans="1:1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</row>
    <row r="207" spans="1:1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</row>
    <row r="208" spans="1:1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</row>
    <row r="209" spans="1:1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</row>
    <row r="210" spans="1:1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</row>
    <row r="211" spans="1:1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</row>
    <row r="212" spans="1:1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</row>
    <row r="213" spans="1:1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</row>
    <row r="214" spans="1:1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</row>
    <row r="215" spans="1:1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</row>
    <row r="216" spans="1:1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</row>
    <row r="217" spans="1:1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</row>
    <row r="218" spans="1:1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</row>
    <row r="219" spans="1:1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</row>
    <row r="220" spans="1:1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</row>
    <row r="221" spans="1:1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</row>
    <row r="222" spans="1:1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</row>
    <row r="223" spans="1:1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</row>
    <row r="224" spans="1:1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</row>
    <row r="225" spans="1:1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</row>
    <row r="226" spans="1:1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</row>
    <row r="227" spans="1:1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</row>
    <row r="228" spans="1:1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</row>
    <row r="229" spans="1:1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</row>
    <row r="230" spans="1:1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</row>
    <row r="231" spans="1:1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</row>
    <row r="232" spans="1:1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</row>
    <row r="233" spans="1:1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</row>
    <row r="234" spans="1:1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</row>
    <row r="235" spans="1:1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</row>
    <row r="236" spans="1:1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</row>
    <row r="237" spans="1:1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</row>
    <row r="238" spans="1:1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</row>
    <row r="239" spans="1:1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</row>
    <row r="240" spans="1:1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</row>
    <row r="241" spans="1:1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</row>
    <row r="242" spans="1:1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</row>
    <row r="243" spans="1:1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</row>
    <row r="244" spans="1:1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</row>
    <row r="245" spans="1:1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</row>
    <row r="246" spans="1:1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</row>
    <row r="247" spans="1:1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</row>
    <row r="248" spans="1:1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</row>
    <row r="249" spans="1:1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</row>
    <row r="250" spans="1:1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</row>
    <row r="251" spans="1:1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</row>
    <row r="252" spans="1:1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</row>
    <row r="253" spans="1:1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</row>
    <row r="254" spans="1:1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</row>
    <row r="255" spans="1:1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</row>
    <row r="256" spans="1:1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</row>
    <row r="257" spans="1:1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</row>
    <row r="258" spans="1:1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</row>
    <row r="259" spans="1:1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</row>
    <row r="260" spans="1:1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</row>
    <row r="261" spans="1:1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</row>
    <row r="262" spans="1:1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</row>
    <row r="263" spans="1:1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</row>
    <row r="264" spans="1:1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</row>
    <row r="265" spans="1:1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</row>
    <row r="266" spans="1:1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</row>
    <row r="267" spans="1:1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</row>
    <row r="268" spans="1:1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</row>
    <row r="269" spans="1:1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</row>
    <row r="270" spans="1:1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</row>
    <row r="271" spans="1:1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</row>
    <row r="272" spans="1:1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</row>
    <row r="273" spans="1:1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</row>
    <row r="274" spans="1:1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</row>
    <row r="275" spans="1:1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</row>
    <row r="276" spans="1:1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</row>
    <row r="277" spans="1:1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</row>
    <row r="278" spans="1:1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</row>
    <row r="279" spans="1:1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</row>
    <row r="280" spans="1:1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</row>
    <row r="281" spans="1:1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</row>
    <row r="282" spans="1:1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</row>
    <row r="283" spans="1:1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</row>
    <row r="284" spans="1:1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</row>
    <row r="285" spans="1:1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</row>
    <row r="286" spans="1:1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</row>
    <row r="287" spans="1:1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</row>
    <row r="288" spans="1:1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</row>
    <row r="289" spans="1:1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</row>
    <row r="290" spans="1:1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</row>
    <row r="291" spans="1:1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</row>
    <row r="292" spans="1:1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</row>
    <row r="293" spans="1:1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</row>
    <row r="294" spans="1:1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</row>
    <row r="295" spans="1:1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</row>
    <row r="296" spans="1:1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</row>
    <row r="297" spans="1:1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</row>
    <row r="298" spans="1:1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</row>
    <row r="299" spans="1:1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</row>
    <row r="300" spans="1:1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</row>
    <row r="301" spans="1:1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</row>
    <row r="302" spans="1:1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</row>
    <row r="303" spans="1:1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</row>
    <row r="304" spans="1:1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</row>
    <row r="305" spans="1:1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</row>
    <row r="306" spans="1:1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</row>
    <row r="307" spans="1:1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</row>
    <row r="308" spans="1:1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</row>
    <row r="309" spans="1:1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</row>
    <row r="310" spans="1:1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</row>
    <row r="311" spans="1:1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</row>
    <row r="312" spans="1:1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</row>
    <row r="313" spans="1:1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</row>
    <row r="314" spans="1:1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</row>
    <row r="315" spans="1:1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</row>
    <row r="316" spans="1:1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</row>
    <row r="317" spans="1:1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</row>
    <row r="318" spans="1:1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</row>
    <row r="319" spans="1:1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</row>
    <row r="320" spans="1:1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</row>
    <row r="321" spans="1:1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</row>
    <row r="322" spans="1:1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</row>
    <row r="323" spans="1:1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</row>
    <row r="324" spans="1:1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</row>
    <row r="325" spans="1:1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</row>
    <row r="326" spans="1:1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</row>
    <row r="327" spans="1:1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</row>
    <row r="328" spans="1:1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</row>
    <row r="329" spans="1:1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</row>
    <row r="330" spans="1:1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</row>
    <row r="331" spans="1:1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</row>
    <row r="332" spans="1:1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</row>
    <row r="333" spans="1:1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</row>
    <row r="334" spans="1:1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</row>
    <row r="335" spans="1:1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</row>
    <row r="336" spans="1:1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</row>
    <row r="337" spans="1:1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</row>
    <row r="338" spans="1:1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</row>
    <row r="339" spans="1:1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</row>
    <row r="340" spans="1:1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</row>
    <row r="341" spans="1:1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</row>
    <row r="342" spans="1:1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</row>
    <row r="343" spans="1:1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</row>
    <row r="344" spans="1:1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</row>
    <row r="345" spans="1:1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</row>
    <row r="346" spans="1:1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</row>
    <row r="347" spans="1:1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</row>
    <row r="348" spans="1:1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</row>
    <row r="349" spans="1:1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</row>
    <row r="350" spans="1:1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</row>
    <row r="351" spans="1:1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</row>
    <row r="352" spans="1:1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</row>
    <row r="353" spans="1:1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</row>
    <row r="354" spans="1:1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</row>
    <row r="355" spans="1:1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</row>
    <row r="356" spans="1:1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</row>
    <row r="357" spans="1:1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</row>
    <row r="358" spans="1:1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</row>
    <row r="359" spans="1:1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</row>
    <row r="360" spans="1:1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</row>
    <row r="361" spans="1:1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</row>
    <row r="362" spans="1:1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</row>
    <row r="363" spans="1:1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</row>
    <row r="364" spans="1:1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</row>
    <row r="365" spans="1:1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</row>
    <row r="366" spans="1:1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</row>
    <row r="367" spans="1:1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</row>
    <row r="368" spans="1:1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</row>
    <row r="369" spans="1:1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</row>
    <row r="370" spans="1:1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</row>
    <row r="371" spans="1:1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</row>
    <row r="372" spans="1:1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</row>
    <row r="373" spans="1:1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</row>
    <row r="374" spans="1:1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</row>
    <row r="375" spans="1:1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</row>
    <row r="376" spans="1:1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</row>
    <row r="377" spans="1:1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</row>
    <row r="378" spans="1:1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</row>
    <row r="379" spans="1:1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</row>
    <row r="380" spans="1:1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</row>
    <row r="381" spans="1:1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</row>
    <row r="382" spans="1:1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</row>
    <row r="383" spans="1:1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</row>
    <row r="384" spans="1:1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</row>
    <row r="385" spans="1:1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</row>
    <row r="386" spans="1:1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</row>
    <row r="387" spans="1:1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</row>
    <row r="388" spans="1:1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</row>
    <row r="389" spans="1:1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</row>
    <row r="390" spans="1:1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</row>
    <row r="391" spans="1:1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</row>
    <row r="392" spans="1:1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</row>
    <row r="393" spans="1:1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</row>
    <row r="394" spans="1:1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</row>
    <row r="395" spans="1:1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</row>
    <row r="396" spans="1:1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</row>
    <row r="397" spans="1:1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</row>
    <row r="398" spans="1:1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</row>
    <row r="399" spans="1:1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</row>
    <row r="400" spans="1:1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</row>
    <row r="401" spans="1:1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</row>
    <row r="402" spans="1:1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</row>
    <row r="403" spans="1:1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</row>
    <row r="404" spans="1:1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</row>
    <row r="405" spans="1:1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</row>
    <row r="406" spans="1:1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</row>
    <row r="407" spans="1:1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</row>
    <row r="408" spans="1:1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</row>
    <row r="409" spans="1:1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</row>
    <row r="410" spans="1:1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</row>
    <row r="411" spans="1:1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</row>
    <row r="412" spans="1:1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</row>
    <row r="413" spans="1:1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</row>
    <row r="414" spans="1:1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</row>
    <row r="415" spans="1:1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</row>
    <row r="416" spans="1:1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</row>
    <row r="417" spans="1:1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</row>
    <row r="418" spans="1:1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</row>
    <row r="419" spans="1:1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</row>
    <row r="420" spans="1:1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</row>
    <row r="421" spans="1:1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</row>
    <row r="422" spans="1:1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</row>
    <row r="423" spans="1:1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</row>
    <row r="424" spans="1:1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</row>
    <row r="425" spans="1:1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</row>
    <row r="426" spans="1:1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</row>
    <row r="427" spans="1:1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</row>
    <row r="428" spans="1:1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</row>
    <row r="429" spans="1:1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</row>
    <row r="430" spans="1:1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</row>
    <row r="431" spans="1:1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</row>
    <row r="432" spans="1:1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</row>
    <row r="433" spans="1:1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</row>
    <row r="434" spans="1:1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</row>
    <row r="435" spans="1:1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</row>
    <row r="436" spans="1:1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</row>
    <row r="437" spans="1:1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</row>
    <row r="438" spans="1:1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</row>
    <row r="439" spans="1:1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</row>
    <row r="440" spans="1:1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</row>
    <row r="441" spans="1:1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</row>
    <row r="442" spans="1:1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</row>
    <row r="443" spans="1:1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</row>
    <row r="444" spans="1:1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</row>
    <row r="445" spans="1:1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</row>
    <row r="446" spans="1:1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</row>
    <row r="447" spans="1:1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</row>
    <row r="448" spans="1:1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</row>
    <row r="449" spans="1:1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</row>
    <row r="450" spans="1:1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</row>
    <row r="451" spans="1:1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</row>
    <row r="452" spans="1:1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</row>
    <row r="453" spans="1:1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</row>
    <row r="454" spans="1:1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</row>
    <row r="455" spans="1:1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</row>
    <row r="456" spans="1:1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</row>
    <row r="457" spans="1:1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</row>
    <row r="458" spans="1:1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</row>
    <row r="459" spans="1:1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</row>
    <row r="460" spans="1:1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</row>
    <row r="461" spans="1:1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</row>
    <row r="462" spans="1:1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</row>
    <row r="463" spans="1:1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</row>
    <row r="464" spans="1:1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</row>
    <row r="465" spans="1:1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</row>
    <row r="466" spans="1:1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</row>
    <row r="467" spans="1:1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</row>
    <row r="468" spans="1:1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</row>
    <row r="469" spans="1:1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</row>
    <row r="470" spans="1:1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</row>
    <row r="471" spans="1:1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</row>
    <row r="472" spans="1:1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</row>
    <row r="473" spans="1:1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</row>
    <row r="474" spans="1:1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</row>
    <row r="475" spans="1:1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</row>
    <row r="476" spans="1:1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</row>
    <row r="477" spans="1:1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</row>
    <row r="478" spans="1:1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</row>
    <row r="479" spans="1:1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</row>
    <row r="480" spans="1:1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</row>
    <row r="481" spans="1:1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</row>
    <row r="482" spans="1:1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</row>
    <row r="483" spans="1:1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</row>
    <row r="484" spans="1:1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</row>
    <row r="485" spans="1:1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</row>
    <row r="486" spans="1:1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</row>
    <row r="487" spans="1:1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</row>
    <row r="488" spans="1:1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</row>
    <row r="489" spans="1:1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</row>
    <row r="490" spans="1:1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</row>
    <row r="491" spans="1:1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</row>
    <row r="492" spans="1:1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</row>
    <row r="493" spans="1:1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</row>
    <row r="494" spans="1:1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</row>
    <row r="495" spans="1:1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</row>
    <row r="496" spans="1:1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</row>
    <row r="497" spans="1:1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</row>
    <row r="498" spans="1:1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</row>
    <row r="499" spans="1:1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</row>
    <row r="500" spans="1:1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</row>
    <row r="501" spans="1:1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</row>
    <row r="502" spans="1:1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</row>
    <row r="503" spans="1:1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</row>
    <row r="504" spans="1:1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</row>
    <row r="505" spans="1:1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</row>
    <row r="506" spans="1:1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</row>
    <row r="507" spans="1:1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</row>
    <row r="508" spans="1:1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</row>
    <row r="509" spans="1:1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</row>
    <row r="510" spans="1:1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</row>
    <row r="511" spans="1:1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</row>
    <row r="512" spans="1:1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</row>
    <row r="513" spans="1:1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</row>
    <row r="514" spans="1:1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</row>
    <row r="515" spans="1:1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</row>
    <row r="516" spans="1:1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</row>
    <row r="517" spans="1:1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</row>
    <row r="518" spans="1:1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</row>
    <row r="519" spans="1:1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</row>
    <row r="520" spans="1:1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</row>
    <row r="521" spans="1:1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</row>
    <row r="522" spans="1:1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</row>
    <row r="523" spans="1:1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</row>
    <row r="524" spans="1:1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</row>
    <row r="525" spans="1:1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</row>
    <row r="526" spans="1:1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</row>
    <row r="527" spans="1:1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</row>
    <row r="528" spans="1:1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</row>
    <row r="529" spans="1:1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</row>
    <row r="530" spans="1:1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</row>
    <row r="531" spans="1:1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</row>
    <row r="532" spans="1:1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</row>
    <row r="533" spans="1:1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</row>
    <row r="534" spans="1:1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</row>
    <row r="535" spans="1:1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</row>
    <row r="536" spans="1:1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</row>
    <row r="537" spans="1:1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</row>
    <row r="538" spans="1:1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</row>
    <row r="539" spans="1:1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</row>
    <row r="540" spans="1:1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</row>
    <row r="541" spans="1:1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</row>
    <row r="542" spans="1:1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</row>
    <row r="543" spans="1:1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</row>
    <row r="544" spans="1:1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</row>
    <row r="545" spans="1:1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</row>
    <row r="546" spans="1:1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</row>
    <row r="547" spans="1:1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</row>
    <row r="548" spans="1:1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</row>
    <row r="549" spans="1:1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</row>
    <row r="550" spans="1:1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</row>
    <row r="551" spans="1:1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</row>
    <row r="552" spans="1:1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</row>
    <row r="553" spans="1:1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</row>
    <row r="554" spans="1:1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</row>
    <row r="555" spans="1:1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</row>
    <row r="556" spans="1:1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</row>
    <row r="557" spans="1:1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</row>
    <row r="558" spans="1:1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</row>
    <row r="559" spans="1:1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</row>
    <row r="560" spans="1:1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</row>
    <row r="561" spans="1:1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</row>
    <row r="562" spans="1:1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</row>
    <row r="563" spans="1:1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</row>
    <row r="564" spans="1:1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</row>
    <row r="565" spans="1:1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</row>
    <row r="566" spans="1:1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</row>
    <row r="567" spans="1:1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</row>
    <row r="568" spans="1:1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</row>
    <row r="569" spans="1:1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</row>
    <row r="570" spans="1:1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</row>
    <row r="571" spans="1:1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</row>
    <row r="572" spans="1:1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</row>
    <row r="573" spans="1:1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</row>
    <row r="574" spans="1:1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</row>
    <row r="575" spans="1:1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</row>
    <row r="576" spans="1:1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</row>
    <row r="577" spans="1:1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</row>
    <row r="578" spans="1:1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</row>
    <row r="579" spans="1:1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</row>
    <row r="580" spans="1:1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</row>
    <row r="581" spans="1:1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</row>
    <row r="582" spans="1:1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</row>
    <row r="583" spans="1:1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</row>
    <row r="584" spans="1:1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</row>
    <row r="585" spans="1:1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</row>
    <row r="586" spans="1:1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</row>
    <row r="587" spans="1:1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</row>
    <row r="588" spans="1:1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</row>
    <row r="589" spans="1:1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</row>
    <row r="590" spans="1:1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</row>
    <row r="591" spans="1:1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</row>
    <row r="592" spans="1:1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</row>
    <row r="593" spans="1:1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</row>
    <row r="594" spans="1:1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</row>
    <row r="595" spans="1:1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</row>
    <row r="596" spans="1:1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</row>
    <row r="597" spans="1:1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</row>
    <row r="598" spans="1:1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</row>
    <row r="599" spans="1:1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</row>
    <row r="600" spans="1:1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</row>
    <row r="601" spans="1:1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</row>
    <row r="602" spans="1:1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</row>
    <row r="603" spans="1:1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</row>
    <row r="604" spans="1:1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</row>
    <row r="605" spans="1:1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</row>
    <row r="606" spans="1:1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</row>
    <row r="607" spans="1:1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</row>
    <row r="608" spans="1:1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</row>
    <row r="609" spans="1:1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</row>
    <row r="610" spans="1:1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</row>
    <row r="611" spans="1:1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</row>
    <row r="612" spans="1:1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</row>
    <row r="613" spans="1:1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</row>
    <row r="614" spans="1:1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</row>
    <row r="615" spans="1:1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</row>
    <row r="616" spans="1:1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</row>
    <row r="617" spans="1:1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</row>
    <row r="618" spans="1:1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</row>
    <row r="619" spans="1:1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</row>
    <row r="620" spans="1:1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</row>
    <row r="621" spans="1:1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</row>
    <row r="622" spans="1:1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</row>
    <row r="623" spans="1:1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</row>
    <row r="624" spans="1:1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</row>
    <row r="625" spans="1:1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</row>
    <row r="626" spans="1:1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</row>
    <row r="627" spans="1:1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</row>
    <row r="628" spans="1:1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</row>
    <row r="629" spans="1:1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</row>
    <row r="630" spans="1:1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</row>
    <row r="631" spans="1:1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</row>
    <row r="632" spans="1:1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</row>
    <row r="633" spans="1:1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</row>
    <row r="634" spans="1:1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</row>
    <row r="635" spans="1:1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</row>
    <row r="636" spans="1:1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</row>
    <row r="637" spans="1:1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</row>
    <row r="638" spans="1:1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</row>
    <row r="639" spans="1:1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</row>
    <row r="640" spans="1:1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</row>
    <row r="641" spans="1:1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</row>
    <row r="642" spans="1:1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</row>
    <row r="643" spans="1:1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</row>
    <row r="644" spans="1:1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</row>
    <row r="645" spans="1:1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</row>
    <row r="646" spans="1:1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</row>
    <row r="647" spans="1:1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</row>
    <row r="648" spans="1:1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</row>
    <row r="649" spans="1:1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</row>
    <row r="650" spans="1:1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</row>
    <row r="651" spans="1:1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</row>
    <row r="652" spans="1:1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</row>
    <row r="653" spans="1:1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</row>
    <row r="654" spans="1:1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</row>
    <row r="655" spans="1:1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</row>
    <row r="656" spans="1:1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</row>
    <row r="657" spans="1:1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</row>
    <row r="658" spans="1:1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</row>
    <row r="659" spans="1:1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</row>
    <row r="660" spans="1:1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</row>
    <row r="661" spans="1:1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</row>
    <row r="662" spans="1:1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</row>
    <row r="663" spans="1:1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</row>
    <row r="664" spans="1:1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</row>
    <row r="665" spans="1:1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</row>
    <row r="666" spans="1:1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</row>
    <row r="667" spans="1:1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</row>
    <row r="668" spans="1:1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</row>
    <row r="669" spans="1:1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</row>
    <row r="670" spans="1:1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</row>
    <row r="671" spans="1:1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</row>
    <row r="672" spans="1:1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</row>
    <row r="673" spans="1:1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</row>
    <row r="674" spans="1:1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</row>
    <row r="675" spans="1:1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</row>
    <row r="676" spans="1:1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</row>
    <row r="677" spans="1:1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</row>
    <row r="678" spans="1:1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</row>
    <row r="679" spans="1:1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</row>
    <row r="680" spans="1:1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</row>
    <row r="681" spans="1:1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</row>
    <row r="682" spans="1:1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</row>
    <row r="683" spans="1:1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</row>
    <row r="684" spans="1:1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</row>
    <row r="685" spans="1:1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</row>
    <row r="686" spans="1:1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</row>
    <row r="687" spans="1:1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</row>
    <row r="688" spans="1:1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</row>
    <row r="689" spans="1:1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</row>
    <row r="690" spans="1:1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</row>
    <row r="691" spans="1:1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</row>
    <row r="692" spans="1:1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</row>
    <row r="693" spans="1:1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</row>
    <row r="694" spans="1:1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</row>
    <row r="695" spans="1:1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</row>
    <row r="696" spans="1:1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</row>
    <row r="697" spans="1:1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</row>
    <row r="698" spans="1:1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</row>
    <row r="699" spans="1:1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</row>
    <row r="700" spans="1:1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</row>
    <row r="701" spans="1:1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</row>
    <row r="702" spans="1:1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</row>
    <row r="703" spans="1:1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</row>
    <row r="704" spans="1:1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</row>
    <row r="705" spans="1:1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</row>
    <row r="706" spans="1:1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</row>
    <row r="707" spans="1:1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</row>
    <row r="708" spans="1:1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</row>
    <row r="709" spans="1:1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</row>
    <row r="710" spans="1:1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</row>
    <row r="711" spans="1:1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</row>
    <row r="712" spans="1:1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</row>
    <row r="713" spans="1:1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</row>
    <row r="714" spans="1:1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</row>
    <row r="715" spans="1:1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</row>
    <row r="716" spans="1:1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</row>
    <row r="717" spans="1:1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</row>
    <row r="718" spans="1:1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</row>
    <row r="719" spans="1:1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</row>
    <row r="720" spans="1:1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</row>
    <row r="721" spans="1:1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</row>
    <row r="722" spans="1:1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</row>
    <row r="723" spans="1:1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</row>
    <row r="724" spans="1:1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</row>
    <row r="725" spans="1:1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</row>
    <row r="726" spans="1:1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</row>
    <row r="727" spans="1:1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</row>
    <row r="728" spans="1:1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</row>
    <row r="729" spans="1:1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</row>
    <row r="730" spans="1:1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</row>
    <row r="731" spans="1:1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</row>
    <row r="732" spans="1:1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</row>
    <row r="733" spans="1:1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</row>
    <row r="734" spans="1:1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</row>
    <row r="735" spans="1:1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</row>
    <row r="736" spans="1:1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</row>
    <row r="737" spans="1:1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</row>
    <row r="738" spans="1:1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</row>
    <row r="739" spans="1:1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</row>
    <row r="740" spans="1:1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</row>
    <row r="741" spans="1:1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</row>
    <row r="742" spans="1:1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</row>
    <row r="743" spans="1:1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</row>
    <row r="744" spans="1:1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</row>
    <row r="745" spans="1:1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</row>
    <row r="746" spans="1:1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</row>
    <row r="747" spans="1:1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</row>
    <row r="748" spans="1:1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</row>
    <row r="749" spans="1:1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</row>
    <row r="750" spans="1:1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</row>
    <row r="751" spans="1:1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</row>
    <row r="752" spans="1:1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</row>
    <row r="753" spans="1:1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</row>
    <row r="754" spans="1:1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</row>
    <row r="755" spans="1:1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</row>
    <row r="756" spans="1:1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</row>
    <row r="757" spans="1:1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</row>
    <row r="758" spans="1:1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</row>
    <row r="759" spans="1:1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</row>
    <row r="760" spans="1:1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</row>
    <row r="761" spans="1:1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</row>
    <row r="762" spans="1:1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</row>
    <row r="763" spans="1:1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</row>
    <row r="764" spans="1:1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</row>
    <row r="765" spans="1:1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</row>
    <row r="766" spans="1:1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</row>
    <row r="767" spans="1:1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</row>
    <row r="768" spans="1:1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</row>
    <row r="769" spans="1:1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</row>
    <row r="770" spans="1:1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</row>
    <row r="771" spans="1:1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</row>
    <row r="772" spans="1:1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</row>
    <row r="773" spans="1:1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</row>
    <row r="774" spans="1:1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</row>
    <row r="775" spans="1:1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</row>
    <row r="776" spans="1:1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</row>
    <row r="777" spans="1:1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</row>
    <row r="778" spans="1:1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</row>
    <row r="779" spans="1:1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</row>
    <row r="780" spans="1:1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</row>
    <row r="781" spans="1:1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</row>
    <row r="782" spans="1:1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</row>
    <row r="783" spans="1:1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</row>
    <row r="784" spans="1:1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</row>
    <row r="785" spans="1:1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</row>
    <row r="786" spans="1:1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</row>
    <row r="787" spans="1:1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</row>
    <row r="788" spans="1:1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</row>
    <row r="789" spans="1:1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</row>
    <row r="790" spans="1:1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</row>
    <row r="791" spans="1:1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</row>
    <row r="792" spans="1:1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</row>
    <row r="793" spans="1:1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</row>
    <row r="794" spans="1:1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</row>
    <row r="795" spans="1:1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</row>
    <row r="796" spans="1:1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</row>
    <row r="797" spans="1:1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</row>
    <row r="798" spans="1:1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</row>
    <row r="799" spans="1:1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</row>
    <row r="800" spans="1:1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</row>
    <row r="801" spans="1:1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</row>
    <row r="802" spans="1:1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</row>
    <row r="803" spans="1:1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</row>
    <row r="804" spans="1:1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</row>
    <row r="805" spans="1:1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</row>
    <row r="806" spans="1:1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</row>
    <row r="807" spans="1:1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</row>
    <row r="808" spans="1:1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</row>
    <row r="809" spans="1:1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</row>
    <row r="810" spans="1:1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</row>
    <row r="811" spans="1:1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</row>
    <row r="812" spans="1:1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</row>
    <row r="813" spans="1:1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</row>
    <row r="814" spans="1:1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</row>
    <row r="815" spans="1:1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</row>
    <row r="816" spans="1:1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</row>
    <row r="817" spans="1:1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</row>
    <row r="818" spans="1:1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</row>
    <row r="819" spans="1:1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</row>
    <row r="820" spans="1:1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</row>
    <row r="821" spans="1:1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</row>
    <row r="822" spans="1:1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</row>
    <row r="823" spans="1:1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</row>
    <row r="824" spans="1:1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</row>
    <row r="825" spans="1:1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</row>
    <row r="826" spans="1:1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</row>
    <row r="827" spans="1:1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</row>
    <row r="828" spans="1:1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</row>
    <row r="829" spans="1:1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</row>
    <row r="830" spans="1:1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</row>
    <row r="831" spans="1:1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</row>
    <row r="832" spans="1:1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</row>
    <row r="833" spans="1:1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</row>
    <row r="834" spans="1:1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</row>
    <row r="835" spans="1:1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</row>
    <row r="836" spans="1:1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</row>
    <row r="837" spans="1:1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</row>
    <row r="838" spans="1:1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</row>
    <row r="839" spans="1:1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</row>
    <row r="840" spans="1:1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</row>
    <row r="841" spans="1:1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</row>
    <row r="842" spans="1:1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</row>
    <row r="843" spans="1:1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</row>
    <row r="844" spans="1:1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</row>
    <row r="845" spans="1:1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</row>
    <row r="846" spans="1:1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</row>
    <row r="847" spans="1:1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</row>
    <row r="848" spans="1:1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</row>
    <row r="849" spans="1:1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</row>
    <row r="850" spans="1:1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</row>
    <row r="851" spans="1:1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</row>
    <row r="852" spans="1:1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</row>
    <row r="853" spans="1:1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</row>
    <row r="854" spans="1:1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</row>
    <row r="855" spans="1:1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</row>
    <row r="856" spans="1:1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</row>
    <row r="857" spans="1:1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</row>
    <row r="858" spans="1:1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</row>
    <row r="859" spans="1:1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</row>
    <row r="860" spans="1:1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</row>
    <row r="861" spans="1:1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</row>
    <row r="862" spans="1:1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</row>
    <row r="863" spans="1:1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</row>
    <row r="864" spans="1:1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</row>
    <row r="865" spans="1:1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</row>
    <row r="866" spans="1:1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</row>
    <row r="867" spans="1:1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</row>
    <row r="868" spans="1:1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</row>
    <row r="869" spans="1:1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</row>
    <row r="870" spans="1:1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</row>
    <row r="871" spans="1:1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</row>
    <row r="872" spans="1:1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</row>
    <row r="873" spans="1:1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</row>
    <row r="874" spans="1:1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</row>
    <row r="875" spans="1:1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</row>
    <row r="876" spans="1:1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</row>
    <row r="877" spans="1:1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</row>
    <row r="878" spans="1:1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</row>
    <row r="879" spans="1:1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</row>
    <row r="880" spans="1:1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</row>
    <row r="881" spans="1:1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</row>
    <row r="882" spans="1:1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</row>
    <row r="883" spans="1:1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</row>
    <row r="884" spans="1:1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</row>
    <row r="885" spans="1:1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</row>
    <row r="886" spans="1:1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</row>
    <row r="887" spans="1:1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</row>
    <row r="888" spans="1:1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</row>
    <row r="889" spans="1:1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</row>
    <row r="890" spans="1:1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</row>
    <row r="891" spans="1:1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</row>
    <row r="892" spans="1:1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</row>
    <row r="893" spans="1:1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</row>
    <row r="894" spans="1:1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</row>
    <row r="895" spans="1:1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</row>
    <row r="896" spans="1:1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</row>
    <row r="897" spans="1:1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</row>
    <row r="898" spans="1:1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</row>
    <row r="899" spans="1:1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</row>
    <row r="900" spans="1:1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</row>
    <row r="901" spans="1:1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</row>
    <row r="902" spans="1:1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</row>
    <row r="903" spans="1:1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</row>
    <row r="904" spans="1:1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</row>
    <row r="905" spans="1:1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</row>
    <row r="906" spans="1:1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</row>
    <row r="907" spans="1:1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</row>
    <row r="908" spans="1:1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</row>
    <row r="909" spans="1:1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</row>
    <row r="910" spans="1:1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</row>
    <row r="911" spans="1:1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</row>
    <row r="912" spans="1:1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</row>
    <row r="913" spans="1:1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</row>
    <row r="914" spans="1:1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</row>
    <row r="915" spans="1:1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</row>
    <row r="916" spans="1:1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</row>
    <row r="917" spans="1:1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</row>
    <row r="918" spans="1:1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</row>
    <row r="919" spans="1:1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</row>
    <row r="920" spans="1:1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</row>
    <row r="921" spans="1:1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</row>
    <row r="922" spans="1:1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</row>
    <row r="923" spans="1:1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</row>
    <row r="924" spans="1:1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</row>
    <row r="925" spans="1:1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</row>
    <row r="926" spans="1:1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</row>
    <row r="927" spans="1:1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</row>
    <row r="928" spans="1:1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</row>
    <row r="929" spans="1:1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</row>
    <row r="930" spans="1:1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</row>
    <row r="931" spans="1:1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</row>
    <row r="932" spans="1:1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</row>
    <row r="933" spans="1:1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</row>
    <row r="934" spans="1:1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</row>
    <row r="935" spans="1:1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</row>
    <row r="936" spans="1:1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</row>
    <row r="937" spans="1:1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</row>
    <row r="938" spans="1:1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</row>
    <row r="939" spans="1:1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</row>
    <row r="940" spans="1:1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</row>
    <row r="941" spans="1:1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</row>
    <row r="942" spans="1:1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</row>
    <row r="943" spans="1:1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</row>
    <row r="944" spans="1:1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</row>
    <row r="945" spans="1:1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</row>
    <row r="946" spans="1:1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</row>
    <row r="947" spans="1:1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</row>
    <row r="948" spans="1:1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</row>
    <row r="949" spans="1:1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</row>
    <row r="950" spans="1:1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</row>
    <row r="951" spans="1:1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</row>
    <row r="952" spans="1:1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</row>
    <row r="953" spans="1:1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</row>
    <row r="954" spans="1:1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</row>
    <row r="955" spans="1:1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</row>
    <row r="956" spans="1:1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</row>
    <row r="957" spans="1:1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</row>
    <row r="958" spans="1:1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</row>
    <row r="959" spans="1:1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</row>
    <row r="960" spans="1:1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</row>
    <row r="961" spans="1:1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</row>
    <row r="962" spans="1:1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</row>
    <row r="963" spans="1:1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</row>
    <row r="964" spans="1:1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</row>
    <row r="965" spans="1:1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</row>
    <row r="966" spans="1:1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</row>
    <row r="967" spans="1:1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</row>
    <row r="968" spans="1:1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</row>
    <row r="969" spans="1:1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</row>
    <row r="970" spans="1:1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</row>
    <row r="971" spans="1:1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</row>
    <row r="972" spans="1:1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</row>
    <row r="973" spans="1:1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</row>
    <row r="974" spans="1:1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</row>
    <row r="975" spans="1:1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</row>
    <row r="976" spans="1:1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</row>
    <row r="977" spans="1:1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</row>
    <row r="978" spans="1:1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</row>
    <row r="979" spans="1:1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</row>
    <row r="980" spans="1:1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</row>
    <row r="981" spans="1:1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</row>
    <row r="982" spans="1:1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</row>
    <row r="983" spans="1:1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</row>
    <row r="984" spans="1:1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</row>
    <row r="985" spans="1:1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</row>
    <row r="986" spans="1:1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</row>
    <row r="987" spans="1:1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</row>
    <row r="988" spans="1:1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</row>
    <row r="989" spans="1:1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</row>
    <row r="990" spans="1:1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</row>
    <row r="991" spans="1:1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</row>
    <row r="992" spans="1:1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</row>
    <row r="993" spans="1:1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</row>
    <row r="994" spans="1:1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</row>
    <row r="995" spans="1:1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</row>
    <row r="996" spans="1:1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</row>
    <row r="997" spans="1:1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</row>
    <row r="998" spans="1:1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</row>
    <row r="999" spans="1:1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</row>
    <row r="1000" spans="1:1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</row>
    <row r="1001" spans="1:1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</row>
    <row r="1002" spans="1:1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</row>
    <row r="1003" spans="1:1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</row>
    <row r="1004" spans="1:1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</row>
    <row r="1005" spans="1:1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</row>
    <row r="1006" spans="1:1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</row>
    <row r="1007" spans="1:1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</row>
    <row r="1008" spans="1:1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</row>
    <row r="1009" spans="1:1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</row>
    <row r="1010" spans="1:1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</row>
    <row r="1011" spans="1:1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</row>
    <row r="1012" spans="1:1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</row>
    <row r="1013" spans="1:1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</row>
    <row r="1014" spans="1:1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</row>
    <row r="1015" spans="1:1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</row>
    <row r="1016" spans="1:1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</row>
    <row r="1017" spans="1:1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</row>
    <row r="1018" spans="1:1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</row>
    <row r="1019" spans="1:1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</row>
    <row r="1020" spans="1:1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</row>
    <row r="1021" spans="1:1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</row>
    <row r="1022" spans="1:1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</row>
    <row r="1023" spans="1:1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</row>
    <row r="1024" spans="1:1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</row>
    <row r="1025" spans="1:1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</row>
    <row r="1026" spans="1:1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</row>
    <row r="1027" spans="1:1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</row>
    <row r="1028" spans="1:1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</row>
    <row r="1029" spans="1:1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</row>
    <row r="1030" spans="1:1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</row>
    <row r="1031" spans="1:1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</row>
    <row r="1032" spans="1:1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</row>
    <row r="1033" spans="1:1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</row>
    <row r="1034" spans="1:1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</row>
    <row r="1035" spans="1:1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</row>
    <row r="1036" spans="1:1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</row>
    <row r="1037" spans="1:1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</row>
    <row r="1038" spans="1:1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</row>
    <row r="1039" spans="1:1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</row>
    <row r="1040" spans="1:1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</row>
    <row r="1041" spans="1:1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</row>
    <row r="1042" spans="1:1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</row>
    <row r="1043" spans="1:1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</row>
    <row r="1044" spans="1:1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</row>
    <row r="1045" spans="1:1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</row>
    <row r="1046" spans="1:1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</row>
    <row r="1047" spans="1:1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</row>
    <row r="1048" spans="1:1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</row>
    <row r="1049" spans="1:1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</row>
    <row r="1050" spans="1:1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</row>
    <row r="1051" spans="1:1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</row>
    <row r="1052" spans="1:1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</row>
    <row r="1053" spans="1:1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</row>
    <row r="1054" spans="1:1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</row>
    <row r="1055" spans="1:1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</row>
    <row r="1056" spans="1:1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</row>
    <row r="1057" spans="1:1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</row>
    <row r="1058" spans="1:1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</row>
    <row r="1059" spans="1:1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</row>
    <row r="1060" spans="1:1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</row>
    <row r="1061" spans="1:1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</row>
    <row r="1062" spans="1:1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</row>
    <row r="1063" spans="1:1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</row>
    <row r="1064" spans="1:1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</row>
    <row r="1065" spans="1:1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</row>
    <row r="1066" spans="1:1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</row>
    <row r="1067" spans="1:1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</row>
    <row r="1068" spans="1:1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</row>
    <row r="1069" spans="1:1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</row>
    <row r="1070" spans="1:1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</row>
    <row r="1071" spans="1:1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</row>
    <row r="1072" spans="1:1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</row>
    <row r="1073" spans="1:1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</row>
    <row r="1074" spans="1:1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</row>
    <row r="1075" spans="1:1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</row>
    <row r="1076" spans="1:1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</row>
    <row r="1077" spans="1:1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</row>
    <row r="1078" spans="1:1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</row>
    <row r="1079" spans="1:1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</row>
    <row r="1080" spans="1:1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</row>
    <row r="1081" spans="1:1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</row>
    <row r="1082" spans="1:1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</row>
    <row r="1083" spans="1:1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</row>
    <row r="1084" spans="1:1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</row>
    <row r="1085" spans="1:1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</row>
    <row r="1086" spans="1:1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</row>
    <row r="1087" spans="1:1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</row>
    <row r="1088" spans="1:1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</row>
    <row r="1089" spans="1:1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</row>
    <row r="1090" spans="1:1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</row>
    <row r="1091" spans="1:1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</row>
    <row r="1092" spans="1:1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</row>
    <row r="1093" spans="1:1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</row>
    <row r="1094" spans="1:1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</row>
    <row r="1095" spans="1:1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</row>
    <row r="1096" spans="1:1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</row>
    <row r="1097" spans="1:1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</row>
    <row r="1098" spans="1:1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</row>
    <row r="1099" spans="1:1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</row>
    <row r="1100" spans="1:1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</row>
    <row r="1101" spans="1:1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</row>
    <row r="1102" spans="1:1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</row>
    <row r="1103" spans="1:1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</row>
    <row r="1104" spans="1:1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</row>
    <row r="1105" spans="1:1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</row>
    <row r="1106" spans="1:1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</row>
    <row r="1107" spans="1:1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</row>
    <row r="1108" spans="1:1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</row>
    <row r="1109" spans="1:1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</row>
    <row r="1110" spans="1:1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</row>
    <row r="1111" spans="1:1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</row>
    <row r="1112" spans="1:1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</row>
    <row r="1113" spans="1:1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</row>
    <row r="1114" spans="1:1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</row>
    <row r="1115" spans="1:1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</row>
    <row r="1116" spans="1:1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</row>
    <row r="1117" spans="1:1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</row>
    <row r="1118" spans="1:1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</row>
    <row r="1119" spans="1:1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</row>
    <row r="1120" spans="1:1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</row>
    <row r="1121" spans="1:1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</row>
    <row r="1122" spans="1:1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</row>
    <row r="1123" spans="1:1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</row>
    <row r="1124" spans="1:1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</row>
    <row r="1125" spans="1:1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</row>
    <row r="1126" spans="1:1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</row>
    <row r="1127" spans="1:1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</row>
    <row r="1128" spans="1:1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</row>
    <row r="1129" spans="1:1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</row>
    <row r="1130" spans="1:1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</row>
    <row r="1131" spans="1:1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</row>
    <row r="1132" spans="1:1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</row>
    <row r="1133" spans="1:1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</row>
    <row r="1134" spans="1:1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</row>
    <row r="1135" spans="1:1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</row>
    <row r="1136" spans="1:1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</row>
    <row r="1137" spans="1:1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</row>
    <row r="1138" spans="1:1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</row>
    <row r="1139" spans="1:1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</row>
    <row r="1140" spans="1:1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</row>
    <row r="1141" spans="1:1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</row>
    <row r="1142" spans="1:1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</row>
    <row r="1143" spans="1:1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</row>
    <row r="1144" spans="1:1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</row>
    <row r="1145" spans="1:1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</row>
    <row r="1146" spans="1:1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</row>
    <row r="1147" spans="1:1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</row>
    <row r="1148" spans="1:1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</row>
    <row r="1149" spans="1:1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</row>
    <row r="1150" spans="1:1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</row>
    <row r="1151" spans="1:1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</row>
    <row r="1152" spans="1:1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</row>
    <row r="1153" spans="3:1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</row>
    <row r="1154" spans="3:1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</row>
  </sheetData>
  <mergeCells count="1">
    <mergeCell ref="A1:A2"/>
  </mergeCells>
  <conditionalFormatting sqref="J7:M7">
    <cfRule type="expression" dxfId="420" priority="2">
      <formula>$T7=0</formula>
    </cfRule>
  </conditionalFormatting>
  <conditionalFormatting sqref="N7:S7">
    <cfRule type="expression" dxfId="419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9" customWidth="1"/>
    <col min="19" max="20" width="9.140625" style="109"/>
    <col min="21" max="21" width="11.5703125" style="109" customWidth="1"/>
    <col min="22" max="16384" width="9.140625" style="109"/>
  </cols>
  <sheetData>
    <row r="1" spans="1:21" s="1" customFormat="1" ht="23.25" x14ac:dyDescent="0.35">
      <c r="A1" s="168"/>
      <c r="C1" s="141" t="s">
        <v>19</v>
      </c>
      <c r="D1" s="2"/>
      <c r="J1" s="122" t="s">
        <v>1183</v>
      </c>
      <c r="K1" s="123"/>
      <c r="L1" s="123"/>
      <c r="M1" s="123"/>
      <c r="N1" s="165" t="s">
        <v>1645</v>
      </c>
      <c r="O1" s="122" t="s">
        <v>1185</v>
      </c>
      <c r="P1" s="123"/>
      <c r="Q1" s="123"/>
      <c r="R1" s="122" t="s">
        <v>1184</v>
      </c>
      <c r="S1" s="123"/>
      <c r="T1" s="123"/>
      <c r="U1" s="123"/>
    </row>
    <row r="2" spans="1:21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163" t="s">
        <v>1643</v>
      </c>
      <c r="O3" s="64" t="s">
        <v>93</v>
      </c>
      <c r="P3" s="64"/>
      <c r="Q3" s="64"/>
      <c r="R3" s="125" t="s">
        <v>322</v>
      </c>
      <c r="S3" s="126"/>
      <c r="T3" s="126"/>
      <c r="U3" s="127"/>
    </row>
    <row r="4" spans="1:21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164" t="s">
        <v>322</v>
      </c>
      <c r="O4" s="11" t="s">
        <v>95</v>
      </c>
      <c r="P4" s="11" t="s">
        <v>1170</v>
      </c>
      <c r="Q4" s="11" t="s">
        <v>1171</v>
      </c>
      <c r="R4" s="128" t="s">
        <v>323</v>
      </c>
      <c r="S4" s="129" t="s">
        <v>324</v>
      </c>
      <c r="T4" s="129" t="s">
        <v>325</v>
      </c>
      <c r="U4" s="130" t="s">
        <v>326</v>
      </c>
    </row>
    <row r="5" spans="1:21" x14ac:dyDescent="0.25">
      <c r="A5" s="14"/>
      <c r="C5" s="1" t="s">
        <v>1108</v>
      </c>
      <c r="J5" s="63"/>
      <c r="K5" s="63"/>
      <c r="L5" s="63"/>
      <c r="M5" s="63"/>
      <c r="N5" s="63"/>
      <c r="O5" s="61">
        <f>SUBTOTAL(109,tb_art_T[D_tb_art_fy19])</f>
        <v>0</v>
      </c>
      <c r="P5" s="61">
        <f>SUBTOTAL(109,tb_art_T[D_tb_art_new_fy19])</f>
        <v>0</v>
      </c>
      <c r="Q5" s="61">
        <f>SUBTOTAL(109,tb_art_T[D_tb_art_already_fy19])</f>
        <v>0</v>
      </c>
      <c r="R5" s="61">
        <f>SUBTOTAL(109,tb_art_T[tb_art_u15_f_pos])</f>
        <v>0</v>
      </c>
      <c r="S5" s="61">
        <f>SUBTOTAL(109,tb_art_T[tb_art_u15_m_pos])</f>
        <v>0</v>
      </c>
      <c r="T5" s="61">
        <f>SUBTOTAL(109,tb_art_T[tb_art_o15_f_pos])</f>
        <v>0</v>
      </c>
      <c r="U5" s="61">
        <f>SUBTOTAL(109,tb_art_T[tb_art_o15_m_pos])</f>
        <v>0</v>
      </c>
    </row>
    <row r="6" spans="1:2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1403</v>
      </c>
      <c r="K6" s="26" t="s">
        <v>1404</v>
      </c>
      <c r="L6" s="26" t="s">
        <v>1405</v>
      </c>
      <c r="M6" s="26" t="s">
        <v>1406</v>
      </c>
      <c r="N6" s="26" t="s">
        <v>1641</v>
      </c>
      <c r="O6" s="26" t="s">
        <v>930</v>
      </c>
      <c r="P6" s="26" t="s">
        <v>1165</v>
      </c>
      <c r="Q6" s="26" t="s">
        <v>1166</v>
      </c>
      <c r="R6" s="26" t="s">
        <v>622</v>
      </c>
      <c r="S6" s="26" t="s">
        <v>623</v>
      </c>
      <c r="T6" s="26" t="s">
        <v>624</v>
      </c>
      <c r="U6" s="26" t="s">
        <v>625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7">
        <f>SUM(tb_art_T[[#This Row],[A_tb_art_u15_f_pos]:[A_tb_art_o15_m_pos]])</f>
        <v>0</v>
      </c>
      <c r="O7" s="42"/>
      <c r="P7" s="42"/>
      <c r="Q7" s="42"/>
      <c r="R7" s="65">
        <f>tb_art_T[[D_tb_art_fy19]:[D_tb_art_fy19]]*tb_art_T[A_tb_art_u15_f_pos]</f>
        <v>0</v>
      </c>
      <c r="S7" s="65">
        <f>tb_art_T[[D_tb_art_fy19]:[D_tb_art_fy19]]*tb_art_T[A_tb_art_u15_m_pos]</f>
        <v>0</v>
      </c>
      <c r="T7" s="65">
        <f>tb_art_T[[D_tb_art_fy19]:[D_tb_art_fy19]]*tb_art_T[A_tb_art_o15_f_pos]</f>
        <v>0</v>
      </c>
      <c r="U7" s="65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</row>
    <row r="13" spans="1:21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</row>
    <row r="14" spans="1:21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</row>
    <row r="15" spans="1:21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</row>
    <row r="16" spans="1:21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</row>
    <row r="17" spans="1:14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</row>
    <row r="18" spans="1:14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</row>
    <row r="19" spans="1:14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</row>
    <row r="20" spans="1:14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</row>
    <row r="21" spans="1:14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</row>
    <row r="22" spans="1:14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</row>
    <row r="23" spans="1:14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</row>
    <row r="24" spans="1:14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</row>
    <row r="25" spans="1:14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</row>
    <row r="26" spans="1:14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</row>
    <row r="27" spans="1:14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</row>
    <row r="28" spans="1:14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</row>
    <row r="29" spans="1:14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</row>
    <row r="30" spans="1:14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</row>
    <row r="31" spans="1:14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</row>
    <row r="32" spans="1:14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</row>
    <row r="33" spans="1:14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</row>
    <row r="34" spans="1:14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</row>
    <row r="35" spans="1:14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</row>
    <row r="36" spans="1:14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</row>
    <row r="37" spans="1:14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</row>
    <row r="38" spans="1:14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</row>
    <row r="39" spans="1:14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</row>
    <row r="40" spans="1:14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</row>
    <row r="41" spans="1:14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</row>
    <row r="42" spans="1:14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</row>
    <row r="43" spans="1:14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</row>
    <row r="44" spans="1:14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</row>
    <row r="45" spans="1:14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</row>
    <row r="46" spans="1:14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</row>
    <row r="47" spans="1:14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</row>
    <row r="48" spans="1:14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</row>
    <row r="49" spans="1:14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</row>
    <row r="50" spans="1:14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</row>
    <row r="51" spans="1:14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</row>
    <row r="52" spans="1:14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</row>
    <row r="53" spans="1:14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</row>
    <row r="54" spans="1:14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</row>
    <row r="55" spans="1:14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</row>
    <row r="56" spans="1:14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</row>
    <row r="57" spans="1:14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</row>
    <row r="58" spans="1:14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</row>
    <row r="59" spans="1:14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</row>
    <row r="60" spans="1:14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</row>
    <row r="61" spans="1:14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</row>
    <row r="62" spans="1:14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</row>
    <row r="63" spans="1:14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</row>
    <row r="64" spans="1:14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</row>
    <row r="65" spans="1:14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</row>
    <row r="66" spans="1:14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</row>
    <row r="67" spans="1:14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</row>
    <row r="68" spans="1:14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</row>
    <row r="69" spans="1:14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</row>
    <row r="70" spans="1:14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</row>
    <row r="71" spans="1:14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</row>
    <row r="72" spans="1:14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</row>
    <row r="73" spans="1:14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</row>
    <row r="74" spans="1:14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</row>
    <row r="75" spans="1:14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</row>
    <row r="76" spans="1:14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</row>
    <row r="77" spans="1:14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</row>
    <row r="78" spans="1:14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</row>
    <row r="79" spans="1:14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</row>
    <row r="80" spans="1:14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</row>
    <row r="81" spans="1:14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</row>
    <row r="82" spans="1:14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</row>
    <row r="83" spans="1:14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</row>
    <row r="84" spans="1:14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</row>
    <row r="85" spans="1:14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</row>
    <row r="86" spans="1:14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</row>
    <row r="87" spans="1:14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</row>
    <row r="88" spans="1:14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</row>
    <row r="89" spans="1:14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</row>
    <row r="90" spans="1:14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</row>
    <row r="91" spans="1:14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</row>
    <row r="92" spans="1:14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</row>
    <row r="93" spans="1:14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</row>
    <row r="94" spans="1:14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</row>
    <row r="95" spans="1:14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</row>
    <row r="96" spans="1:14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</row>
    <row r="97" spans="1:14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</row>
    <row r="98" spans="1:14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</row>
    <row r="99" spans="1:14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</row>
    <row r="100" spans="1:14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</row>
    <row r="101" spans="1:14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</row>
    <row r="102" spans="1:14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</row>
    <row r="103" spans="1:14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</row>
    <row r="104" spans="1:14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</row>
    <row r="105" spans="1:14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</row>
    <row r="106" spans="1:14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</row>
    <row r="107" spans="1:14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</row>
    <row r="108" spans="1:14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</row>
    <row r="109" spans="1:14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</row>
    <row r="110" spans="1:14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</row>
    <row r="111" spans="1:14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</row>
    <row r="112" spans="1:14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</row>
    <row r="113" spans="1:14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</row>
    <row r="114" spans="1:14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</row>
    <row r="115" spans="1:14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</row>
    <row r="116" spans="1:14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</row>
    <row r="117" spans="1:14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</row>
    <row r="118" spans="1:14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</row>
    <row r="119" spans="1:14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</row>
    <row r="120" spans="1:14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</row>
    <row r="121" spans="1:14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</row>
    <row r="122" spans="1:14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</row>
    <row r="123" spans="1:14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</row>
    <row r="124" spans="1:14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</row>
    <row r="125" spans="1:14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</row>
    <row r="126" spans="1:14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</row>
    <row r="127" spans="1:14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</row>
    <row r="128" spans="1:14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</row>
    <row r="129" spans="1:14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</row>
    <row r="130" spans="1:14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</row>
    <row r="131" spans="1:14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</row>
    <row r="132" spans="1:14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</row>
    <row r="133" spans="1:14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</row>
    <row r="134" spans="1:14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</row>
    <row r="135" spans="1:14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</row>
    <row r="136" spans="1:14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</row>
    <row r="137" spans="1:14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</row>
    <row r="138" spans="1:14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</row>
    <row r="139" spans="1:14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</row>
    <row r="140" spans="1:14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</row>
    <row r="141" spans="1:14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</row>
    <row r="142" spans="1:14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</row>
    <row r="143" spans="1:14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</row>
    <row r="144" spans="1:14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</row>
    <row r="145" spans="1:14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</row>
    <row r="146" spans="1:14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</row>
    <row r="147" spans="1:14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</row>
    <row r="148" spans="1:14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</row>
    <row r="149" spans="1:14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</row>
    <row r="150" spans="1:14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</row>
    <row r="151" spans="1:14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</row>
    <row r="152" spans="1:14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</row>
    <row r="153" spans="1:14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</row>
    <row r="154" spans="1:14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</row>
    <row r="155" spans="1:14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</row>
    <row r="156" spans="1:14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</row>
    <row r="157" spans="1:14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</row>
    <row r="158" spans="1:14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</row>
    <row r="159" spans="1:14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</row>
    <row r="160" spans="1:14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</row>
    <row r="161" spans="1:14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</row>
    <row r="162" spans="1:14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</row>
    <row r="163" spans="1:14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</row>
    <row r="164" spans="1:14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</row>
    <row r="165" spans="1:14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</row>
    <row r="166" spans="1:14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</row>
    <row r="167" spans="1:14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</row>
    <row r="168" spans="1:14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</row>
    <row r="169" spans="1:14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</row>
    <row r="170" spans="1:14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</row>
    <row r="171" spans="1:14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</row>
    <row r="172" spans="1:14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</row>
    <row r="173" spans="1:14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</row>
    <row r="174" spans="1:14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</row>
    <row r="175" spans="1:14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</row>
    <row r="176" spans="1:14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</row>
    <row r="177" spans="1:14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</row>
    <row r="178" spans="1:14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</row>
    <row r="179" spans="1:14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</row>
    <row r="180" spans="1:14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</row>
    <row r="181" spans="1:14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</row>
    <row r="182" spans="1:14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</row>
    <row r="183" spans="1:14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</row>
    <row r="184" spans="1:14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</row>
    <row r="185" spans="1:14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</row>
    <row r="186" spans="1:14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</row>
    <row r="187" spans="1:14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</row>
    <row r="188" spans="1:14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</row>
    <row r="189" spans="1:14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</row>
    <row r="190" spans="1:14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</row>
    <row r="191" spans="1:14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</row>
    <row r="192" spans="1:14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</row>
    <row r="193" spans="1:14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</row>
    <row r="194" spans="1:14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</row>
    <row r="195" spans="1:14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</row>
    <row r="196" spans="1:14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</row>
    <row r="197" spans="1:14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</row>
    <row r="198" spans="1:14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</row>
    <row r="199" spans="1:14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</row>
    <row r="200" spans="1:14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</row>
    <row r="201" spans="1:14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</row>
    <row r="202" spans="1:14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</row>
    <row r="203" spans="1:14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</row>
    <row r="204" spans="1:14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</row>
    <row r="205" spans="1:14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</row>
    <row r="206" spans="1:14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</row>
    <row r="207" spans="1:14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</row>
    <row r="208" spans="1:14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</row>
    <row r="209" spans="1:14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</row>
    <row r="210" spans="1:14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</row>
    <row r="211" spans="1:14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</row>
    <row r="212" spans="1:14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</row>
    <row r="213" spans="1:14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</row>
    <row r="214" spans="1:14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</row>
    <row r="215" spans="1:14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</row>
    <row r="216" spans="1:14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</row>
    <row r="217" spans="1:14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</row>
    <row r="218" spans="1:14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</row>
    <row r="219" spans="1:14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</row>
    <row r="220" spans="1:14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</row>
    <row r="221" spans="1:14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</row>
    <row r="222" spans="1:14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</row>
    <row r="223" spans="1:14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</row>
    <row r="224" spans="1:14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</row>
    <row r="225" spans="1:14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</row>
    <row r="226" spans="1:14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</row>
    <row r="227" spans="1:14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</row>
    <row r="228" spans="1:14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</row>
    <row r="229" spans="1:14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</row>
    <row r="230" spans="1:14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</row>
    <row r="231" spans="1:14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</row>
    <row r="232" spans="1:14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</row>
    <row r="233" spans="1:14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</row>
    <row r="234" spans="1:14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</row>
    <row r="235" spans="1:14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</row>
    <row r="236" spans="1:14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</row>
    <row r="237" spans="1:14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</row>
    <row r="238" spans="1:14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</row>
    <row r="239" spans="1:14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</row>
    <row r="240" spans="1:14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</row>
    <row r="241" spans="1:14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</row>
    <row r="242" spans="1:14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</row>
    <row r="243" spans="1:14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</row>
    <row r="244" spans="1:14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</row>
    <row r="245" spans="1:14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</row>
    <row r="246" spans="1:14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</row>
    <row r="247" spans="1:14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</row>
    <row r="248" spans="1:14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</row>
    <row r="249" spans="1:14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</row>
    <row r="250" spans="1:14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</row>
    <row r="251" spans="1:14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</row>
    <row r="252" spans="1:14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</row>
    <row r="253" spans="1:14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</row>
    <row r="254" spans="1:14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</row>
    <row r="255" spans="1:14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</row>
    <row r="256" spans="1:14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</row>
    <row r="257" spans="1:14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</row>
    <row r="258" spans="1:14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</row>
    <row r="259" spans="1:14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</row>
    <row r="260" spans="1:14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</row>
    <row r="261" spans="1:14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</row>
    <row r="262" spans="1:14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</row>
    <row r="263" spans="1:14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</row>
    <row r="264" spans="1:14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</row>
    <row r="265" spans="1:14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</row>
    <row r="266" spans="1:14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</row>
    <row r="267" spans="1:14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</row>
    <row r="268" spans="1:14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</row>
    <row r="269" spans="1:14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</row>
    <row r="270" spans="1:14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</row>
    <row r="271" spans="1:14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</row>
    <row r="272" spans="1:14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</row>
    <row r="273" spans="1:14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  <row r="274" spans="1:14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</row>
    <row r="275" spans="1:14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</row>
    <row r="276" spans="1:14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</row>
    <row r="277" spans="1:14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</row>
    <row r="278" spans="1:14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</row>
    <row r="279" spans="1:14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</row>
    <row r="280" spans="1:14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</row>
    <row r="281" spans="1:14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</row>
    <row r="282" spans="1:14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</row>
    <row r="283" spans="1:14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</row>
    <row r="284" spans="1:14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</row>
    <row r="285" spans="1:14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</row>
    <row r="286" spans="1:14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</row>
    <row r="287" spans="1:14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</row>
    <row r="288" spans="1:14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</row>
    <row r="289" spans="1:14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</row>
    <row r="290" spans="1:14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</row>
    <row r="291" spans="1:14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</row>
    <row r="292" spans="1:14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</row>
    <row r="293" spans="1:14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</row>
    <row r="294" spans="1:14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</row>
    <row r="295" spans="1:14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</row>
    <row r="296" spans="1:14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</row>
    <row r="297" spans="1:14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</row>
    <row r="298" spans="1:14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</row>
    <row r="299" spans="1:14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</row>
    <row r="300" spans="1:14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</row>
    <row r="301" spans="1:14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</row>
    <row r="302" spans="1:14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</row>
    <row r="303" spans="1:14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</row>
    <row r="304" spans="1:14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</row>
    <row r="305" spans="1:14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</row>
    <row r="306" spans="1:14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</row>
    <row r="307" spans="1:14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</row>
    <row r="308" spans="1:14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</row>
    <row r="309" spans="1:14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</row>
    <row r="310" spans="1:14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</row>
    <row r="311" spans="1:14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</row>
    <row r="312" spans="1:14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</row>
    <row r="313" spans="1:14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</row>
    <row r="314" spans="1:14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</row>
    <row r="315" spans="1:14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</row>
    <row r="316" spans="1:14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</row>
    <row r="317" spans="1:14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</row>
    <row r="318" spans="1:14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</row>
    <row r="319" spans="1:14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</row>
    <row r="320" spans="1:14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</row>
    <row r="321" spans="1:14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</row>
    <row r="322" spans="1:14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</row>
    <row r="323" spans="1:14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</row>
    <row r="324" spans="1:14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</row>
    <row r="325" spans="1:14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</row>
    <row r="326" spans="1:14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</row>
    <row r="327" spans="1:14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</row>
    <row r="328" spans="1:14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</row>
    <row r="329" spans="1:14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</row>
    <row r="330" spans="1:14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</row>
    <row r="331" spans="1:14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</row>
    <row r="332" spans="1:14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</row>
    <row r="333" spans="1:14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</row>
    <row r="334" spans="1:14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</row>
    <row r="335" spans="1:14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</row>
    <row r="336" spans="1:14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</row>
    <row r="337" spans="1:14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</row>
    <row r="338" spans="1:14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</row>
    <row r="339" spans="1:14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</row>
    <row r="340" spans="1:14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</row>
    <row r="341" spans="1:14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</row>
    <row r="342" spans="1:14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</row>
    <row r="343" spans="1:14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</row>
    <row r="344" spans="1:14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</row>
    <row r="345" spans="1:14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</row>
    <row r="346" spans="1:14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</row>
    <row r="347" spans="1:14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</row>
    <row r="348" spans="1:14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</row>
    <row r="349" spans="1:14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</row>
    <row r="350" spans="1:14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</row>
    <row r="351" spans="1:14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</row>
    <row r="352" spans="1:14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</row>
    <row r="353" spans="1:14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</row>
    <row r="354" spans="1:14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</row>
    <row r="355" spans="1:14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</row>
    <row r="356" spans="1:14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</row>
    <row r="357" spans="1:14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</row>
    <row r="358" spans="1:14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</row>
    <row r="359" spans="1:14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</row>
    <row r="360" spans="1:14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</row>
    <row r="361" spans="1:14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</row>
    <row r="362" spans="1:14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</row>
    <row r="363" spans="1:14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</row>
    <row r="364" spans="1:14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</row>
    <row r="365" spans="1:14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</row>
    <row r="366" spans="1:14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</row>
    <row r="367" spans="1:14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</row>
    <row r="368" spans="1:14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</row>
    <row r="369" spans="1:14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</row>
    <row r="370" spans="1:14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</row>
    <row r="371" spans="1:14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</row>
    <row r="372" spans="1:14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</row>
    <row r="373" spans="1:14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</row>
    <row r="374" spans="1:14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</row>
    <row r="375" spans="1:14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</row>
    <row r="376" spans="1:14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</row>
    <row r="377" spans="1:14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</row>
    <row r="378" spans="1:14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</row>
    <row r="379" spans="1:14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</row>
    <row r="380" spans="1:14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</row>
    <row r="381" spans="1:14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</row>
    <row r="382" spans="1:14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</row>
    <row r="383" spans="1:14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</row>
    <row r="384" spans="1:14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</row>
    <row r="385" spans="1:14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</row>
    <row r="386" spans="1:14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</row>
    <row r="387" spans="1:14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</row>
    <row r="388" spans="1:14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</row>
    <row r="389" spans="1:14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</row>
    <row r="390" spans="1:14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</row>
    <row r="391" spans="1:14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</row>
    <row r="392" spans="1:14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</row>
    <row r="393" spans="1:14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</row>
    <row r="394" spans="1:14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</row>
    <row r="395" spans="1:14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</row>
    <row r="396" spans="1:14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</row>
    <row r="397" spans="1:14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</row>
    <row r="398" spans="1:14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</row>
    <row r="399" spans="1:14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</row>
    <row r="400" spans="1:14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</row>
    <row r="401" spans="1:14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</row>
    <row r="402" spans="1:14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</row>
    <row r="403" spans="1:14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</row>
    <row r="404" spans="1:14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</row>
    <row r="405" spans="1:14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</row>
    <row r="406" spans="1:14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</row>
    <row r="407" spans="1:14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</row>
    <row r="408" spans="1:14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</row>
    <row r="409" spans="1:14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</row>
    <row r="410" spans="1:14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</row>
    <row r="411" spans="1:14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</row>
    <row r="412" spans="1:14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</row>
    <row r="413" spans="1:14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</row>
    <row r="414" spans="1:14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</row>
    <row r="415" spans="1:14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</row>
    <row r="416" spans="1:14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</row>
    <row r="417" spans="1:14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</row>
    <row r="418" spans="1:14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</row>
    <row r="419" spans="1:14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</row>
    <row r="420" spans="1:14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</row>
    <row r="421" spans="1:14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</row>
    <row r="422" spans="1:14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</row>
    <row r="423" spans="1:14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</row>
    <row r="424" spans="1:14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</row>
    <row r="425" spans="1:14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</row>
    <row r="426" spans="1:14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</row>
    <row r="427" spans="1:14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</row>
    <row r="428" spans="1:14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</row>
    <row r="429" spans="1:14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</row>
    <row r="430" spans="1:14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</row>
    <row r="431" spans="1:14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</row>
    <row r="432" spans="1:14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</row>
    <row r="433" spans="1:14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</row>
    <row r="434" spans="1:14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</row>
    <row r="435" spans="1:14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</row>
    <row r="436" spans="1:14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</row>
    <row r="437" spans="1:14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</row>
    <row r="438" spans="1:14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</row>
    <row r="439" spans="1:14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</row>
    <row r="440" spans="1:14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</row>
    <row r="441" spans="1:14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</row>
    <row r="442" spans="1:14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</row>
    <row r="443" spans="1:14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</row>
    <row r="444" spans="1:14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</row>
    <row r="445" spans="1:14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</row>
    <row r="446" spans="1:14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</row>
    <row r="447" spans="1:14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</row>
    <row r="448" spans="1:14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</row>
    <row r="449" spans="1:14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</row>
    <row r="450" spans="1:14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</row>
    <row r="451" spans="1:14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</row>
    <row r="452" spans="1:14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</row>
    <row r="453" spans="1:14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</row>
    <row r="454" spans="1:14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</row>
    <row r="455" spans="1:14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</row>
    <row r="456" spans="1:14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</row>
    <row r="457" spans="1:14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</row>
    <row r="458" spans="1:14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</row>
    <row r="459" spans="1:14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</row>
    <row r="460" spans="1:14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</row>
    <row r="461" spans="1:14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</row>
    <row r="462" spans="1:14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</row>
    <row r="463" spans="1:14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</row>
    <row r="464" spans="1:14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</row>
    <row r="465" spans="1:14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</row>
    <row r="466" spans="1:14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</row>
    <row r="467" spans="1:14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</row>
    <row r="468" spans="1:14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</row>
    <row r="469" spans="1:14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</row>
    <row r="470" spans="1:14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</row>
    <row r="471" spans="1:14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</row>
    <row r="472" spans="1:14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</row>
    <row r="473" spans="1:14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</row>
    <row r="474" spans="1:14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</row>
    <row r="475" spans="1:14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</row>
    <row r="476" spans="1:14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</row>
    <row r="477" spans="1:14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</row>
    <row r="478" spans="1:14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</row>
    <row r="479" spans="1:14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</row>
    <row r="480" spans="1:14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</row>
    <row r="481" spans="1:14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</row>
    <row r="482" spans="1:14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</row>
    <row r="483" spans="1:14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</row>
    <row r="484" spans="1:14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</row>
    <row r="485" spans="1:14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</row>
    <row r="486" spans="1:14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</row>
    <row r="487" spans="1:14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</row>
    <row r="488" spans="1:14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</row>
    <row r="489" spans="1:14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</row>
    <row r="490" spans="1:14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</row>
    <row r="491" spans="1:14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</row>
    <row r="492" spans="1:14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</row>
    <row r="493" spans="1:14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</row>
    <row r="494" spans="1:14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</row>
    <row r="495" spans="1:14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</row>
    <row r="496" spans="1:14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</row>
    <row r="497" spans="1:14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</row>
    <row r="498" spans="1:14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</row>
    <row r="499" spans="1:14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</row>
    <row r="500" spans="1:14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</row>
    <row r="501" spans="1:14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</row>
    <row r="502" spans="1:14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</row>
    <row r="503" spans="1:14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</row>
    <row r="504" spans="1:14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</row>
    <row r="505" spans="1:14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</row>
    <row r="506" spans="1:14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</row>
    <row r="507" spans="1:14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</row>
    <row r="508" spans="1:14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</row>
    <row r="509" spans="1:14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</row>
    <row r="510" spans="1:14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</row>
    <row r="511" spans="1:14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</row>
    <row r="512" spans="1:14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</row>
    <row r="513" spans="1:14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</row>
    <row r="514" spans="1:14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</row>
    <row r="515" spans="1:14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</row>
    <row r="516" spans="1:14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</row>
    <row r="517" spans="1:14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</row>
    <row r="518" spans="1:14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</row>
    <row r="519" spans="1:14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</row>
    <row r="520" spans="1:14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</row>
    <row r="521" spans="1:14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</row>
    <row r="522" spans="1:14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</row>
    <row r="523" spans="1:14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</row>
    <row r="524" spans="1:14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</row>
    <row r="525" spans="1:14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</row>
    <row r="526" spans="1:14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</row>
    <row r="527" spans="1:14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</row>
    <row r="528" spans="1:14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</row>
    <row r="529" spans="1:14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</row>
    <row r="530" spans="1:14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</row>
    <row r="531" spans="1:14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</row>
    <row r="532" spans="1:14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</row>
    <row r="533" spans="1:14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</row>
    <row r="534" spans="1:14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</row>
    <row r="535" spans="1:14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</row>
    <row r="536" spans="1:14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</row>
    <row r="537" spans="1:14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</row>
    <row r="538" spans="1:14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</row>
    <row r="539" spans="1:14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</row>
    <row r="540" spans="1:14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</row>
    <row r="541" spans="1:14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</row>
    <row r="542" spans="1:14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</row>
    <row r="543" spans="1:14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</row>
    <row r="544" spans="1:14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</row>
    <row r="545" spans="1:14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</row>
    <row r="546" spans="1:14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</row>
    <row r="547" spans="1:14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</row>
    <row r="548" spans="1:14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</row>
    <row r="549" spans="1:14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</row>
    <row r="550" spans="1:14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</row>
    <row r="551" spans="1:14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</row>
    <row r="552" spans="1:14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</row>
    <row r="553" spans="1:14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</row>
    <row r="554" spans="1:14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</row>
    <row r="555" spans="1:14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</row>
    <row r="556" spans="1:14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</row>
    <row r="557" spans="1:14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</row>
    <row r="558" spans="1:14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</row>
    <row r="559" spans="1:14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</row>
    <row r="560" spans="1:14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</row>
    <row r="561" spans="1:14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</row>
    <row r="562" spans="1:14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</row>
    <row r="563" spans="1:14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</row>
    <row r="564" spans="1:14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</row>
    <row r="565" spans="1:14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</row>
    <row r="566" spans="1:14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</row>
    <row r="567" spans="1:14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</row>
    <row r="568" spans="1:14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</row>
    <row r="569" spans="1:14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</row>
    <row r="570" spans="1:14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</row>
    <row r="571" spans="1:14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</row>
    <row r="572" spans="1:14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</row>
    <row r="573" spans="1:14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</row>
    <row r="574" spans="1:14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</row>
    <row r="575" spans="1:14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</row>
    <row r="576" spans="1:14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</row>
    <row r="577" spans="1:14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</row>
    <row r="578" spans="1:14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</row>
    <row r="579" spans="1:14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</row>
    <row r="580" spans="1:14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</row>
    <row r="581" spans="1:14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</row>
    <row r="582" spans="1:14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</row>
    <row r="583" spans="1:14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</row>
    <row r="584" spans="1:14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</row>
    <row r="585" spans="1:14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</row>
    <row r="586" spans="1:14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</row>
    <row r="587" spans="1:14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</row>
    <row r="588" spans="1:14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</row>
    <row r="589" spans="1:14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</row>
    <row r="590" spans="1:14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</row>
    <row r="591" spans="1:14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</row>
    <row r="592" spans="1:14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</row>
    <row r="593" spans="1:14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</row>
    <row r="594" spans="1:14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</row>
    <row r="595" spans="1:14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</row>
    <row r="596" spans="1:14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</row>
    <row r="597" spans="1:14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</row>
    <row r="598" spans="1:14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</row>
    <row r="599" spans="1:14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</row>
    <row r="600" spans="1:14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</row>
    <row r="601" spans="1:14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</row>
    <row r="602" spans="1:14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</row>
    <row r="603" spans="1:14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</row>
    <row r="604" spans="1:14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</row>
    <row r="605" spans="1:14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</row>
    <row r="606" spans="1:14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</row>
    <row r="607" spans="1:14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</row>
    <row r="608" spans="1:14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</row>
    <row r="609" spans="1:14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</row>
    <row r="610" spans="1:14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</row>
    <row r="611" spans="1:14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</row>
    <row r="612" spans="1:14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</row>
    <row r="613" spans="1:14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</row>
    <row r="614" spans="1:14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</row>
    <row r="615" spans="1:14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</row>
    <row r="616" spans="1:14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</row>
    <row r="617" spans="1:14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</row>
    <row r="618" spans="1:14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</row>
    <row r="619" spans="1:14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</row>
    <row r="620" spans="1:14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</row>
    <row r="621" spans="1:14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</row>
    <row r="622" spans="1:14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</row>
    <row r="623" spans="1:14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</row>
    <row r="624" spans="1:14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</row>
    <row r="625" spans="1:14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</row>
    <row r="626" spans="1:14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</row>
    <row r="627" spans="1:14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</row>
    <row r="628" spans="1:14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</row>
    <row r="629" spans="1:14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</row>
    <row r="630" spans="1:14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</row>
    <row r="631" spans="1:14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</row>
    <row r="632" spans="1:14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</row>
    <row r="633" spans="1:14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</row>
    <row r="634" spans="1:14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</row>
    <row r="635" spans="1:14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</row>
    <row r="636" spans="1:14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</row>
    <row r="637" spans="1:14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</row>
    <row r="638" spans="1:14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</row>
    <row r="639" spans="1:14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</row>
    <row r="640" spans="1:14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</row>
    <row r="641" spans="1:14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</row>
    <row r="642" spans="1:14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</row>
    <row r="643" spans="1:14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</row>
    <row r="644" spans="1:14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</row>
    <row r="645" spans="1:14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</row>
    <row r="646" spans="1:14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</row>
    <row r="647" spans="1:14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</row>
    <row r="648" spans="1:14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</row>
    <row r="649" spans="1:14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</row>
    <row r="650" spans="1:14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</row>
    <row r="651" spans="1:14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</row>
    <row r="652" spans="1:14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</row>
    <row r="653" spans="1:14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</row>
    <row r="654" spans="1:14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</row>
    <row r="655" spans="1:14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</row>
    <row r="656" spans="1:14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</row>
    <row r="657" spans="1:14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</row>
    <row r="658" spans="1:14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</row>
    <row r="659" spans="1:14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</row>
    <row r="660" spans="1:14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</row>
    <row r="661" spans="1:14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</row>
    <row r="662" spans="1:14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</row>
    <row r="663" spans="1:14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</row>
    <row r="664" spans="1:14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</row>
    <row r="665" spans="1:14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</row>
    <row r="666" spans="1:14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</row>
    <row r="667" spans="1:14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</row>
    <row r="668" spans="1:14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</row>
    <row r="669" spans="1:14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</row>
    <row r="670" spans="1:14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</row>
    <row r="671" spans="1:14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</row>
    <row r="672" spans="1:14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</row>
    <row r="673" spans="1:14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</row>
    <row r="674" spans="1:14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</row>
    <row r="675" spans="1:14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</row>
    <row r="676" spans="1:14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</row>
    <row r="677" spans="1:14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</row>
    <row r="678" spans="1:14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</row>
    <row r="679" spans="1:14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</row>
    <row r="680" spans="1:14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</row>
    <row r="681" spans="1:14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</row>
    <row r="682" spans="1:14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</row>
    <row r="683" spans="1:14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</row>
    <row r="684" spans="1:14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</row>
    <row r="685" spans="1:14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</row>
    <row r="686" spans="1:14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</row>
    <row r="687" spans="1:14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</row>
    <row r="688" spans="1:14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</row>
    <row r="689" spans="1:14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</row>
    <row r="690" spans="1:14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</row>
    <row r="691" spans="1:14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</row>
    <row r="692" spans="1:14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</row>
    <row r="693" spans="1:14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</row>
    <row r="694" spans="1:14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</row>
    <row r="695" spans="1:14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</row>
    <row r="696" spans="1:14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</row>
    <row r="697" spans="1:14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</row>
    <row r="698" spans="1:14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</row>
    <row r="699" spans="1:14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</row>
    <row r="700" spans="1:14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</row>
    <row r="701" spans="1:14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</row>
    <row r="702" spans="1:14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</row>
    <row r="703" spans="1:14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</row>
    <row r="704" spans="1:14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</row>
    <row r="705" spans="1:14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</row>
    <row r="706" spans="1:14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</row>
    <row r="707" spans="1:14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</row>
    <row r="708" spans="1:14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</row>
    <row r="709" spans="1:14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</row>
    <row r="710" spans="1:14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</row>
    <row r="711" spans="1:14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</row>
    <row r="712" spans="1:14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</row>
    <row r="713" spans="1:14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</row>
    <row r="714" spans="1:14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</row>
    <row r="715" spans="1:14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</row>
    <row r="716" spans="1:14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</row>
    <row r="717" spans="1:14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</row>
    <row r="718" spans="1:14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</row>
    <row r="719" spans="1:14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</row>
    <row r="720" spans="1:14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</row>
    <row r="721" spans="1:14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</row>
    <row r="722" spans="1:14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</row>
    <row r="723" spans="1:14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</row>
    <row r="724" spans="1:14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</row>
    <row r="725" spans="1:14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</row>
    <row r="726" spans="1:14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</row>
    <row r="727" spans="1:14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</row>
    <row r="728" spans="1:14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</row>
    <row r="729" spans="1:14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</row>
    <row r="730" spans="1:14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</row>
    <row r="731" spans="1:14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</row>
    <row r="732" spans="1:14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</row>
    <row r="733" spans="1:14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</row>
    <row r="734" spans="1:14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</row>
    <row r="735" spans="1:14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</row>
    <row r="736" spans="1:14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</row>
    <row r="737" spans="1:14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</row>
    <row r="738" spans="1:14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</row>
    <row r="739" spans="1:14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</row>
    <row r="740" spans="1:14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</row>
    <row r="741" spans="1:14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</row>
    <row r="742" spans="1:14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</row>
    <row r="743" spans="1:14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</row>
    <row r="744" spans="1:14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</row>
    <row r="745" spans="1:14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</row>
    <row r="746" spans="1:14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</row>
    <row r="747" spans="1:14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</row>
    <row r="748" spans="1:14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</row>
    <row r="749" spans="1:14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</row>
    <row r="750" spans="1:14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</row>
    <row r="751" spans="1:14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</row>
    <row r="752" spans="1:14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</row>
    <row r="753" spans="1:14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</row>
    <row r="754" spans="1:14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</row>
    <row r="755" spans="1:14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</row>
    <row r="756" spans="1:14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</row>
    <row r="757" spans="1:14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</row>
    <row r="758" spans="1:14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</row>
    <row r="759" spans="1:14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</row>
    <row r="760" spans="1:14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</row>
    <row r="761" spans="1:14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</row>
    <row r="762" spans="1:14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</row>
    <row r="763" spans="1:14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</row>
    <row r="764" spans="1:14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</row>
    <row r="765" spans="1:14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</row>
    <row r="766" spans="1:14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</row>
    <row r="767" spans="1:14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</row>
    <row r="768" spans="1:14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</row>
    <row r="769" spans="1:14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</row>
    <row r="770" spans="1:14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</row>
    <row r="771" spans="1:14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</row>
    <row r="772" spans="1:14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</row>
    <row r="773" spans="1:14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</row>
    <row r="774" spans="1:14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</row>
    <row r="775" spans="1:14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</row>
    <row r="776" spans="1:14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</row>
    <row r="777" spans="1:14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</row>
    <row r="778" spans="1:14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</row>
    <row r="779" spans="1:14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</row>
    <row r="780" spans="1:14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</row>
    <row r="781" spans="1:14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</row>
    <row r="782" spans="1:14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</row>
    <row r="783" spans="1:14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</row>
    <row r="784" spans="1:14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</row>
    <row r="785" spans="1:14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</row>
    <row r="786" spans="1:14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</row>
    <row r="787" spans="1:14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</row>
    <row r="788" spans="1:14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</row>
    <row r="789" spans="1:14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</row>
    <row r="790" spans="1:14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</row>
    <row r="791" spans="1:14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</row>
    <row r="792" spans="1:14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</row>
    <row r="793" spans="1:14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</row>
    <row r="794" spans="1:14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</row>
    <row r="795" spans="1:14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</row>
    <row r="796" spans="1:14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</row>
    <row r="797" spans="1:14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</row>
    <row r="798" spans="1:14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</row>
    <row r="799" spans="1:14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</row>
    <row r="800" spans="1:14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</row>
    <row r="801" spans="1:14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</row>
    <row r="802" spans="1:14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</row>
    <row r="803" spans="1:14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</row>
    <row r="804" spans="1:14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</row>
    <row r="805" spans="1:14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</row>
    <row r="806" spans="1:14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</row>
    <row r="807" spans="1:14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</row>
    <row r="808" spans="1:14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</row>
    <row r="809" spans="1:14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</row>
    <row r="810" spans="1:14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</row>
    <row r="811" spans="1:14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</row>
    <row r="812" spans="1:14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</row>
    <row r="813" spans="1:14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</row>
    <row r="814" spans="1:14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</row>
    <row r="815" spans="1:14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</row>
    <row r="816" spans="1:14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</row>
    <row r="817" spans="1:14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</row>
    <row r="818" spans="1:14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</row>
    <row r="819" spans="1:14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</row>
    <row r="820" spans="1:14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</row>
    <row r="821" spans="1:14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</row>
    <row r="822" spans="1:14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</row>
    <row r="823" spans="1:14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</row>
    <row r="824" spans="1:14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</row>
    <row r="825" spans="1:14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</row>
    <row r="826" spans="1:14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</row>
    <row r="827" spans="1:14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</row>
    <row r="828" spans="1:14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</row>
    <row r="829" spans="1:14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</row>
    <row r="830" spans="1:14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</row>
    <row r="831" spans="1:14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</row>
    <row r="832" spans="1:14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</row>
    <row r="833" spans="1:14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</row>
    <row r="834" spans="1:14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</row>
    <row r="835" spans="1:14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</row>
    <row r="836" spans="1:14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</row>
    <row r="837" spans="1:14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</row>
    <row r="838" spans="1:14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</row>
    <row r="839" spans="1:14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</row>
    <row r="840" spans="1:14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</row>
    <row r="841" spans="1:14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</row>
    <row r="842" spans="1:14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</row>
    <row r="843" spans="1:14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</row>
    <row r="844" spans="1:14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</row>
    <row r="845" spans="1:14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</row>
    <row r="846" spans="1:14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</row>
    <row r="847" spans="1:14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</row>
    <row r="848" spans="1:14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</row>
    <row r="849" spans="1:14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</row>
    <row r="850" spans="1:14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</row>
    <row r="851" spans="1:14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</row>
    <row r="852" spans="1:14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</row>
    <row r="853" spans="1:14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</row>
    <row r="854" spans="1:14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</row>
    <row r="855" spans="1:14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</row>
    <row r="856" spans="1:14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</row>
    <row r="857" spans="1:14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</row>
    <row r="858" spans="1:14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</row>
    <row r="859" spans="1:14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</row>
    <row r="860" spans="1:14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</row>
    <row r="861" spans="1:14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</row>
    <row r="862" spans="1:14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</row>
    <row r="863" spans="1:14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</row>
    <row r="864" spans="1:14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</row>
    <row r="865" spans="1:14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</row>
    <row r="866" spans="1:14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</row>
    <row r="867" spans="1:14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</row>
    <row r="868" spans="1:14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</row>
    <row r="869" spans="1:14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</row>
    <row r="870" spans="1:14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</row>
    <row r="871" spans="1:14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</row>
    <row r="872" spans="1:14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</row>
    <row r="873" spans="1:14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</row>
    <row r="874" spans="1:14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</row>
    <row r="875" spans="1:14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</row>
    <row r="876" spans="1:14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</row>
    <row r="877" spans="1:14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</row>
    <row r="878" spans="1:14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</row>
    <row r="879" spans="1:14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</row>
    <row r="880" spans="1:14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</row>
    <row r="881" spans="1:14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</row>
    <row r="882" spans="1:14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</row>
    <row r="883" spans="1:14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</row>
    <row r="884" spans="1:14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</row>
    <row r="885" spans="1:14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</row>
    <row r="886" spans="1:14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</row>
    <row r="887" spans="1:14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</row>
    <row r="888" spans="1:14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</row>
    <row r="889" spans="1:14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</row>
    <row r="890" spans="1:14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</row>
    <row r="891" spans="1:14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</row>
    <row r="892" spans="1:14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</row>
    <row r="893" spans="1:14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</row>
    <row r="894" spans="1:14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</row>
    <row r="895" spans="1:14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</row>
    <row r="896" spans="1:14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</row>
    <row r="897" spans="1:14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</row>
    <row r="898" spans="1:14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</row>
    <row r="899" spans="1:14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</row>
    <row r="900" spans="1:14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</row>
    <row r="901" spans="1:14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</row>
    <row r="902" spans="1:14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</row>
    <row r="903" spans="1:14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</row>
    <row r="904" spans="1:14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</row>
    <row r="905" spans="1:14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</row>
    <row r="906" spans="1:14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</row>
    <row r="907" spans="1:14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</row>
    <row r="908" spans="1:14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</row>
    <row r="909" spans="1:14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</row>
    <row r="910" spans="1:14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</row>
    <row r="911" spans="1:14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</row>
    <row r="912" spans="1:14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</row>
    <row r="913" spans="1:14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</row>
    <row r="914" spans="1:14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</row>
    <row r="915" spans="1:14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</row>
    <row r="916" spans="1:14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</row>
    <row r="917" spans="1:14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</row>
    <row r="918" spans="1:14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</row>
    <row r="919" spans="1:14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</row>
    <row r="920" spans="1:14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</row>
    <row r="921" spans="1:14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</row>
    <row r="922" spans="1:14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</row>
    <row r="923" spans="1:14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</row>
    <row r="924" spans="1:14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</row>
    <row r="925" spans="1:14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</row>
    <row r="926" spans="1:14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</row>
    <row r="927" spans="1:14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</row>
    <row r="928" spans="1:14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</row>
    <row r="929" spans="1:14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</row>
    <row r="930" spans="1:14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</row>
    <row r="931" spans="1:14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</row>
    <row r="932" spans="1:14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</row>
    <row r="933" spans="1:14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</row>
    <row r="934" spans="1:14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</row>
    <row r="935" spans="1:14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</row>
    <row r="936" spans="1:14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</row>
    <row r="937" spans="1:14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</row>
    <row r="938" spans="1:14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</row>
    <row r="939" spans="1:14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</row>
    <row r="940" spans="1:14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</row>
    <row r="941" spans="1:14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</row>
    <row r="942" spans="1:14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</row>
    <row r="943" spans="1:14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</row>
    <row r="944" spans="1:14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</row>
    <row r="945" spans="1:14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</row>
    <row r="946" spans="1:14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</row>
    <row r="947" spans="1:14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</row>
    <row r="948" spans="1:14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</row>
    <row r="949" spans="1:14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</row>
    <row r="950" spans="1:14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</row>
    <row r="951" spans="1:14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</row>
    <row r="952" spans="1:14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</row>
    <row r="953" spans="1:14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</row>
    <row r="954" spans="1:14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</row>
    <row r="955" spans="1:14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</row>
    <row r="956" spans="1:14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</row>
    <row r="957" spans="1:14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</row>
    <row r="958" spans="1:14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</row>
    <row r="959" spans="1:14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</row>
    <row r="960" spans="1:14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</row>
    <row r="961" spans="1:14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</row>
    <row r="962" spans="1:14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</row>
    <row r="963" spans="1:14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</row>
    <row r="964" spans="1:14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</row>
    <row r="965" spans="1:14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</row>
    <row r="966" spans="1:14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</row>
    <row r="967" spans="1:14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</row>
    <row r="968" spans="1:14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</row>
    <row r="969" spans="1:14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</row>
    <row r="970" spans="1:14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</row>
    <row r="971" spans="1:14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</row>
    <row r="972" spans="1:14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</row>
    <row r="973" spans="1:14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</row>
    <row r="974" spans="1:14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</row>
    <row r="975" spans="1:14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</row>
    <row r="976" spans="1:14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</row>
    <row r="977" spans="1:14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</row>
    <row r="978" spans="1:14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</row>
    <row r="979" spans="1:14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</row>
    <row r="980" spans="1:14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</row>
    <row r="981" spans="1:14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</row>
    <row r="982" spans="1:14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</row>
    <row r="983" spans="1:14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</row>
    <row r="984" spans="1:14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</row>
    <row r="985" spans="1:14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</row>
    <row r="986" spans="1:14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</row>
    <row r="987" spans="1:14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</row>
    <row r="988" spans="1:14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</row>
    <row r="989" spans="1:14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</row>
    <row r="990" spans="1:14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</row>
    <row r="991" spans="1:14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</row>
    <row r="992" spans="1:14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</row>
    <row r="993" spans="1:14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</row>
    <row r="994" spans="1:14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</row>
    <row r="995" spans="1:14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</row>
    <row r="996" spans="1:14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</row>
    <row r="997" spans="1:14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</row>
    <row r="998" spans="1:14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</row>
    <row r="999" spans="1:14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</row>
    <row r="1000" spans="1:14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</row>
    <row r="1001" spans="1:14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</row>
    <row r="1002" spans="1:14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</row>
    <row r="1003" spans="1:14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</row>
    <row r="1004" spans="1:14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</row>
    <row r="1005" spans="1:14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</row>
    <row r="1006" spans="1:14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</row>
    <row r="1007" spans="1:14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</row>
    <row r="1008" spans="1:14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</row>
    <row r="1009" spans="1:14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</row>
    <row r="1010" spans="1:14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</row>
    <row r="1011" spans="1:14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</row>
    <row r="1012" spans="1:14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</row>
    <row r="1013" spans="1:14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</row>
    <row r="1014" spans="1:14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</row>
    <row r="1015" spans="1:14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</row>
    <row r="1016" spans="1:14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</row>
    <row r="1017" spans="1:14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</row>
    <row r="1018" spans="1:14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</row>
    <row r="1019" spans="1:14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</row>
    <row r="1020" spans="1:14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</row>
    <row r="1021" spans="1:14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</row>
    <row r="1022" spans="1:14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</row>
    <row r="1023" spans="1:14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</row>
    <row r="1024" spans="1:14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</row>
    <row r="1025" spans="1:14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</row>
    <row r="1026" spans="1:14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</row>
    <row r="1027" spans="1:14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</row>
    <row r="1028" spans="1:14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</row>
    <row r="1029" spans="1:14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</row>
    <row r="1030" spans="1:14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</row>
    <row r="1031" spans="1:14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</row>
    <row r="1032" spans="1:14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</row>
    <row r="1033" spans="1:14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</row>
    <row r="1034" spans="1:14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</row>
    <row r="1035" spans="1:14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</row>
    <row r="1036" spans="1:14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</row>
    <row r="1037" spans="1:14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</row>
    <row r="1038" spans="1:14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</row>
    <row r="1039" spans="1:14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</row>
    <row r="1040" spans="1:14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</row>
    <row r="1041" spans="1:14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</row>
    <row r="1042" spans="1:14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</row>
    <row r="1043" spans="1:14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</row>
    <row r="1044" spans="1:14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</row>
    <row r="1045" spans="1:14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</row>
    <row r="1046" spans="1:14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</row>
    <row r="1047" spans="1:14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</row>
    <row r="1048" spans="1:14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</row>
    <row r="1049" spans="1:14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</row>
    <row r="1050" spans="1:14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</row>
    <row r="1051" spans="1:14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</row>
    <row r="1052" spans="1:14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</row>
    <row r="1053" spans="1:14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</row>
    <row r="1054" spans="1:14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</row>
    <row r="1055" spans="1:14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</row>
    <row r="1056" spans="1:14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</row>
    <row r="1057" spans="1:14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</row>
    <row r="1058" spans="1:14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</row>
    <row r="1059" spans="1:14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</row>
    <row r="1060" spans="1:14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</row>
    <row r="1061" spans="1:14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</row>
    <row r="1062" spans="1:14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</row>
    <row r="1063" spans="1:14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</row>
    <row r="1064" spans="1:14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</row>
    <row r="1065" spans="1:14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</row>
    <row r="1066" spans="1:14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</row>
    <row r="1067" spans="1:14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</row>
    <row r="1068" spans="1:14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</row>
    <row r="1069" spans="1:14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</row>
    <row r="1070" spans="1:14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</row>
    <row r="1071" spans="1:14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</row>
    <row r="1072" spans="1:14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</row>
    <row r="1073" spans="1:14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</row>
    <row r="1074" spans="1:14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</row>
    <row r="1075" spans="1:14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</row>
    <row r="1076" spans="1:14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</row>
    <row r="1077" spans="1:14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</row>
    <row r="1078" spans="1:14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</row>
    <row r="1079" spans="1:14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</row>
    <row r="1080" spans="1:14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</row>
    <row r="1081" spans="1:14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</row>
    <row r="1082" spans="1:14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</row>
    <row r="1083" spans="1:14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</row>
    <row r="1084" spans="1:14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</row>
    <row r="1085" spans="1:14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</row>
    <row r="1086" spans="1:14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</row>
    <row r="1087" spans="1:14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</row>
    <row r="1088" spans="1:14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</row>
    <row r="1089" spans="1:14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</row>
    <row r="1090" spans="1:14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</row>
    <row r="1091" spans="1:14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</row>
    <row r="1092" spans="1:14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</row>
    <row r="1093" spans="1:14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</row>
    <row r="1094" spans="1:14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</row>
    <row r="1095" spans="1:14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</row>
    <row r="1096" spans="1:14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</row>
    <row r="1097" spans="1:14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</row>
    <row r="1098" spans="1:14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</row>
    <row r="1099" spans="1:14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</row>
    <row r="1100" spans="1:14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</row>
    <row r="1101" spans="1:14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</row>
    <row r="1102" spans="1:14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</row>
    <row r="1103" spans="1:14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</row>
    <row r="1104" spans="1:14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</row>
    <row r="1105" spans="1:14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</row>
    <row r="1106" spans="1:14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</row>
    <row r="1107" spans="1:14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</row>
    <row r="1108" spans="1:14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</row>
    <row r="1109" spans="1:14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</row>
    <row r="1110" spans="1:14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</row>
    <row r="1111" spans="1:14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</row>
    <row r="1112" spans="1:14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</row>
    <row r="1113" spans="1:14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</row>
    <row r="1114" spans="1:14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</row>
    <row r="1115" spans="1:14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</row>
    <row r="1116" spans="1:14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</row>
    <row r="1117" spans="1:14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</row>
    <row r="1118" spans="1:14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</row>
    <row r="1119" spans="1:14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</row>
    <row r="1120" spans="1:14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</row>
    <row r="1121" spans="1:14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</row>
    <row r="1122" spans="1:14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</row>
    <row r="1123" spans="1:14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</row>
    <row r="1124" spans="1:14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</row>
    <row r="1125" spans="1:14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</row>
    <row r="1126" spans="1:14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</row>
    <row r="1127" spans="1:14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</row>
    <row r="1128" spans="1:14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</row>
    <row r="1129" spans="1:14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</row>
    <row r="1130" spans="1:14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</row>
    <row r="1131" spans="1:14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</row>
    <row r="1132" spans="1:14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</row>
    <row r="1133" spans="1:14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</row>
    <row r="1134" spans="1:14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</row>
    <row r="1135" spans="1:14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</row>
    <row r="1136" spans="1:14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</row>
    <row r="1137" spans="1:14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</row>
    <row r="1138" spans="1:14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</row>
    <row r="1139" spans="1:14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</row>
    <row r="1140" spans="1:14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</row>
    <row r="1141" spans="1:14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</row>
    <row r="1142" spans="1:14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</row>
    <row r="1143" spans="1:14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</row>
    <row r="1144" spans="1:14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</row>
    <row r="1145" spans="1:14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</row>
    <row r="1146" spans="1:14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</row>
    <row r="1147" spans="1:14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</row>
    <row r="1148" spans="1:14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</row>
    <row r="1149" spans="1:14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</row>
    <row r="1150" spans="1:14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</row>
    <row r="1151" spans="1:14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</row>
    <row r="1152" spans="1:14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</row>
    <row r="1153" spans="3:14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</row>
    <row r="1154" spans="3:14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</row>
  </sheetData>
  <mergeCells count="1">
    <mergeCell ref="A1:A2"/>
  </mergeCells>
  <conditionalFormatting sqref="J7:N7">
    <cfRule type="expression" dxfId="389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topLeftCell="O1" zoomScaleNormal="100" workbookViewId="0">
      <pane ySplit="4" topLeftCell="A5" activePane="bottomLeft" state="frozen"/>
      <selection pane="bottomLeft" activeCell="Z7" sqref="Z7:AC7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9" customWidth="1"/>
    <col min="32" max="32" width="12.42578125" style="109" customWidth="1"/>
    <col min="33" max="33" width="12.5703125" style="109" customWidth="1"/>
    <col min="34" max="34" width="12.140625" style="109" customWidth="1"/>
    <col min="35" max="16384" width="9.140625" style="109"/>
  </cols>
  <sheetData>
    <row r="1" spans="1:47" s="1" customFormat="1" ht="23.25" x14ac:dyDescent="0.35">
      <c r="A1" s="168"/>
      <c r="C1" s="141" t="s">
        <v>328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48" t="s">
        <v>1645</v>
      </c>
      <c r="AA1" s="149"/>
      <c r="AB1" s="149"/>
      <c r="AC1" s="149"/>
      <c r="AD1" s="122" t="s">
        <v>1185</v>
      </c>
      <c r="AE1" s="123"/>
      <c r="AF1" s="122" t="s">
        <v>1184</v>
      </c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</row>
    <row r="2" spans="1:47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361</v>
      </c>
      <c r="K3" s="49"/>
      <c r="L3" s="49"/>
      <c r="M3" s="49"/>
      <c r="N3" s="47" t="s">
        <v>1634</v>
      </c>
      <c r="O3" s="49"/>
      <c r="P3" s="49"/>
      <c r="Q3" s="48"/>
      <c r="R3" s="47" t="s">
        <v>322</v>
      </c>
      <c r="S3" s="49"/>
      <c r="T3" s="49"/>
      <c r="U3" s="49"/>
      <c r="V3" s="47" t="s">
        <v>1175</v>
      </c>
      <c r="W3" s="49"/>
      <c r="X3" s="49"/>
      <c r="Y3" s="48"/>
      <c r="Z3" s="155" t="s">
        <v>1643</v>
      </c>
      <c r="AA3" s="160"/>
      <c r="AB3" s="160"/>
      <c r="AC3" s="161"/>
      <c r="AD3" s="64" t="s">
        <v>93</v>
      </c>
      <c r="AE3" s="64"/>
      <c r="AF3" s="125" t="s">
        <v>361</v>
      </c>
      <c r="AG3" s="126"/>
      <c r="AH3" s="126"/>
      <c r="AI3" s="126"/>
      <c r="AJ3" s="125" t="s">
        <v>1173</v>
      </c>
      <c r="AK3" s="126"/>
      <c r="AL3" s="126"/>
      <c r="AM3" s="126"/>
      <c r="AN3" s="125" t="s">
        <v>322</v>
      </c>
      <c r="AO3" s="126"/>
      <c r="AP3" s="126"/>
      <c r="AQ3" s="126"/>
      <c r="AR3" s="125" t="s">
        <v>1174</v>
      </c>
      <c r="AS3" s="126"/>
      <c r="AT3" s="126"/>
      <c r="AU3" s="127"/>
    </row>
    <row r="4" spans="1:4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329</v>
      </c>
      <c r="O4" s="13" t="s">
        <v>331</v>
      </c>
      <c r="P4" s="13" t="s">
        <v>330</v>
      </c>
      <c r="Q4" s="9" t="s">
        <v>332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329</v>
      </c>
      <c r="W4" s="13" t="s">
        <v>331</v>
      </c>
      <c r="X4" s="13" t="s">
        <v>330</v>
      </c>
      <c r="Y4" s="9" t="s">
        <v>332</v>
      </c>
      <c r="Z4" s="156" t="s">
        <v>361</v>
      </c>
      <c r="AA4" s="158" t="s">
        <v>1634</v>
      </c>
      <c r="AB4" s="158" t="s">
        <v>322</v>
      </c>
      <c r="AC4" s="162" t="s">
        <v>1175</v>
      </c>
      <c r="AD4" s="11" t="s">
        <v>775</v>
      </c>
      <c r="AE4" s="11" t="s">
        <v>776</v>
      </c>
      <c r="AF4" s="128" t="s">
        <v>323</v>
      </c>
      <c r="AG4" s="129" t="s">
        <v>324</v>
      </c>
      <c r="AH4" s="129" t="s">
        <v>325</v>
      </c>
      <c r="AI4" s="129" t="s">
        <v>326</v>
      </c>
      <c r="AJ4" s="128" t="s">
        <v>329</v>
      </c>
      <c r="AK4" s="129" t="s">
        <v>331</v>
      </c>
      <c r="AL4" s="129" t="s">
        <v>330</v>
      </c>
      <c r="AM4" s="129" t="s">
        <v>332</v>
      </c>
      <c r="AN4" s="128" t="s">
        <v>323</v>
      </c>
      <c r="AO4" s="129" t="s">
        <v>324</v>
      </c>
      <c r="AP4" s="129" t="s">
        <v>325</v>
      </c>
      <c r="AQ4" s="129" t="s">
        <v>326</v>
      </c>
      <c r="AR4" s="128" t="s">
        <v>329</v>
      </c>
      <c r="AS4" s="129" t="s">
        <v>331</v>
      </c>
      <c r="AT4" s="129" t="s">
        <v>330</v>
      </c>
      <c r="AU4" s="130" t="s">
        <v>332</v>
      </c>
    </row>
    <row r="5" spans="1:4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1">
        <f>SUBTOTAL(109,tb_prev_T[D_tb_prev_D_fy19])</f>
        <v>0</v>
      </c>
      <c r="AE5" s="61">
        <f>SUBTOTAL(109,tb_prev_T[D_tb_prev_fy19])</f>
        <v>0</v>
      </c>
      <c r="AF5" s="61">
        <f>SUBTOTAL(109,tb_prev_T[tb_prev_D_u15_f_pos])</f>
        <v>0</v>
      </c>
      <c r="AG5" s="61">
        <f>SUBTOTAL(109,tb_prev_T[tb_prev_D_u15_m_pos])</f>
        <v>0</v>
      </c>
      <c r="AH5" s="61">
        <f>SUBTOTAL(109,tb_prev_T[tb_prev_D_o15_f_pos])</f>
        <v>0</v>
      </c>
      <c r="AI5" s="61">
        <f>SUBTOTAL(109,tb_prev_T[tb_prev_D_o15_m_pos])</f>
        <v>0</v>
      </c>
      <c r="AJ5" s="61">
        <f>SUBTOTAL(109,tb_prev_T[tb_prev_D_alt_tpt_life_already_pos])</f>
        <v>0</v>
      </c>
      <c r="AK5" s="61">
        <f>SUBTOTAL(109,tb_prev_T[tb_prev_D_ipt_life_already_pos])</f>
        <v>0</v>
      </c>
      <c r="AL5" s="61">
        <f>SUBTOTAL(109,tb_prev_T[tb_prev_D_alt_tpt_life_new_pos])</f>
        <v>0</v>
      </c>
      <c r="AM5" s="61">
        <f>SUBTOTAL(109,tb_prev_T[tb_prev_D_ipt_life_new_pos])</f>
        <v>0</v>
      </c>
      <c r="AN5" s="61">
        <f>SUBTOTAL(109,tb_prev_T[tb_prev_u15_f_pos])</f>
        <v>0</v>
      </c>
      <c r="AO5" s="61">
        <f>SUBTOTAL(109,tb_prev_T[tb_prev_u15_m_pos])</f>
        <v>0</v>
      </c>
      <c r="AP5" s="61">
        <f>SUBTOTAL(109,tb_prev_T[tb_prev_o15_f_pos])</f>
        <v>0</v>
      </c>
      <c r="AQ5" s="61">
        <f>SUBTOTAL(109,tb_prev_T[tb_prev_o15_m_pos])</f>
        <v>0</v>
      </c>
      <c r="AR5" s="61">
        <f>SUBTOTAL(109,tb_prev_T[tb_prev_alt_tpt_life_already_pos])</f>
        <v>0</v>
      </c>
      <c r="AS5" s="61">
        <f>SUBTOTAL(109,tb_prev_T[tb_prev_ipt_life_already_pos])</f>
        <v>0</v>
      </c>
      <c r="AT5" s="61">
        <f>SUBTOTAL(109,tb_prev_T[tb_prev_alt_tpt_life_new_pos])</f>
        <v>0</v>
      </c>
      <c r="AU5" s="61">
        <f>SUBTOTAL(109,tb_prev_T[tb_prev_ipt_life_new_pos])</f>
        <v>0</v>
      </c>
    </row>
    <row r="6" spans="1:4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1409</v>
      </c>
      <c r="K6" s="26" t="s">
        <v>1410</v>
      </c>
      <c r="L6" s="26" t="s">
        <v>1411</v>
      </c>
      <c r="M6" s="26" t="s">
        <v>1412</v>
      </c>
      <c r="N6" s="26" t="s">
        <v>1413</v>
      </c>
      <c r="O6" s="26" t="s">
        <v>1414</v>
      </c>
      <c r="P6" s="26" t="s">
        <v>1415</v>
      </c>
      <c r="Q6" s="26" t="s">
        <v>1416</v>
      </c>
      <c r="R6" s="26" t="s">
        <v>1417</v>
      </c>
      <c r="S6" s="26" t="s">
        <v>1418</v>
      </c>
      <c r="T6" s="26" t="s">
        <v>1419</v>
      </c>
      <c r="U6" s="26" t="s">
        <v>1420</v>
      </c>
      <c r="V6" s="26" t="s">
        <v>1421</v>
      </c>
      <c r="W6" s="26" t="s">
        <v>1422</v>
      </c>
      <c r="X6" s="26" t="s">
        <v>1423</v>
      </c>
      <c r="Y6" s="26" t="s">
        <v>1424</v>
      </c>
      <c r="Z6" s="26" t="s">
        <v>1641</v>
      </c>
      <c r="AA6" s="26" t="s">
        <v>1642</v>
      </c>
      <c r="AB6" s="26" t="s">
        <v>1644</v>
      </c>
      <c r="AC6" s="26" t="s">
        <v>1646</v>
      </c>
      <c r="AD6" s="26" t="s">
        <v>931</v>
      </c>
      <c r="AE6" s="26" t="s">
        <v>932</v>
      </c>
      <c r="AF6" s="26" t="s">
        <v>626</v>
      </c>
      <c r="AG6" s="26" t="s">
        <v>627</v>
      </c>
      <c r="AH6" s="26" t="s">
        <v>628</v>
      </c>
      <c r="AI6" s="26" t="s">
        <v>629</v>
      </c>
      <c r="AJ6" s="26" t="s">
        <v>630</v>
      </c>
      <c r="AK6" s="26" t="s">
        <v>632</v>
      </c>
      <c r="AL6" s="26" t="s">
        <v>631</v>
      </c>
      <c r="AM6" s="26" t="s">
        <v>633</v>
      </c>
      <c r="AN6" s="26" t="s">
        <v>634</v>
      </c>
      <c r="AO6" s="26" t="s">
        <v>635</v>
      </c>
      <c r="AP6" s="26" t="s">
        <v>636</v>
      </c>
      <c r="AQ6" s="26" t="s">
        <v>637</v>
      </c>
      <c r="AR6" s="26" t="s">
        <v>638</v>
      </c>
      <c r="AS6" s="26" t="s">
        <v>640</v>
      </c>
      <c r="AT6" s="26" t="s">
        <v>639</v>
      </c>
      <c r="AU6" s="26" t="s">
        <v>641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7">
        <f>SUM(tb_prev_T[[#This Row],[A_tb_prev_D_u15_f_pos]:[A_tb_prev_D_o15_m_pos]])</f>
        <v>0</v>
      </c>
      <c r="AA7" s="167">
        <f>SUM(tb_prev_T[[#This Row],[A_tb_prev_D_alt_tpt_life_already_pos]:[A_tb_prev_D_ipt_life_new_pos]])</f>
        <v>0</v>
      </c>
      <c r="AB7" s="167">
        <f>SUM(tb_prev_T[[#This Row],[A_tb_prev_u15_f_pos]:[A_tb_prev_o15_m_pos]])</f>
        <v>0</v>
      </c>
      <c r="AC7" s="167">
        <f>SUM(tb_prev_T[[#This Row],[A_tb_prev_alt_tpt_life_already_pos]:[A_tb_prev_ipt_life_new_pos]])</f>
        <v>0</v>
      </c>
      <c r="AD7" s="42"/>
      <c r="AE7" s="42"/>
      <c r="AF7" s="65">
        <f>tb_prev_T[[D_tb_prev_D_fy19]:[D_tb_prev_D_fy19]]*tb_prev_T[A_tb_prev_D_u15_f_pos]</f>
        <v>0</v>
      </c>
      <c r="AG7" s="65">
        <f>tb_prev_T[[D_tb_prev_D_fy19]:[D_tb_prev_D_fy19]]*tb_prev_T[A_tb_prev_D_u15_m_pos]</f>
        <v>0</v>
      </c>
      <c r="AH7" s="65">
        <f>tb_prev_T[[D_tb_prev_D_fy19]:[D_tb_prev_D_fy19]]*tb_prev_T[A_tb_prev_D_o15_f_pos]</f>
        <v>0</v>
      </c>
      <c r="AI7" s="65">
        <f>tb_prev_T[[D_tb_prev_D_fy19]:[D_tb_prev_D_fy19]]*tb_prev_T[A_tb_prev_D_o15_m_pos]</f>
        <v>0</v>
      </c>
      <c r="AJ7" s="65">
        <f>tb_prev_T[[D_tb_prev_D_fy19]:[D_tb_prev_D_fy19]]*tb_prev_T[A_tb_prev_D_alt_tpt_life_already_pos]</f>
        <v>0</v>
      </c>
      <c r="AK7" s="65">
        <f>tb_prev_T[[D_tb_prev_D_fy19]:[D_tb_prev_D_fy19]]*tb_prev_T[A_tb_prev_D_ipt_life_already_pos]</f>
        <v>0</v>
      </c>
      <c r="AL7" s="65">
        <f>tb_prev_T[[D_tb_prev_D_fy19]:[D_tb_prev_D_fy19]]*tb_prev_T[A_tb_prev_D_alt_tpt_life_new_pos]</f>
        <v>0</v>
      </c>
      <c r="AM7" s="65">
        <f>tb_prev_T[[D_tb_prev_D_fy19]:[D_tb_prev_D_fy19]]*tb_prev_T[A_tb_prev_D_ipt_life_new_pos]</f>
        <v>0</v>
      </c>
      <c r="AN7" s="65">
        <f>tb_prev_T[[D_tb_prev_fy19]:[D_tb_prev_fy19]]*tb_prev_T[A_tb_prev_u15_f_pos]</f>
        <v>0</v>
      </c>
      <c r="AO7" s="65">
        <f>tb_prev_T[[D_tb_prev_fy19]:[D_tb_prev_fy19]]*tb_prev_T[A_tb_prev_u15_m_pos]</f>
        <v>0</v>
      </c>
      <c r="AP7" s="65">
        <f>tb_prev_T[[D_tb_prev_fy19]:[D_tb_prev_fy19]]*tb_prev_T[A_tb_prev_o15_f_pos]</f>
        <v>0</v>
      </c>
      <c r="AQ7" s="65">
        <f>tb_prev_T[[D_tb_prev_fy19]:[D_tb_prev_fy19]]*tb_prev_T[A_tb_prev_o15_m_pos]</f>
        <v>0</v>
      </c>
      <c r="AR7" s="65">
        <f>tb_prev_T[[D_tb_prev_fy19]:[D_tb_prev_fy19]]*tb_prev_T[A_tb_prev_alt_tpt_life_already_pos]</f>
        <v>0</v>
      </c>
      <c r="AS7" s="65">
        <f>tb_prev_T[[D_tb_prev_fy19]:[D_tb_prev_fy19]]*tb_prev_T[A_tb_prev_ipt_life_already_pos]</f>
        <v>0</v>
      </c>
      <c r="AT7" s="65">
        <f>tb_prev_T[[D_tb_prev_fy19]:[D_tb_prev_fy19]]*tb_prev_T[A_tb_prev_alt_tpt_life_new_pos]</f>
        <v>0</v>
      </c>
      <c r="AU7" s="65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47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47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47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47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Q7">
    <cfRule type="expression" dxfId="367" priority="2">
      <formula>$AD7=0</formula>
    </cfRule>
  </conditionalFormatting>
  <conditionalFormatting sqref="R7:AC7">
    <cfRule type="expression" dxfId="366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topLeftCell="Q1" zoomScaleNormal="100" workbookViewId="0">
      <pane ySplit="4" topLeftCell="A5" activePane="bottomLeft" state="frozen"/>
      <selection pane="bottomLeft" activeCell="AB7" sqref="AB7: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8"/>
      <c r="C1" s="141" t="s">
        <v>12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51" t="s">
        <v>1645</v>
      </c>
      <c r="AC1" s="152"/>
      <c r="AD1" s="53" t="s">
        <v>1185</v>
      </c>
      <c r="AE1" s="60"/>
      <c r="AF1" s="60"/>
      <c r="AG1" s="119" t="s">
        <v>1184</v>
      </c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</row>
    <row r="2" spans="1:50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7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160" t="s">
        <v>1643</v>
      </c>
      <c r="AC3" s="160"/>
      <c r="AD3" s="62" t="s">
        <v>93</v>
      </c>
      <c r="AE3" s="64"/>
      <c r="AF3" s="66"/>
      <c r="AG3" s="125" t="s">
        <v>780</v>
      </c>
      <c r="AH3" s="126"/>
      <c r="AI3" s="126"/>
      <c r="AJ3" s="127"/>
      <c r="AK3" s="125" t="s">
        <v>781</v>
      </c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7"/>
    </row>
    <row r="4" spans="1:50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9" t="s">
        <v>351</v>
      </c>
      <c r="AB4" s="158" t="s">
        <v>780</v>
      </c>
      <c r="AC4" s="158" t="s">
        <v>781</v>
      </c>
      <c r="AD4" s="10" t="s">
        <v>12</v>
      </c>
      <c r="AE4" s="11" t="s">
        <v>782</v>
      </c>
      <c r="AF4" s="12" t="s">
        <v>783</v>
      </c>
      <c r="AG4" s="128" t="s">
        <v>334</v>
      </c>
      <c r="AH4" s="129" t="s">
        <v>339</v>
      </c>
      <c r="AI4" s="129" t="s">
        <v>335</v>
      </c>
      <c r="AJ4" s="130" t="s">
        <v>336</v>
      </c>
      <c r="AK4" s="129" t="s">
        <v>337</v>
      </c>
      <c r="AL4" s="129" t="s">
        <v>338</v>
      </c>
      <c r="AM4" s="129" t="s">
        <v>340</v>
      </c>
      <c r="AN4" s="129" t="s">
        <v>341</v>
      </c>
      <c r="AO4" s="129" t="s">
        <v>342</v>
      </c>
      <c r="AP4" s="129" t="s">
        <v>343</v>
      </c>
      <c r="AQ4" s="129" t="s">
        <v>344</v>
      </c>
      <c r="AR4" s="129" t="s">
        <v>345</v>
      </c>
      <c r="AS4" s="129" t="s">
        <v>346</v>
      </c>
      <c r="AT4" s="129" t="s">
        <v>347</v>
      </c>
      <c r="AU4" s="129" t="s">
        <v>348</v>
      </c>
      <c r="AV4" s="129" t="s">
        <v>349</v>
      </c>
      <c r="AW4" s="129" t="s">
        <v>350</v>
      </c>
      <c r="AX4" s="130" t="s">
        <v>351</v>
      </c>
    </row>
    <row r="5" spans="1:50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1">
        <f>SUBTOTAL(109,tx_curr_T[D_tx_curr_fy19])</f>
        <v>0</v>
      </c>
      <c r="AE5" s="61">
        <f>SUBTOTAL(109,tx_curr_T[D_tx_curr_u15_fy19])</f>
        <v>0</v>
      </c>
      <c r="AF5" s="61">
        <f>SUBTOTAL(109,tx_curr_T[D_tx_curr_o15_fy19])</f>
        <v>0</v>
      </c>
      <c r="AG5" s="61">
        <f>SUBTOTAL(109,tx_curr_T[tx_curr_u1_unk_pos])</f>
        <v>0</v>
      </c>
      <c r="AH5" s="61">
        <f>SUBTOTAL(109,tx_curr_T[tx_curr_0109_unk_pos])</f>
        <v>0</v>
      </c>
      <c r="AI5" s="61">
        <f>SUBTOTAL(109,tx_curr_T[tx_curr_1014_f_pos])</f>
        <v>0</v>
      </c>
      <c r="AJ5" s="61">
        <f>SUBTOTAL(109,tx_curr_T[tx_curr_1014_m_pos])</f>
        <v>0</v>
      </c>
      <c r="AK5" s="61">
        <f>SUBTOTAL(109,tx_curr_T[tx_curr_1519_f_pos])</f>
        <v>0</v>
      </c>
      <c r="AL5" s="61">
        <f>SUBTOTAL(109,tx_curr_T[tx_curr_1519_m_pos])</f>
        <v>0</v>
      </c>
      <c r="AM5" s="61">
        <f>SUBTOTAL(109,tx_curr_T[tx_curr_2024_f_pos])</f>
        <v>0</v>
      </c>
      <c r="AN5" s="61">
        <f>SUBTOTAL(109,tx_curr_T[tx_curr_2024_m_pos])</f>
        <v>0</v>
      </c>
      <c r="AO5" s="61">
        <f>SUBTOTAL(109,tx_curr_T[tx_curr_2529_f_pos])</f>
        <v>0</v>
      </c>
      <c r="AP5" s="61">
        <f>SUBTOTAL(109,tx_curr_T[tx_curr_2529_m_pos])</f>
        <v>0</v>
      </c>
      <c r="AQ5" s="61">
        <f>SUBTOTAL(109,tx_curr_T[tx_curr_3034_f_pos])</f>
        <v>0</v>
      </c>
      <c r="AR5" s="61">
        <f>SUBTOTAL(109,tx_curr_T[tx_curr_3034_m_pos])</f>
        <v>0</v>
      </c>
      <c r="AS5" s="61">
        <f>SUBTOTAL(109,tx_curr_T[tx_curr_3539_f_pos])</f>
        <v>0</v>
      </c>
      <c r="AT5" s="61">
        <f>SUBTOTAL(109,tx_curr_T[tx_curr_3539_m_pos])</f>
        <v>0</v>
      </c>
      <c r="AU5" s="61">
        <f>SUBTOTAL(109,tx_curr_T[tx_curr_4049_f_pos])</f>
        <v>0</v>
      </c>
      <c r="AV5" s="61">
        <f>SUBTOTAL(109,tx_curr_T[tx_curr_4049_m_pos])</f>
        <v>0</v>
      </c>
      <c r="AW5" s="61">
        <f>SUBTOTAL(109,tx_curr_T[tx_curr_o50_f_pos])</f>
        <v>0</v>
      </c>
      <c r="AX5" s="61">
        <f>SUBTOTAL(109,tx_curr_T[tx_curr_o50_m_pos])</f>
        <v>0</v>
      </c>
    </row>
    <row r="6" spans="1:50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1425</v>
      </c>
      <c r="K6" s="26" t="s">
        <v>1426</v>
      </c>
      <c r="L6" s="26" t="s">
        <v>1427</v>
      </c>
      <c r="M6" s="26" t="s">
        <v>1428</v>
      </c>
      <c r="N6" s="26" t="s">
        <v>1429</v>
      </c>
      <c r="O6" s="26" t="s">
        <v>1430</v>
      </c>
      <c r="P6" s="26" t="s">
        <v>1431</v>
      </c>
      <c r="Q6" s="26" t="s">
        <v>1432</v>
      </c>
      <c r="R6" s="26" t="s">
        <v>1433</v>
      </c>
      <c r="S6" s="26" t="s">
        <v>1434</v>
      </c>
      <c r="T6" s="26" t="s">
        <v>1435</v>
      </c>
      <c r="U6" s="26" t="s">
        <v>1436</v>
      </c>
      <c r="V6" s="26" t="s">
        <v>1437</v>
      </c>
      <c r="W6" s="26" t="s">
        <v>1438</v>
      </c>
      <c r="X6" s="26" t="s">
        <v>1439</v>
      </c>
      <c r="Y6" s="26" t="s">
        <v>1440</v>
      </c>
      <c r="Z6" s="26" t="s">
        <v>1441</v>
      </c>
      <c r="AA6" s="26" t="s">
        <v>1442</v>
      </c>
      <c r="AB6" s="26" t="s">
        <v>1641</v>
      </c>
      <c r="AC6" s="26" t="s">
        <v>1642</v>
      </c>
      <c r="AD6" s="26" t="s">
        <v>918</v>
      </c>
      <c r="AE6" s="26" t="s">
        <v>1110</v>
      </c>
      <c r="AF6" s="26" t="s">
        <v>1118</v>
      </c>
      <c r="AG6" s="26" t="s">
        <v>745</v>
      </c>
      <c r="AH6" s="26" t="s">
        <v>746</v>
      </c>
      <c r="AI6" s="26" t="s">
        <v>646</v>
      </c>
      <c r="AJ6" s="26" t="s">
        <v>647</v>
      </c>
      <c r="AK6" s="26" t="s">
        <v>648</v>
      </c>
      <c r="AL6" s="26" t="s">
        <v>649</v>
      </c>
      <c r="AM6" s="26" t="s">
        <v>650</v>
      </c>
      <c r="AN6" s="26" t="s">
        <v>651</v>
      </c>
      <c r="AO6" s="26" t="s">
        <v>652</v>
      </c>
      <c r="AP6" s="26" t="s">
        <v>653</v>
      </c>
      <c r="AQ6" s="26" t="s">
        <v>654</v>
      </c>
      <c r="AR6" s="26" t="s">
        <v>655</v>
      </c>
      <c r="AS6" s="26" t="s">
        <v>656</v>
      </c>
      <c r="AT6" s="26" t="s">
        <v>657</v>
      </c>
      <c r="AU6" s="26" t="s">
        <v>658</v>
      </c>
      <c r="AV6" s="26" t="s">
        <v>659</v>
      </c>
      <c r="AW6" s="26" t="s">
        <v>660</v>
      </c>
      <c r="AX6" s="26" t="s">
        <v>661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7">
        <f>SUM(tx_curr_T[[#This Row],[A_tx_curr_u1_unk_pos]:[A_tx_curr_1014_m_pos]])</f>
        <v>0</v>
      </c>
      <c r="AC7" s="167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tx_curr_T[[D_tx_curr_o15_fy19]:[D_tx_curr_o15_fy19]]*tx_curr_T[A_tx_curr_2529_m_pos]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50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50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50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50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AC7">
    <cfRule type="expression" dxfId="318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topLeftCell="V1" zoomScaleNormal="100" workbookViewId="0">
      <pane ySplit="4" topLeftCell="A5" activePane="bottomLeft" state="frozen"/>
      <selection pane="bottomLeft" activeCell="AI7" sqref="AI7:AL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8"/>
      <c r="C1" s="141" t="s">
        <v>5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48" t="s">
        <v>1645</v>
      </c>
      <c r="AJ1" s="149"/>
      <c r="AK1" s="149"/>
      <c r="AL1" s="150"/>
      <c r="AM1" s="59" t="s">
        <v>1185</v>
      </c>
      <c r="AN1" s="60"/>
      <c r="AO1" s="60"/>
      <c r="AP1" s="119" t="s">
        <v>1184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</row>
    <row r="2" spans="1:66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9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359</v>
      </c>
      <c r="AC3" s="57"/>
      <c r="AD3" s="57"/>
      <c r="AE3" s="57"/>
      <c r="AF3" s="58"/>
      <c r="AG3" s="56" t="s">
        <v>360</v>
      </c>
      <c r="AH3" s="58"/>
      <c r="AI3" s="159" t="s">
        <v>1643</v>
      </c>
      <c r="AJ3" s="159"/>
      <c r="AK3" s="159"/>
      <c r="AL3" s="159"/>
      <c r="AM3" s="62" t="s">
        <v>748</v>
      </c>
      <c r="AN3" s="64"/>
      <c r="AO3" s="66"/>
      <c r="AP3" s="125" t="s">
        <v>780</v>
      </c>
      <c r="AQ3" s="126"/>
      <c r="AR3" s="126"/>
      <c r="AS3" s="127"/>
      <c r="AT3" s="125" t="s">
        <v>781</v>
      </c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38" t="s">
        <v>359</v>
      </c>
      <c r="BI3" s="139"/>
      <c r="BJ3" s="139"/>
      <c r="BK3" s="139"/>
      <c r="BL3" s="140"/>
      <c r="BM3" s="138" t="s">
        <v>360</v>
      </c>
      <c r="BN3" s="140"/>
    </row>
    <row r="4" spans="1:66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13" t="s">
        <v>351</v>
      </c>
      <c r="AB4" s="8" t="s">
        <v>352</v>
      </c>
      <c r="AC4" s="13" t="s">
        <v>353</v>
      </c>
      <c r="AD4" s="13" t="s">
        <v>354</v>
      </c>
      <c r="AE4" s="13" t="s">
        <v>355</v>
      </c>
      <c r="AF4" s="9" t="s">
        <v>356</v>
      </c>
      <c r="AG4" s="8" t="s">
        <v>357</v>
      </c>
      <c r="AH4" s="9" t="s">
        <v>358</v>
      </c>
      <c r="AI4" s="158" t="s">
        <v>780</v>
      </c>
      <c r="AJ4" s="158" t="s">
        <v>781</v>
      </c>
      <c r="AK4" s="158" t="s">
        <v>359</v>
      </c>
      <c r="AL4" s="158" t="s">
        <v>360</v>
      </c>
      <c r="AM4" s="10" t="s">
        <v>5</v>
      </c>
      <c r="AN4" s="11" t="s">
        <v>778</v>
      </c>
      <c r="AO4" s="11" t="s">
        <v>779</v>
      </c>
      <c r="AP4" s="128" t="s">
        <v>334</v>
      </c>
      <c r="AQ4" s="129" t="s">
        <v>339</v>
      </c>
      <c r="AR4" s="129" t="s">
        <v>335</v>
      </c>
      <c r="AS4" s="130" t="s">
        <v>336</v>
      </c>
      <c r="AT4" s="129" t="s">
        <v>337</v>
      </c>
      <c r="AU4" s="129" t="s">
        <v>338</v>
      </c>
      <c r="AV4" s="129" t="s">
        <v>340</v>
      </c>
      <c r="AW4" s="129" t="s">
        <v>341</v>
      </c>
      <c r="AX4" s="129" t="s">
        <v>342</v>
      </c>
      <c r="AY4" s="129" t="s">
        <v>343</v>
      </c>
      <c r="AZ4" s="129" t="s">
        <v>344</v>
      </c>
      <c r="BA4" s="129" t="s">
        <v>345</v>
      </c>
      <c r="BB4" s="129" t="s">
        <v>346</v>
      </c>
      <c r="BC4" s="129" t="s">
        <v>347</v>
      </c>
      <c r="BD4" s="129" t="s">
        <v>348</v>
      </c>
      <c r="BE4" s="129" t="s">
        <v>349</v>
      </c>
      <c r="BF4" s="129" t="s">
        <v>350</v>
      </c>
      <c r="BG4" s="129" t="s">
        <v>351</v>
      </c>
      <c r="BH4" s="128" t="s">
        <v>352</v>
      </c>
      <c r="BI4" s="129" t="s">
        <v>353</v>
      </c>
      <c r="BJ4" s="129" t="s">
        <v>354</v>
      </c>
      <c r="BK4" s="129" t="s">
        <v>355</v>
      </c>
      <c r="BL4" s="130" t="s">
        <v>356</v>
      </c>
      <c r="BM4" s="128" t="s">
        <v>357</v>
      </c>
      <c r="BN4" s="130" t="s">
        <v>358</v>
      </c>
    </row>
    <row r="5" spans="1:66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1443</v>
      </c>
      <c r="K6" s="26" t="s">
        <v>1444</v>
      </c>
      <c r="L6" s="26" t="s">
        <v>1445</v>
      </c>
      <c r="M6" s="26" t="s">
        <v>1446</v>
      </c>
      <c r="N6" s="26" t="s">
        <v>1447</v>
      </c>
      <c r="O6" s="26" t="s">
        <v>1448</v>
      </c>
      <c r="P6" s="26" t="s">
        <v>1449</v>
      </c>
      <c r="Q6" s="26" t="s">
        <v>1450</v>
      </c>
      <c r="R6" s="26" t="s">
        <v>1451</v>
      </c>
      <c r="S6" s="26" t="s">
        <v>1452</v>
      </c>
      <c r="T6" s="26" t="s">
        <v>1453</v>
      </c>
      <c r="U6" s="26" t="s">
        <v>1454</v>
      </c>
      <c r="V6" s="26" t="s">
        <v>1455</v>
      </c>
      <c r="W6" s="26" t="s">
        <v>1456</v>
      </c>
      <c r="X6" s="26" t="s">
        <v>1457</v>
      </c>
      <c r="Y6" s="26" t="s">
        <v>1458</v>
      </c>
      <c r="Z6" s="26" t="s">
        <v>1459</v>
      </c>
      <c r="AA6" s="26" t="s">
        <v>1460</v>
      </c>
      <c r="AB6" s="26" t="s">
        <v>1461</v>
      </c>
      <c r="AC6" s="26" t="s">
        <v>1462</v>
      </c>
      <c r="AD6" s="26" t="s">
        <v>1463</v>
      </c>
      <c r="AE6" s="26" t="s">
        <v>1464</v>
      </c>
      <c r="AF6" s="26" t="s">
        <v>1465</v>
      </c>
      <c r="AG6" s="26" t="s">
        <v>1466</v>
      </c>
      <c r="AH6" s="26" t="s">
        <v>1467</v>
      </c>
      <c r="AI6" s="26" t="s">
        <v>1641</v>
      </c>
      <c r="AJ6" s="26" t="s">
        <v>1642</v>
      </c>
      <c r="AK6" s="26" t="s">
        <v>1644</v>
      </c>
      <c r="AL6" s="26" t="s">
        <v>1646</v>
      </c>
      <c r="AM6" s="26" t="s">
        <v>917</v>
      </c>
      <c r="AN6" s="26" t="s">
        <v>1112</v>
      </c>
      <c r="AO6" s="26" t="s">
        <v>1119</v>
      </c>
      <c r="AP6" s="26" t="s">
        <v>777</v>
      </c>
      <c r="AQ6" s="26" t="s">
        <v>747</v>
      </c>
      <c r="AR6" s="26" t="s">
        <v>662</v>
      </c>
      <c r="AS6" s="26" t="s">
        <v>663</v>
      </c>
      <c r="AT6" s="26" t="s">
        <v>664</v>
      </c>
      <c r="AU6" s="26" t="s">
        <v>665</v>
      </c>
      <c r="AV6" s="26" t="s">
        <v>666</v>
      </c>
      <c r="AW6" s="26" t="s">
        <v>667</v>
      </c>
      <c r="AX6" s="26" t="s">
        <v>668</v>
      </c>
      <c r="AY6" s="26" t="s">
        <v>669</v>
      </c>
      <c r="AZ6" s="26" t="s">
        <v>670</v>
      </c>
      <c r="BA6" s="26" t="s">
        <v>671</v>
      </c>
      <c r="BB6" s="26" t="s">
        <v>672</v>
      </c>
      <c r="BC6" s="26" t="s">
        <v>673</v>
      </c>
      <c r="BD6" s="26" t="s">
        <v>674</v>
      </c>
      <c r="BE6" s="26" t="s">
        <v>675</v>
      </c>
      <c r="BF6" s="26" t="s">
        <v>676</v>
      </c>
      <c r="BG6" s="26" t="s">
        <v>677</v>
      </c>
      <c r="BH6" s="26" t="s">
        <v>678</v>
      </c>
      <c r="BI6" s="26" t="s">
        <v>679</v>
      </c>
      <c r="BJ6" s="26" t="s">
        <v>680</v>
      </c>
      <c r="BK6" s="26" t="s">
        <v>681</v>
      </c>
      <c r="BL6" s="26" t="s">
        <v>682</v>
      </c>
      <c r="BM6" s="26" t="s">
        <v>683</v>
      </c>
      <c r="BN6" s="26" t="s">
        <v>684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7">
        <f>SUM(tx_new_T[[#This Row],[A_tx_new_u01_unk_pos]:[A_tx_new_1014_m_pos]])</f>
        <v>0</v>
      </c>
      <c r="AJ7" s="167">
        <f>SUM(tx_new_T[[#This Row],[A_tx_new_1519_f_pos]:[A_tx_new_o50_m_pos]])</f>
        <v>0</v>
      </c>
      <c r="AK7" s="167">
        <f>SUM(tx_new_T[[#This Row],[A_tx_new_fsw_pos]:[A_tx_new_tg_pos]])</f>
        <v>0</v>
      </c>
      <c r="AL7" s="167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50"/>
      <c r="BI7" s="50"/>
      <c r="BJ7" s="50"/>
      <c r="BK7" s="50"/>
      <c r="BL7" s="50"/>
      <c r="BM7" s="50"/>
      <c r="BN7" s="50"/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</row>
    <row r="13" spans="1:6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</row>
    <row r="14" spans="1:6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</row>
    <row r="15" spans="1:6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</row>
    <row r="16" spans="1:6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</row>
    <row r="17" spans="1:3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</row>
    <row r="18" spans="1:3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</row>
    <row r="19" spans="1:3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</row>
    <row r="20" spans="1:3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</row>
    <row r="21" spans="1:3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</row>
    <row r="22" spans="1:3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</row>
    <row r="23" spans="1:3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</row>
    <row r="24" spans="1:3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</row>
    <row r="25" spans="1:3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</row>
    <row r="26" spans="1:3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</row>
    <row r="27" spans="1:3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</row>
    <row r="28" spans="1:3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</row>
    <row r="29" spans="1:3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</row>
    <row r="30" spans="1:3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</row>
    <row r="31" spans="1:3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</row>
    <row r="32" spans="1:3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</row>
    <row r="33" spans="1:3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</row>
    <row r="34" spans="1:3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</row>
    <row r="35" spans="1:3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</row>
    <row r="36" spans="1:3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</row>
    <row r="37" spans="1:3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</row>
    <row r="38" spans="1:3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</row>
    <row r="39" spans="1:3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</row>
    <row r="40" spans="1:3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</row>
    <row r="41" spans="1:3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</row>
    <row r="42" spans="1:3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</row>
    <row r="43" spans="1:3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</row>
    <row r="44" spans="1:3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</row>
    <row r="45" spans="1:3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</row>
    <row r="46" spans="1:3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</row>
    <row r="47" spans="1:3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</row>
    <row r="48" spans="1:3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</row>
    <row r="49" spans="1:3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</row>
    <row r="50" spans="1:3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</row>
    <row r="51" spans="1:3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</row>
    <row r="52" spans="1:3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</row>
    <row r="53" spans="1:3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</row>
    <row r="54" spans="1:3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</row>
    <row r="55" spans="1:3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</row>
    <row r="56" spans="1:3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</row>
    <row r="57" spans="1:3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</row>
    <row r="58" spans="1:3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</row>
    <row r="59" spans="1:3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</row>
    <row r="60" spans="1:3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</row>
    <row r="61" spans="1:3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</row>
    <row r="62" spans="1:3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</row>
    <row r="63" spans="1:3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</row>
    <row r="64" spans="1:3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</row>
    <row r="65" spans="1:3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</row>
    <row r="66" spans="1:3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</row>
    <row r="67" spans="1:3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</row>
    <row r="68" spans="1:3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</row>
    <row r="69" spans="1:3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</row>
    <row r="70" spans="1:3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</row>
    <row r="71" spans="1:3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</row>
    <row r="72" spans="1:3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</row>
    <row r="73" spans="1:3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</row>
    <row r="74" spans="1:3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</row>
    <row r="75" spans="1:3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</row>
    <row r="76" spans="1:3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</row>
    <row r="77" spans="1:3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</row>
    <row r="78" spans="1:3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</row>
    <row r="79" spans="1:3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</row>
    <row r="80" spans="1:3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</row>
    <row r="81" spans="1:3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</row>
    <row r="82" spans="1:3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</row>
    <row r="83" spans="1:3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</row>
    <row r="84" spans="1:3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</row>
    <row r="85" spans="1:3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</row>
    <row r="86" spans="1:3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</row>
    <row r="87" spans="1:3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</row>
    <row r="88" spans="1:3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</row>
    <row r="89" spans="1:3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</row>
    <row r="90" spans="1:3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</row>
    <row r="91" spans="1:3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</row>
    <row r="92" spans="1:3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</row>
    <row r="93" spans="1:3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</row>
    <row r="94" spans="1:3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</row>
    <row r="95" spans="1:3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</row>
    <row r="96" spans="1:3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</row>
    <row r="97" spans="1:3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</row>
    <row r="98" spans="1:3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</row>
    <row r="99" spans="1:3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</row>
    <row r="100" spans="1:3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</row>
    <row r="101" spans="1:3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</row>
    <row r="102" spans="1:3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</row>
    <row r="103" spans="1:3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</row>
    <row r="104" spans="1:3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</row>
    <row r="105" spans="1:3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</row>
    <row r="106" spans="1:3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</row>
    <row r="107" spans="1:3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</row>
    <row r="108" spans="1:3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</row>
    <row r="109" spans="1:3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</row>
    <row r="110" spans="1:3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</row>
    <row r="111" spans="1:3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</row>
    <row r="112" spans="1:3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</row>
    <row r="113" spans="1:3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</row>
    <row r="114" spans="1:3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</row>
    <row r="115" spans="1:3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</row>
    <row r="116" spans="1:3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</row>
    <row r="117" spans="1:3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</row>
    <row r="118" spans="1:3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</row>
    <row r="119" spans="1:3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</row>
    <row r="120" spans="1:3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</row>
    <row r="121" spans="1:3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</row>
    <row r="122" spans="1:3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</row>
    <row r="123" spans="1:3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</row>
    <row r="124" spans="1:3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</row>
    <row r="125" spans="1:3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</row>
    <row r="126" spans="1:3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</row>
    <row r="127" spans="1:3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</row>
    <row r="128" spans="1:3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</row>
    <row r="129" spans="1:3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</row>
    <row r="130" spans="1:3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</row>
    <row r="131" spans="1:3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</row>
    <row r="132" spans="1:3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</row>
    <row r="133" spans="1:3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</row>
    <row r="134" spans="1:3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</row>
    <row r="135" spans="1:3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</row>
    <row r="136" spans="1:3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</row>
    <row r="137" spans="1:3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</row>
    <row r="138" spans="1:3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</row>
    <row r="139" spans="1:3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</row>
    <row r="140" spans="1:3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</row>
    <row r="141" spans="1:3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</row>
    <row r="142" spans="1:3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</row>
    <row r="143" spans="1:3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</row>
    <row r="144" spans="1:3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</row>
    <row r="145" spans="1:3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</row>
    <row r="146" spans="1:3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</row>
    <row r="147" spans="1:3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</row>
    <row r="148" spans="1:3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</row>
    <row r="149" spans="1:3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</row>
    <row r="150" spans="1:3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</row>
    <row r="151" spans="1:3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</row>
    <row r="152" spans="1:3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</row>
    <row r="153" spans="1:3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</row>
    <row r="154" spans="1:3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</row>
    <row r="155" spans="1:3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</row>
    <row r="156" spans="1:3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</row>
    <row r="157" spans="1:3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</row>
    <row r="158" spans="1:3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</row>
    <row r="159" spans="1:3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</row>
    <row r="160" spans="1:3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</row>
    <row r="161" spans="1:3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</row>
    <row r="162" spans="1:3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</row>
    <row r="163" spans="1:3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</row>
    <row r="164" spans="1:3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</row>
    <row r="165" spans="1:3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</row>
    <row r="166" spans="1:3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</row>
    <row r="167" spans="1:3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</row>
    <row r="168" spans="1:3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</row>
    <row r="169" spans="1:3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</row>
    <row r="170" spans="1:3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</row>
    <row r="171" spans="1:3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</row>
    <row r="172" spans="1:3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</row>
    <row r="173" spans="1:3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</row>
    <row r="174" spans="1:3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</row>
    <row r="175" spans="1:3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</row>
    <row r="176" spans="1:3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</row>
    <row r="177" spans="1:3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</row>
    <row r="178" spans="1:3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</row>
    <row r="179" spans="1:3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</row>
    <row r="180" spans="1:3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</row>
    <row r="181" spans="1:3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</row>
    <row r="182" spans="1:3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</row>
    <row r="183" spans="1:3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</row>
    <row r="184" spans="1:3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</row>
    <row r="185" spans="1:3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</row>
    <row r="186" spans="1:3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</row>
    <row r="187" spans="1:3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</row>
    <row r="188" spans="1:3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</row>
    <row r="189" spans="1:3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</row>
    <row r="190" spans="1:3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</row>
    <row r="191" spans="1:3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</row>
    <row r="192" spans="1:3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</row>
    <row r="193" spans="1:3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</row>
    <row r="194" spans="1:3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</row>
    <row r="195" spans="1:3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</row>
    <row r="196" spans="1:3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</row>
    <row r="197" spans="1:3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</row>
    <row r="198" spans="1:3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</row>
    <row r="199" spans="1:3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</row>
    <row r="200" spans="1:3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</row>
    <row r="201" spans="1:3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</row>
    <row r="202" spans="1:3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</row>
    <row r="203" spans="1:3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</row>
    <row r="204" spans="1:3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</row>
    <row r="205" spans="1:3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</row>
    <row r="206" spans="1:3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</row>
    <row r="207" spans="1:3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</row>
    <row r="208" spans="1:3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</row>
    <row r="209" spans="1:3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</row>
    <row r="210" spans="1:3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</row>
    <row r="211" spans="1:3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</row>
    <row r="212" spans="1:3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</row>
    <row r="213" spans="1:3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</row>
    <row r="214" spans="1:3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</row>
    <row r="215" spans="1:3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</row>
    <row r="216" spans="1:3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</row>
    <row r="217" spans="1:3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</row>
    <row r="218" spans="1:3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</row>
    <row r="219" spans="1:3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</row>
    <row r="220" spans="1:3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</row>
    <row r="221" spans="1:3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</row>
    <row r="222" spans="1:3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</row>
    <row r="223" spans="1:3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</row>
    <row r="224" spans="1:3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</row>
    <row r="225" spans="1:3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</row>
    <row r="226" spans="1:3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</row>
    <row r="227" spans="1:3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</row>
    <row r="228" spans="1:3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</row>
    <row r="229" spans="1:3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</row>
    <row r="230" spans="1:3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</row>
    <row r="231" spans="1:3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</row>
    <row r="232" spans="1:3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</row>
    <row r="233" spans="1:3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</row>
    <row r="234" spans="1:3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</row>
    <row r="235" spans="1:3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</row>
    <row r="236" spans="1:3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</row>
    <row r="237" spans="1:3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</row>
    <row r="238" spans="1:3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</row>
    <row r="239" spans="1:3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</row>
    <row r="240" spans="1:3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</row>
    <row r="241" spans="1:3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</row>
    <row r="242" spans="1:3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</row>
    <row r="243" spans="1:3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</row>
    <row r="244" spans="1:3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</row>
    <row r="245" spans="1:3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</row>
    <row r="246" spans="1:3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</row>
    <row r="247" spans="1:3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</row>
    <row r="248" spans="1:3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</row>
    <row r="249" spans="1:3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</row>
    <row r="250" spans="1:3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</row>
    <row r="251" spans="1:3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</row>
    <row r="252" spans="1:3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</row>
    <row r="253" spans="1:3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</row>
    <row r="254" spans="1:3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</row>
    <row r="255" spans="1:3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</row>
    <row r="256" spans="1:3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</row>
    <row r="257" spans="1:3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</row>
    <row r="258" spans="1:3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</row>
    <row r="259" spans="1:3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</row>
    <row r="260" spans="1:3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</row>
    <row r="261" spans="1:3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</row>
    <row r="262" spans="1:3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</row>
    <row r="263" spans="1:3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</row>
    <row r="264" spans="1:3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</row>
    <row r="265" spans="1:3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</row>
    <row r="266" spans="1:3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</row>
    <row r="267" spans="1:3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</row>
    <row r="268" spans="1:3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</row>
    <row r="269" spans="1:3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</row>
    <row r="270" spans="1:3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</row>
    <row r="271" spans="1:3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</row>
    <row r="272" spans="1:3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</row>
    <row r="273" spans="1:3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</row>
    <row r="274" spans="1:3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</row>
    <row r="275" spans="1:3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</row>
    <row r="276" spans="1:3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</row>
    <row r="277" spans="1:3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</row>
    <row r="278" spans="1:3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</row>
    <row r="279" spans="1:3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</row>
    <row r="280" spans="1:3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</row>
    <row r="281" spans="1:3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</row>
    <row r="282" spans="1:3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</row>
    <row r="283" spans="1:3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</row>
    <row r="284" spans="1:3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</row>
    <row r="285" spans="1:3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</row>
    <row r="286" spans="1:3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</row>
    <row r="287" spans="1:3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</row>
    <row r="288" spans="1:3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</row>
    <row r="289" spans="1:3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</row>
    <row r="290" spans="1:3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</row>
    <row r="291" spans="1:3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</row>
    <row r="292" spans="1:3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</row>
    <row r="293" spans="1:3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</row>
    <row r="294" spans="1:3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</row>
    <row r="295" spans="1:3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</row>
    <row r="296" spans="1:3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</row>
    <row r="297" spans="1:3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</row>
    <row r="298" spans="1:3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</row>
    <row r="299" spans="1:3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</row>
    <row r="300" spans="1:3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</row>
    <row r="301" spans="1:3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</row>
    <row r="302" spans="1:3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</row>
    <row r="303" spans="1:3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</row>
    <row r="304" spans="1:3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</row>
    <row r="305" spans="1:3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</row>
    <row r="306" spans="1:3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</row>
    <row r="307" spans="1:3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</row>
    <row r="308" spans="1:3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</row>
    <row r="309" spans="1:3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</row>
    <row r="310" spans="1:3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</row>
    <row r="311" spans="1:3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</row>
    <row r="312" spans="1:3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</row>
    <row r="313" spans="1:3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</row>
    <row r="314" spans="1:3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</row>
    <row r="315" spans="1:3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</row>
    <row r="316" spans="1:3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</row>
    <row r="317" spans="1:3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</row>
    <row r="318" spans="1:3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</row>
    <row r="319" spans="1:3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</row>
    <row r="320" spans="1:3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</row>
    <row r="321" spans="1:3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</row>
    <row r="322" spans="1:3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</row>
    <row r="323" spans="1:3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</row>
    <row r="324" spans="1:3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</row>
    <row r="325" spans="1:3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</row>
    <row r="326" spans="1:3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</row>
    <row r="327" spans="1:3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</row>
    <row r="328" spans="1:3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</row>
    <row r="329" spans="1:3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</row>
    <row r="330" spans="1:3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</row>
    <row r="331" spans="1:3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</row>
    <row r="332" spans="1:3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</row>
    <row r="333" spans="1:3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</row>
    <row r="334" spans="1:3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</row>
    <row r="335" spans="1:3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</row>
    <row r="336" spans="1:3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</row>
    <row r="337" spans="1:3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</row>
    <row r="338" spans="1:3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</row>
    <row r="339" spans="1:3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</row>
    <row r="340" spans="1:3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</row>
    <row r="341" spans="1:3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</row>
    <row r="342" spans="1:3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</row>
    <row r="343" spans="1:3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</row>
    <row r="344" spans="1:3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</row>
    <row r="345" spans="1:3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</row>
    <row r="346" spans="1:3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</row>
    <row r="347" spans="1:3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</row>
    <row r="348" spans="1:3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</row>
    <row r="349" spans="1:3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</row>
    <row r="350" spans="1:3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</row>
    <row r="351" spans="1:3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</row>
    <row r="352" spans="1:3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</row>
    <row r="353" spans="1:3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</row>
    <row r="354" spans="1:3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</row>
    <row r="355" spans="1:3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</row>
    <row r="356" spans="1:3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</row>
    <row r="357" spans="1:3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</row>
    <row r="358" spans="1:3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</row>
    <row r="359" spans="1:3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</row>
    <row r="360" spans="1:3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</row>
    <row r="361" spans="1:3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</row>
    <row r="362" spans="1:3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</row>
    <row r="363" spans="1:3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</row>
    <row r="364" spans="1:3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</row>
    <row r="365" spans="1:3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</row>
    <row r="366" spans="1:3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</row>
    <row r="367" spans="1:3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</row>
    <row r="368" spans="1:3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</row>
    <row r="369" spans="1:3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</row>
    <row r="370" spans="1:3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</row>
    <row r="371" spans="1:3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</row>
    <row r="372" spans="1:3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</row>
    <row r="373" spans="1:3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</row>
    <row r="374" spans="1:3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</row>
    <row r="375" spans="1:3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</row>
    <row r="376" spans="1:3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</row>
    <row r="377" spans="1:3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</row>
    <row r="378" spans="1:3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</row>
    <row r="379" spans="1:3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</row>
    <row r="380" spans="1:3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</row>
    <row r="381" spans="1:3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</row>
    <row r="382" spans="1:3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</row>
    <row r="383" spans="1:3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</row>
    <row r="384" spans="1:3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</row>
    <row r="385" spans="1:3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</row>
    <row r="386" spans="1:3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</row>
    <row r="387" spans="1:3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</row>
    <row r="388" spans="1:3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</row>
    <row r="389" spans="1:3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</row>
    <row r="390" spans="1:3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</row>
    <row r="391" spans="1:3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</row>
    <row r="392" spans="1:3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</row>
    <row r="393" spans="1:3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</row>
    <row r="394" spans="1:3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</row>
    <row r="395" spans="1:3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</row>
    <row r="396" spans="1:3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</row>
    <row r="397" spans="1:3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</row>
    <row r="398" spans="1:3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</row>
    <row r="399" spans="1:3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</row>
    <row r="400" spans="1:3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</row>
    <row r="401" spans="1:3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</row>
    <row r="402" spans="1:3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</row>
    <row r="403" spans="1:3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</row>
    <row r="404" spans="1:3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</row>
    <row r="405" spans="1:3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</row>
    <row r="406" spans="1:3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</row>
    <row r="407" spans="1:3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</row>
    <row r="408" spans="1:3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</row>
    <row r="409" spans="1:3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</row>
    <row r="410" spans="1:3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</row>
    <row r="411" spans="1:3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</row>
    <row r="412" spans="1:3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</row>
    <row r="413" spans="1:3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</row>
    <row r="414" spans="1:3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</row>
    <row r="415" spans="1:3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</row>
    <row r="416" spans="1:3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</row>
    <row r="417" spans="1:3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</row>
    <row r="418" spans="1:3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</row>
    <row r="419" spans="1:3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</row>
    <row r="420" spans="1:3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</row>
    <row r="421" spans="1:3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</row>
    <row r="422" spans="1:3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</row>
    <row r="423" spans="1:3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</row>
    <row r="424" spans="1:3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</row>
    <row r="425" spans="1:3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</row>
    <row r="426" spans="1:3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</row>
    <row r="427" spans="1:3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</row>
    <row r="428" spans="1:3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</row>
    <row r="429" spans="1:3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</row>
    <row r="430" spans="1:3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</row>
    <row r="431" spans="1:3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</row>
    <row r="432" spans="1:3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</row>
    <row r="433" spans="1:3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</row>
    <row r="434" spans="1:3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</row>
    <row r="435" spans="1:3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</row>
    <row r="436" spans="1:3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</row>
    <row r="437" spans="1:3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</row>
    <row r="438" spans="1:3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</row>
    <row r="439" spans="1:3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</row>
    <row r="440" spans="1:3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</row>
    <row r="441" spans="1:3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</row>
    <row r="442" spans="1:3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</row>
    <row r="443" spans="1:3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</row>
    <row r="444" spans="1:3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</row>
    <row r="445" spans="1:3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</row>
    <row r="446" spans="1:3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</row>
    <row r="447" spans="1:3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</row>
    <row r="448" spans="1:3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</row>
    <row r="449" spans="1:3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</row>
    <row r="450" spans="1:3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</row>
    <row r="451" spans="1:3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</row>
    <row r="452" spans="1:3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</row>
    <row r="453" spans="1:3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</row>
    <row r="454" spans="1:3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</row>
    <row r="455" spans="1:3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</row>
    <row r="456" spans="1:3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</row>
    <row r="457" spans="1:3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</row>
    <row r="458" spans="1:3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</row>
    <row r="459" spans="1:3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</row>
    <row r="460" spans="1:3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</row>
    <row r="461" spans="1:3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</row>
    <row r="462" spans="1:3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</row>
    <row r="463" spans="1:3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</row>
    <row r="464" spans="1:3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</row>
    <row r="465" spans="1:3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</row>
    <row r="466" spans="1:3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</row>
    <row r="467" spans="1:3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</row>
    <row r="468" spans="1:3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</row>
    <row r="469" spans="1:3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</row>
    <row r="470" spans="1:3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</row>
    <row r="471" spans="1:3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</row>
    <row r="472" spans="1:3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</row>
    <row r="473" spans="1:3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</row>
    <row r="474" spans="1:3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</row>
    <row r="475" spans="1:3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</row>
    <row r="476" spans="1:3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</row>
    <row r="477" spans="1:3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</row>
    <row r="478" spans="1:3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</row>
    <row r="479" spans="1:3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</row>
    <row r="480" spans="1:3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</row>
    <row r="481" spans="1:3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</row>
    <row r="482" spans="1:3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</row>
    <row r="483" spans="1:3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</row>
    <row r="484" spans="1:3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</row>
    <row r="485" spans="1:3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</row>
    <row r="486" spans="1:3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</row>
    <row r="487" spans="1:3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</row>
    <row r="488" spans="1:3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</row>
    <row r="489" spans="1:3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</row>
    <row r="490" spans="1:3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</row>
    <row r="491" spans="1:3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</row>
    <row r="492" spans="1:3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</row>
    <row r="493" spans="1:3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</row>
    <row r="494" spans="1:3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</row>
    <row r="495" spans="1:3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</row>
    <row r="496" spans="1:3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</row>
    <row r="497" spans="1:3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</row>
    <row r="498" spans="1:3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</row>
    <row r="499" spans="1:3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</row>
    <row r="500" spans="1:3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</row>
    <row r="501" spans="1:3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</row>
    <row r="502" spans="1:3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</row>
    <row r="503" spans="1:3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</row>
    <row r="504" spans="1:3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</row>
    <row r="505" spans="1:3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</row>
    <row r="506" spans="1:3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</row>
    <row r="507" spans="1:3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</row>
    <row r="508" spans="1:3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</row>
    <row r="509" spans="1:3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</row>
    <row r="510" spans="1:3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</row>
    <row r="511" spans="1:3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</row>
    <row r="512" spans="1:3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</row>
    <row r="513" spans="1:3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</row>
    <row r="514" spans="1:3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</row>
    <row r="515" spans="1:3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</row>
    <row r="516" spans="1:3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</row>
    <row r="517" spans="1:3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</row>
    <row r="518" spans="1:3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</row>
    <row r="519" spans="1:3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</row>
    <row r="520" spans="1:3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</row>
    <row r="521" spans="1:3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</row>
    <row r="522" spans="1:3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</row>
    <row r="523" spans="1:3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</row>
    <row r="524" spans="1:3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</row>
    <row r="525" spans="1:3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</row>
    <row r="526" spans="1:3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</row>
    <row r="527" spans="1:3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</row>
    <row r="528" spans="1:3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</row>
    <row r="529" spans="1:3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</row>
    <row r="530" spans="1:3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</row>
    <row r="531" spans="1:3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</row>
    <row r="532" spans="1:3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</row>
    <row r="533" spans="1:3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</row>
    <row r="534" spans="1:3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</row>
    <row r="535" spans="1:3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</row>
    <row r="536" spans="1:3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</row>
    <row r="537" spans="1:3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</row>
    <row r="538" spans="1:3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</row>
    <row r="539" spans="1:3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</row>
    <row r="540" spans="1:3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</row>
    <row r="541" spans="1:3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</row>
    <row r="542" spans="1:3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</row>
    <row r="543" spans="1:3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</row>
    <row r="544" spans="1:3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</row>
    <row r="545" spans="1:3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</row>
    <row r="546" spans="1:3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</row>
    <row r="547" spans="1:3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</row>
    <row r="548" spans="1:3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</row>
    <row r="549" spans="1:3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</row>
    <row r="550" spans="1:3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</row>
    <row r="551" spans="1:3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</row>
    <row r="552" spans="1:3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</row>
    <row r="553" spans="1:3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</row>
    <row r="554" spans="1:3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</row>
    <row r="555" spans="1:3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</row>
    <row r="556" spans="1:3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</row>
    <row r="557" spans="1:3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</row>
    <row r="558" spans="1:3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</row>
    <row r="559" spans="1:3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</row>
    <row r="560" spans="1:3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</row>
    <row r="561" spans="1:3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</row>
    <row r="562" spans="1:3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</row>
    <row r="563" spans="1:3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</row>
    <row r="564" spans="1:3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</row>
    <row r="565" spans="1:3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</row>
    <row r="566" spans="1:3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</row>
    <row r="567" spans="1:3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</row>
    <row r="568" spans="1:3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</row>
    <row r="569" spans="1:3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</row>
    <row r="570" spans="1:3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</row>
    <row r="571" spans="1:3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</row>
    <row r="572" spans="1:3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</row>
    <row r="573" spans="1:3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</row>
    <row r="574" spans="1:3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</row>
    <row r="575" spans="1:3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</row>
    <row r="576" spans="1:3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</row>
    <row r="577" spans="1:3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</row>
    <row r="578" spans="1:3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</row>
    <row r="579" spans="1:3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</row>
    <row r="580" spans="1:3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</row>
    <row r="581" spans="1:3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</row>
    <row r="582" spans="1:3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</row>
    <row r="583" spans="1:3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</row>
    <row r="584" spans="1:3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</row>
    <row r="585" spans="1:3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</row>
    <row r="586" spans="1:3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</row>
    <row r="587" spans="1:3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</row>
    <row r="588" spans="1:3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</row>
    <row r="589" spans="1:3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</row>
    <row r="590" spans="1:3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</row>
    <row r="591" spans="1:3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</row>
    <row r="592" spans="1:3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</row>
    <row r="593" spans="1:3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</row>
    <row r="594" spans="1:3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</row>
    <row r="595" spans="1:3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</row>
    <row r="596" spans="1:3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</row>
    <row r="597" spans="1:3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</row>
    <row r="598" spans="1:3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</row>
    <row r="599" spans="1:3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</row>
    <row r="600" spans="1:3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</row>
    <row r="601" spans="1:3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</row>
    <row r="602" spans="1:3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</row>
    <row r="603" spans="1:3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</row>
    <row r="604" spans="1:3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</row>
    <row r="605" spans="1:3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</row>
    <row r="606" spans="1:3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</row>
    <row r="607" spans="1:3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</row>
    <row r="608" spans="1:3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</row>
    <row r="609" spans="1:3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</row>
    <row r="610" spans="1:3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</row>
    <row r="611" spans="1:3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</row>
    <row r="612" spans="1:3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</row>
    <row r="613" spans="1:3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</row>
    <row r="614" spans="1:3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</row>
    <row r="615" spans="1:3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</row>
    <row r="616" spans="1:3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</row>
    <row r="617" spans="1:3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</row>
    <row r="618" spans="1:3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</row>
    <row r="619" spans="1:3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</row>
    <row r="620" spans="1:3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</row>
    <row r="621" spans="1:3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</row>
    <row r="622" spans="1:3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</row>
    <row r="623" spans="1:3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</row>
    <row r="624" spans="1:3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</row>
    <row r="625" spans="1:3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</row>
    <row r="626" spans="1:3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</row>
    <row r="627" spans="1:3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</row>
    <row r="628" spans="1:3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</row>
    <row r="629" spans="1:3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</row>
    <row r="630" spans="1:3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</row>
    <row r="631" spans="1:3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</row>
    <row r="632" spans="1:3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</row>
    <row r="633" spans="1:3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</row>
    <row r="634" spans="1:3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</row>
    <row r="635" spans="1:3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</row>
    <row r="636" spans="1:3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</row>
    <row r="637" spans="1:3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</row>
    <row r="638" spans="1:3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</row>
    <row r="639" spans="1:3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</row>
    <row r="640" spans="1:3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</row>
    <row r="641" spans="1:3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</row>
    <row r="642" spans="1:3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</row>
    <row r="643" spans="1:3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</row>
    <row r="644" spans="1:3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</row>
    <row r="645" spans="1:3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</row>
    <row r="646" spans="1:3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</row>
    <row r="647" spans="1:3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</row>
    <row r="648" spans="1:3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</row>
    <row r="649" spans="1:3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</row>
    <row r="650" spans="1:3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</row>
    <row r="651" spans="1:3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</row>
    <row r="652" spans="1:3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</row>
    <row r="653" spans="1:3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</row>
    <row r="654" spans="1:3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</row>
    <row r="655" spans="1:3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</row>
    <row r="656" spans="1:3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</row>
    <row r="657" spans="1:3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</row>
    <row r="658" spans="1:3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</row>
    <row r="659" spans="1:3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</row>
    <row r="660" spans="1:3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</row>
    <row r="661" spans="1:3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</row>
    <row r="662" spans="1:3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</row>
    <row r="663" spans="1:3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</row>
    <row r="664" spans="1:3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</row>
    <row r="665" spans="1:3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</row>
    <row r="666" spans="1:3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</row>
    <row r="667" spans="1:3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</row>
    <row r="668" spans="1:3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</row>
    <row r="669" spans="1:3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</row>
    <row r="670" spans="1:3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</row>
    <row r="671" spans="1:3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</row>
    <row r="672" spans="1:3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</row>
    <row r="673" spans="1:3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</row>
    <row r="674" spans="1:3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</row>
    <row r="675" spans="1:3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</row>
    <row r="676" spans="1:3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</row>
    <row r="677" spans="1:3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</row>
    <row r="678" spans="1:3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</row>
    <row r="679" spans="1:3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</row>
    <row r="680" spans="1:3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</row>
    <row r="681" spans="1:3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</row>
    <row r="682" spans="1:3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</row>
    <row r="683" spans="1:3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</row>
    <row r="684" spans="1:3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</row>
    <row r="685" spans="1:3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</row>
    <row r="686" spans="1:3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</row>
    <row r="687" spans="1:3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</row>
    <row r="688" spans="1:3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</row>
    <row r="689" spans="1:3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</row>
    <row r="690" spans="1:3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</row>
    <row r="691" spans="1:3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</row>
    <row r="692" spans="1:3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</row>
    <row r="693" spans="1:3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</row>
    <row r="694" spans="1:3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</row>
    <row r="695" spans="1:3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</row>
    <row r="696" spans="1:3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</row>
    <row r="697" spans="1:3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</row>
    <row r="698" spans="1:3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</row>
    <row r="699" spans="1:3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</row>
    <row r="700" spans="1:3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</row>
    <row r="701" spans="1:3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</row>
    <row r="702" spans="1:3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</row>
    <row r="703" spans="1:3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</row>
    <row r="704" spans="1:3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</row>
    <row r="705" spans="1:3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</row>
    <row r="706" spans="1:3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</row>
    <row r="707" spans="1:3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</row>
    <row r="708" spans="1:3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</row>
    <row r="709" spans="1:3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</row>
    <row r="710" spans="1:3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</row>
    <row r="711" spans="1:3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</row>
    <row r="712" spans="1:3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</row>
    <row r="713" spans="1:3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</row>
    <row r="714" spans="1:3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</row>
    <row r="715" spans="1:3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</row>
    <row r="716" spans="1:3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</row>
    <row r="717" spans="1:3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</row>
    <row r="718" spans="1:3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</row>
    <row r="719" spans="1:3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</row>
    <row r="720" spans="1:3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</row>
    <row r="721" spans="1:3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</row>
    <row r="722" spans="1:3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</row>
    <row r="723" spans="1:3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</row>
    <row r="724" spans="1:3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</row>
    <row r="725" spans="1:3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</row>
    <row r="726" spans="1:3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</row>
    <row r="727" spans="1:3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</row>
    <row r="728" spans="1:3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</row>
    <row r="729" spans="1:3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</row>
    <row r="730" spans="1:3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</row>
    <row r="731" spans="1:3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</row>
    <row r="732" spans="1:3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</row>
    <row r="733" spans="1:3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</row>
    <row r="734" spans="1:3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</row>
    <row r="735" spans="1:3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</row>
    <row r="736" spans="1:3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</row>
    <row r="737" spans="1:3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</row>
    <row r="738" spans="1:3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</row>
    <row r="739" spans="1:3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</row>
    <row r="740" spans="1:3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</row>
    <row r="741" spans="1:3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</row>
    <row r="742" spans="1:3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</row>
    <row r="743" spans="1:3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</row>
    <row r="744" spans="1:3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</row>
    <row r="745" spans="1:3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</row>
    <row r="746" spans="1:3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</row>
    <row r="747" spans="1:3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</row>
    <row r="748" spans="1:3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</row>
    <row r="749" spans="1:3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</row>
    <row r="750" spans="1:3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</row>
    <row r="751" spans="1:3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</row>
    <row r="752" spans="1:3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</row>
    <row r="753" spans="1:3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</row>
    <row r="754" spans="1:3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</row>
    <row r="755" spans="1:3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</row>
    <row r="756" spans="1:3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</row>
    <row r="757" spans="1:3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</row>
    <row r="758" spans="1:3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</row>
    <row r="759" spans="1:3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</row>
    <row r="760" spans="1:3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</row>
    <row r="761" spans="1:3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</row>
    <row r="762" spans="1:3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</row>
    <row r="763" spans="1:3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</row>
    <row r="764" spans="1:3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</row>
    <row r="765" spans="1:3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</row>
    <row r="766" spans="1:3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</row>
    <row r="767" spans="1:3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</row>
    <row r="768" spans="1:3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</row>
    <row r="769" spans="1:3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</row>
    <row r="770" spans="1:3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</row>
    <row r="771" spans="1:3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</row>
    <row r="772" spans="1:3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</row>
    <row r="773" spans="1:3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</row>
    <row r="774" spans="1:3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</row>
    <row r="775" spans="1:3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</row>
    <row r="776" spans="1:3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</row>
    <row r="777" spans="1:3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</row>
    <row r="778" spans="1:3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</row>
    <row r="779" spans="1:3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</row>
    <row r="780" spans="1:3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</row>
    <row r="781" spans="1:3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</row>
    <row r="782" spans="1:3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</row>
    <row r="783" spans="1:3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</row>
    <row r="784" spans="1:3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</row>
    <row r="785" spans="1:3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</row>
    <row r="786" spans="1:3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</row>
    <row r="787" spans="1:3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</row>
    <row r="788" spans="1:3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</row>
    <row r="789" spans="1:3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</row>
    <row r="790" spans="1:3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</row>
    <row r="791" spans="1:3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</row>
    <row r="792" spans="1:3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</row>
    <row r="793" spans="1:3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</row>
    <row r="794" spans="1:3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</row>
    <row r="795" spans="1:3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</row>
    <row r="796" spans="1:3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</row>
    <row r="797" spans="1:3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</row>
    <row r="798" spans="1:3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</row>
    <row r="799" spans="1:3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</row>
    <row r="800" spans="1:3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</row>
    <row r="801" spans="1:3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</row>
    <row r="802" spans="1:3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</row>
    <row r="803" spans="1:3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</row>
    <row r="804" spans="1:3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</row>
    <row r="805" spans="1:3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</row>
    <row r="806" spans="1:3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</row>
    <row r="807" spans="1:3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</row>
    <row r="808" spans="1:3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</row>
    <row r="809" spans="1:3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</row>
    <row r="810" spans="1:3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</row>
    <row r="811" spans="1:3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</row>
    <row r="812" spans="1:3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</row>
    <row r="813" spans="1:3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</row>
    <row r="814" spans="1:3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</row>
    <row r="815" spans="1:3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</row>
    <row r="816" spans="1:3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</row>
    <row r="817" spans="1:3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</row>
    <row r="818" spans="1:3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</row>
    <row r="819" spans="1:3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</row>
    <row r="820" spans="1:3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</row>
    <row r="821" spans="1:3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</row>
    <row r="822" spans="1:3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</row>
    <row r="823" spans="1:3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</row>
    <row r="824" spans="1:3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</row>
    <row r="825" spans="1:3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</row>
    <row r="826" spans="1:3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</row>
    <row r="827" spans="1:3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</row>
    <row r="828" spans="1:3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</row>
    <row r="829" spans="1:3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</row>
    <row r="830" spans="1:3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</row>
    <row r="831" spans="1:3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</row>
    <row r="832" spans="1:3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</row>
    <row r="833" spans="1:3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</row>
    <row r="834" spans="1:3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</row>
    <row r="835" spans="1:3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</row>
    <row r="836" spans="1:3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</row>
    <row r="837" spans="1:3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</row>
    <row r="838" spans="1:3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</row>
    <row r="839" spans="1:3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</row>
    <row r="840" spans="1:3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</row>
    <row r="841" spans="1:3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</row>
    <row r="842" spans="1:3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</row>
    <row r="843" spans="1:3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</row>
    <row r="844" spans="1:3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</row>
    <row r="845" spans="1:3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</row>
    <row r="846" spans="1:3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</row>
    <row r="847" spans="1:3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</row>
    <row r="848" spans="1:3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</row>
    <row r="849" spans="1:3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</row>
    <row r="850" spans="1:3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</row>
    <row r="851" spans="1:3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</row>
    <row r="852" spans="1:3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</row>
    <row r="853" spans="1:3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</row>
    <row r="854" spans="1:3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</row>
    <row r="855" spans="1:3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</row>
    <row r="856" spans="1:3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</row>
    <row r="857" spans="1:3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</row>
    <row r="858" spans="1:3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</row>
    <row r="859" spans="1:3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</row>
    <row r="860" spans="1:3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</row>
    <row r="861" spans="1:3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</row>
    <row r="862" spans="1:3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</row>
    <row r="863" spans="1:3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</row>
    <row r="864" spans="1:3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</row>
    <row r="865" spans="1:3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</row>
    <row r="866" spans="1:3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</row>
    <row r="867" spans="1:3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</row>
    <row r="868" spans="1:3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</row>
    <row r="869" spans="1:3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</row>
    <row r="870" spans="1:3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</row>
    <row r="871" spans="1:3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</row>
    <row r="872" spans="1:3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</row>
    <row r="873" spans="1:3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</row>
    <row r="874" spans="1:3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</row>
    <row r="875" spans="1:3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</row>
    <row r="876" spans="1:3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</row>
    <row r="877" spans="1:3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</row>
    <row r="878" spans="1:3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</row>
    <row r="879" spans="1:3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</row>
    <row r="880" spans="1:3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</row>
    <row r="881" spans="1:3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</row>
    <row r="882" spans="1:3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</row>
    <row r="883" spans="1:3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</row>
    <row r="884" spans="1:3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</row>
    <row r="885" spans="1:3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</row>
    <row r="886" spans="1:3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</row>
    <row r="887" spans="1:3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</row>
    <row r="888" spans="1:3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</row>
    <row r="889" spans="1:3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</row>
    <row r="890" spans="1:3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</row>
    <row r="891" spans="1:3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</row>
    <row r="892" spans="1:3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</row>
    <row r="893" spans="1:3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</row>
    <row r="894" spans="1:3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</row>
    <row r="895" spans="1:3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</row>
    <row r="896" spans="1:3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</row>
    <row r="897" spans="1:3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</row>
    <row r="898" spans="1:3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</row>
    <row r="899" spans="1:3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</row>
    <row r="900" spans="1:3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</row>
    <row r="901" spans="1:3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</row>
    <row r="902" spans="1:3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</row>
    <row r="903" spans="1:3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</row>
    <row r="904" spans="1:3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</row>
    <row r="905" spans="1:3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</row>
    <row r="906" spans="1:3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</row>
    <row r="907" spans="1:3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</row>
    <row r="908" spans="1:3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</row>
    <row r="909" spans="1:3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</row>
    <row r="910" spans="1:3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</row>
    <row r="911" spans="1:3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</row>
    <row r="912" spans="1:3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</row>
    <row r="913" spans="1:3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</row>
    <row r="914" spans="1:3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</row>
    <row r="915" spans="1:3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</row>
    <row r="916" spans="1:3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</row>
    <row r="917" spans="1:3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</row>
    <row r="918" spans="1:3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</row>
    <row r="919" spans="1:3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</row>
    <row r="920" spans="1:3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</row>
    <row r="921" spans="1:3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</row>
    <row r="922" spans="1:3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</row>
    <row r="923" spans="1:3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</row>
    <row r="924" spans="1:3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</row>
    <row r="925" spans="1:3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</row>
    <row r="926" spans="1:3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</row>
    <row r="927" spans="1:3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</row>
    <row r="928" spans="1:3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</row>
    <row r="929" spans="1:3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</row>
    <row r="930" spans="1:3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</row>
    <row r="931" spans="1:3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</row>
    <row r="932" spans="1:3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</row>
    <row r="933" spans="1:3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</row>
    <row r="934" spans="1:3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</row>
    <row r="935" spans="1:3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</row>
    <row r="936" spans="1:3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</row>
    <row r="937" spans="1:3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</row>
    <row r="938" spans="1:3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</row>
    <row r="939" spans="1:3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</row>
    <row r="940" spans="1:3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</row>
    <row r="941" spans="1:3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</row>
    <row r="942" spans="1:3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</row>
    <row r="943" spans="1:3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</row>
    <row r="944" spans="1:3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</row>
    <row r="945" spans="1:3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</row>
    <row r="946" spans="1:3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</row>
    <row r="947" spans="1:3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</row>
    <row r="948" spans="1:3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</row>
    <row r="949" spans="1:3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</row>
    <row r="950" spans="1:3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</row>
    <row r="951" spans="1:3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</row>
    <row r="952" spans="1:3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</row>
    <row r="953" spans="1:3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</row>
    <row r="954" spans="1:3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</row>
    <row r="955" spans="1:3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</row>
    <row r="956" spans="1:3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</row>
    <row r="957" spans="1:3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</row>
    <row r="958" spans="1:3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</row>
    <row r="959" spans="1:3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</row>
    <row r="960" spans="1:3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</row>
    <row r="961" spans="1:3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</row>
    <row r="962" spans="1:3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</row>
    <row r="963" spans="1:3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</row>
    <row r="964" spans="1:3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</row>
    <row r="965" spans="1:3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</row>
    <row r="966" spans="1:3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</row>
    <row r="967" spans="1:3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</row>
    <row r="968" spans="1:3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</row>
    <row r="969" spans="1:3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</row>
    <row r="970" spans="1:3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</row>
    <row r="971" spans="1:3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</row>
    <row r="972" spans="1:3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</row>
    <row r="973" spans="1:3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</row>
    <row r="974" spans="1:3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</row>
    <row r="975" spans="1:3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</row>
    <row r="976" spans="1:3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</row>
    <row r="977" spans="1:3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</row>
    <row r="978" spans="1:3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</row>
    <row r="979" spans="1:3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</row>
    <row r="980" spans="1:3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</row>
    <row r="981" spans="1:3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</row>
    <row r="982" spans="1:3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</row>
    <row r="983" spans="1:3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</row>
    <row r="984" spans="1:3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</row>
    <row r="985" spans="1:3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</row>
    <row r="986" spans="1:3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</row>
    <row r="987" spans="1:3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</row>
    <row r="988" spans="1:3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</row>
    <row r="989" spans="1:3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</row>
    <row r="990" spans="1:3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</row>
    <row r="991" spans="1:3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</row>
    <row r="992" spans="1:3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</row>
    <row r="993" spans="1:3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</row>
    <row r="994" spans="1:3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</row>
    <row r="995" spans="1:3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</row>
    <row r="996" spans="1:3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</row>
    <row r="997" spans="1:3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</row>
    <row r="998" spans="1:3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</row>
    <row r="999" spans="1:3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</row>
    <row r="1000" spans="1:3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</row>
    <row r="1001" spans="1:3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</row>
    <row r="1002" spans="1:3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</row>
    <row r="1003" spans="1:3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</row>
    <row r="1004" spans="1:3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</row>
    <row r="1005" spans="1:3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</row>
    <row r="1006" spans="1:3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</row>
    <row r="1007" spans="1:3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</row>
    <row r="1008" spans="1:3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</row>
    <row r="1009" spans="1:3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</row>
    <row r="1010" spans="1:3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</row>
    <row r="1011" spans="1:3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</row>
    <row r="1012" spans="1:3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</row>
    <row r="1013" spans="1:3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</row>
    <row r="1014" spans="1:3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</row>
    <row r="1015" spans="1:3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</row>
    <row r="1016" spans="1:3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</row>
    <row r="1017" spans="1:3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</row>
    <row r="1018" spans="1:3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</row>
    <row r="1019" spans="1:3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</row>
    <row r="1020" spans="1:3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</row>
    <row r="1021" spans="1:3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</row>
    <row r="1022" spans="1:3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</row>
    <row r="1023" spans="1:3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</row>
    <row r="1024" spans="1:3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</row>
    <row r="1025" spans="1:3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</row>
    <row r="1026" spans="1:3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</row>
    <row r="1027" spans="1:3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</row>
    <row r="1028" spans="1:3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</row>
    <row r="1029" spans="1:3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</row>
    <row r="1030" spans="1:3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</row>
    <row r="1031" spans="1:3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</row>
    <row r="1032" spans="1:3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</row>
    <row r="1033" spans="1:3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</row>
    <row r="1034" spans="1:3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</row>
    <row r="1035" spans="1:3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</row>
    <row r="1036" spans="1:3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</row>
    <row r="1037" spans="1:3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</row>
    <row r="1038" spans="1:3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</row>
    <row r="1039" spans="1:3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</row>
    <row r="1040" spans="1:3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</row>
    <row r="1041" spans="1:3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</row>
    <row r="1042" spans="1:3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</row>
    <row r="1043" spans="1:3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</row>
    <row r="1044" spans="1:3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</row>
    <row r="1045" spans="1:3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</row>
    <row r="1046" spans="1:3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</row>
    <row r="1047" spans="1:3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</row>
    <row r="1048" spans="1:3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</row>
    <row r="1049" spans="1:3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</row>
    <row r="1050" spans="1:3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</row>
    <row r="1051" spans="1:3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</row>
    <row r="1052" spans="1:3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</row>
    <row r="1053" spans="1:3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</row>
    <row r="1054" spans="1:3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</row>
    <row r="1055" spans="1:3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</row>
    <row r="1056" spans="1:3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</row>
    <row r="1057" spans="1:3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</row>
    <row r="1058" spans="1:3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</row>
    <row r="1059" spans="1:3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</row>
    <row r="1060" spans="1:3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</row>
    <row r="1061" spans="1:3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</row>
    <row r="1062" spans="1:3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</row>
    <row r="1063" spans="1:3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</row>
    <row r="1064" spans="1:3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</row>
    <row r="1065" spans="1:3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</row>
    <row r="1066" spans="1:3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</row>
    <row r="1067" spans="1:3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</row>
    <row r="1068" spans="1:3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</row>
    <row r="1069" spans="1:3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</row>
    <row r="1070" spans="1:3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</row>
    <row r="1071" spans="1:3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</row>
    <row r="1072" spans="1:3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</row>
    <row r="1073" spans="1:3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</row>
    <row r="1074" spans="1:3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</row>
    <row r="1075" spans="1:3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</row>
    <row r="1076" spans="1:3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</row>
    <row r="1077" spans="1:3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</row>
    <row r="1078" spans="1:3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</row>
    <row r="1079" spans="1:3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</row>
    <row r="1080" spans="1:3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</row>
    <row r="1081" spans="1:3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</row>
    <row r="1082" spans="1:3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</row>
    <row r="1083" spans="1:3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</row>
    <row r="1084" spans="1:3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</row>
    <row r="1085" spans="1:3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</row>
    <row r="1086" spans="1:3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</row>
    <row r="1087" spans="1:3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</row>
    <row r="1088" spans="1:3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</row>
    <row r="1089" spans="1:3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</row>
    <row r="1090" spans="1:3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</row>
    <row r="1091" spans="1:3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</row>
    <row r="1092" spans="1:3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</row>
    <row r="1093" spans="1:3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</row>
    <row r="1094" spans="1:3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</row>
    <row r="1095" spans="1:3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</row>
    <row r="1096" spans="1:3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</row>
    <row r="1097" spans="1:3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</row>
    <row r="1098" spans="1:3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</row>
    <row r="1099" spans="1:3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</row>
    <row r="1100" spans="1:3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</row>
    <row r="1101" spans="1:3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</row>
    <row r="1102" spans="1:3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</row>
    <row r="1103" spans="1:3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</row>
    <row r="1104" spans="1:3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</row>
    <row r="1105" spans="1:3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</row>
    <row r="1106" spans="1:3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</row>
    <row r="1107" spans="1:3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</row>
    <row r="1108" spans="1:3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</row>
    <row r="1109" spans="1:3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</row>
    <row r="1110" spans="1:3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</row>
    <row r="1111" spans="1:3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</row>
    <row r="1112" spans="1:3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</row>
    <row r="1113" spans="1:3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</row>
    <row r="1114" spans="1:3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</row>
    <row r="1115" spans="1:3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</row>
    <row r="1116" spans="1:3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</row>
    <row r="1117" spans="1:3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</row>
    <row r="1118" spans="1:3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</row>
    <row r="1119" spans="1:3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</row>
    <row r="1120" spans="1:3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</row>
    <row r="1121" spans="1:3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</row>
    <row r="1122" spans="1:3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</row>
    <row r="1123" spans="1:3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</row>
    <row r="1124" spans="1:3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</row>
    <row r="1125" spans="1:3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</row>
    <row r="1126" spans="1:3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</row>
    <row r="1127" spans="1:3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</row>
    <row r="1128" spans="1:3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</row>
    <row r="1129" spans="1:3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</row>
    <row r="1130" spans="1:3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</row>
    <row r="1131" spans="1:3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</row>
    <row r="1132" spans="1:3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</row>
    <row r="1133" spans="1:3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</row>
    <row r="1134" spans="1:3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</row>
    <row r="1135" spans="1:3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</row>
    <row r="1136" spans="1:3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</row>
    <row r="1137" spans="1:3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</row>
    <row r="1138" spans="1:3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</row>
    <row r="1139" spans="1:3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</row>
    <row r="1140" spans="1:3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</row>
    <row r="1141" spans="1:3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</row>
    <row r="1142" spans="1:3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</row>
    <row r="1143" spans="1:3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</row>
    <row r="1144" spans="1:3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</row>
    <row r="1145" spans="1:3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</row>
    <row r="1146" spans="1:3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</row>
    <row r="1147" spans="1:3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</row>
    <row r="1148" spans="1:3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</row>
    <row r="1149" spans="1:3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</row>
    <row r="1150" spans="1:3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</row>
    <row r="1151" spans="1:3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</row>
    <row r="1152" spans="1:3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</row>
    <row r="1153" spans="3:3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</row>
    <row r="1154" spans="3:3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</row>
  </sheetData>
  <mergeCells count="1">
    <mergeCell ref="A1:A2"/>
  </mergeCells>
  <conditionalFormatting sqref="J7:AL7">
    <cfRule type="expression" dxfId="267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topLeftCell="N1" workbookViewId="0">
      <pane ySplit="4" topLeftCell="A5" activePane="bottomLeft" state="frozen"/>
      <selection pane="bottomLeft" activeCell="Y7" sqref="Y7:Z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8"/>
      <c r="C1" s="141" t="s">
        <v>829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48" t="s">
        <v>1645</v>
      </c>
      <c r="Z1" s="150"/>
      <c r="AA1" s="59" t="s">
        <v>1185</v>
      </c>
      <c r="AB1" s="122" t="s">
        <v>1184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</row>
    <row r="2" spans="1:42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1635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1636</v>
      </c>
      <c r="W3" s="57"/>
      <c r="X3" s="58"/>
      <c r="Y3" s="159" t="s">
        <v>1643</v>
      </c>
      <c r="Z3" s="159"/>
      <c r="AA3" s="62" t="s">
        <v>748</v>
      </c>
      <c r="AB3" s="125" t="s">
        <v>1635</v>
      </c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38" t="s">
        <v>1637</v>
      </c>
      <c r="AO3" s="139"/>
      <c r="AP3" s="140"/>
    </row>
    <row r="4" spans="1:42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363</v>
      </c>
      <c r="K4" s="13" t="s">
        <v>364</v>
      </c>
      <c r="L4" s="13" t="s">
        <v>365</v>
      </c>
      <c r="M4" s="13" t="s">
        <v>366</v>
      </c>
      <c r="N4" s="13" t="s">
        <v>367</v>
      </c>
      <c r="O4" s="13" t="s">
        <v>368</v>
      </c>
      <c r="P4" s="13" t="s">
        <v>369</v>
      </c>
      <c r="Q4" s="13" t="s">
        <v>370</v>
      </c>
      <c r="R4" s="13" t="s">
        <v>371</v>
      </c>
      <c r="S4" s="13" t="s">
        <v>372</v>
      </c>
      <c r="T4" s="13" t="s">
        <v>373</v>
      </c>
      <c r="U4" s="13" t="s">
        <v>374</v>
      </c>
      <c r="V4" s="8" t="s">
        <v>375</v>
      </c>
      <c r="W4" s="13" t="s">
        <v>376</v>
      </c>
      <c r="X4" s="9" t="s">
        <v>377</v>
      </c>
      <c r="Y4" s="158" t="s">
        <v>1635</v>
      </c>
      <c r="Z4" s="158" t="s">
        <v>1636</v>
      </c>
      <c r="AA4" s="10" t="s">
        <v>784</v>
      </c>
      <c r="AB4" s="128" t="s">
        <v>363</v>
      </c>
      <c r="AC4" s="129" t="s">
        <v>364</v>
      </c>
      <c r="AD4" s="129" t="s">
        <v>365</v>
      </c>
      <c r="AE4" s="129" t="s">
        <v>366</v>
      </c>
      <c r="AF4" s="129" t="s">
        <v>367</v>
      </c>
      <c r="AG4" s="129" t="s">
        <v>368</v>
      </c>
      <c r="AH4" s="129" t="s">
        <v>369</v>
      </c>
      <c r="AI4" s="129" t="s">
        <v>370</v>
      </c>
      <c r="AJ4" s="129" t="s">
        <v>371</v>
      </c>
      <c r="AK4" s="129" t="s">
        <v>372</v>
      </c>
      <c r="AL4" s="129" t="s">
        <v>373</v>
      </c>
      <c r="AM4" s="129" t="s">
        <v>374</v>
      </c>
      <c r="AN4" s="128" t="s">
        <v>375</v>
      </c>
      <c r="AO4" s="129" t="s">
        <v>376</v>
      </c>
      <c r="AP4" s="130" t="s">
        <v>377</v>
      </c>
    </row>
    <row r="5" spans="1:42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1">
        <f>SUBTOTAL(109,tx_pvls_T[D_tx_pvls_D_fy19])</f>
        <v>0</v>
      </c>
      <c r="AB5" s="61">
        <f>SUBTOTAL(109,tx_pvls_T[tx_pvls_D_u15_f_rtn])</f>
        <v>0</v>
      </c>
      <c r="AC5" s="61">
        <f>SUBTOTAL(109,tx_pvls_T[tx_pvls_D_u15_f_targeted])</f>
        <v>0</v>
      </c>
      <c r="AD5" s="61">
        <f>SUBTOTAL(109,tx_pvls_T[tx_pvls_D_u15_f_undoctest])</f>
        <v>0</v>
      </c>
      <c r="AE5" s="61">
        <f>SUBTOTAL(109,tx_pvls_T[tx_pvls_D_u15_m_rtn])</f>
        <v>0</v>
      </c>
      <c r="AF5" s="61">
        <f>SUBTOTAL(109,tx_pvls_T[tx_pvls_D_u15_m_targeted])</f>
        <v>0</v>
      </c>
      <c r="AG5" s="61">
        <f>SUBTOTAL(109,tx_pvls_T[tx_pvls_D_u15_m_undoctest])</f>
        <v>0</v>
      </c>
      <c r="AH5" s="61">
        <f>SUBTOTAL(109,tx_pvls_T[tx_pvls_D_o15_f_rtn])</f>
        <v>0</v>
      </c>
      <c r="AI5" s="61">
        <f>SUBTOTAL(109,tx_pvls_T[tx_pvls_D_o15_f_targeted])</f>
        <v>0</v>
      </c>
      <c r="AJ5" s="61">
        <f>SUBTOTAL(109,tx_pvls_T[tx_pvls_D_o15_f_undoctest])</f>
        <v>0</v>
      </c>
      <c r="AK5" s="61">
        <f>SUBTOTAL(109,tx_pvls_T[tx_pvls_D_o15_m_rtn])</f>
        <v>0</v>
      </c>
      <c r="AL5" s="61">
        <f>SUBTOTAL(109,tx_pvls_T[tx_pvls_D_o15_m_targeted])</f>
        <v>0</v>
      </c>
      <c r="AM5" s="61">
        <f>SUBTOTAL(109,tx_pvls_T[tx_pvls_D_o15_m_undoctest])</f>
        <v>0</v>
      </c>
      <c r="AN5" s="61">
        <f>SUBTOTAL(109,tx_pvls_T[tx_pvls_D_rtn_pos])</f>
        <v>0</v>
      </c>
      <c r="AO5" s="61">
        <f>SUBTOTAL(109,tx_pvls_T[tx_pvls_D_targeted_pos])</f>
        <v>0</v>
      </c>
      <c r="AP5" s="61">
        <f>SUBTOTAL(109,tx_pvls_T[tx_pvls_D_undoctest_pos])</f>
        <v>0</v>
      </c>
    </row>
    <row r="6" spans="1:4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1520</v>
      </c>
      <c r="K6" s="26" t="s">
        <v>1521</v>
      </c>
      <c r="L6" s="26" t="s">
        <v>1522</v>
      </c>
      <c r="M6" s="26" t="s">
        <v>1523</v>
      </c>
      <c r="N6" s="26" t="s">
        <v>1524</v>
      </c>
      <c r="O6" s="26" t="s">
        <v>1525</v>
      </c>
      <c r="P6" s="26" t="s">
        <v>1526</v>
      </c>
      <c r="Q6" s="26" t="s">
        <v>1527</v>
      </c>
      <c r="R6" s="26" t="s">
        <v>1614</v>
      </c>
      <c r="S6" s="26" t="s">
        <v>1615</v>
      </c>
      <c r="T6" s="26" t="s">
        <v>1616</v>
      </c>
      <c r="U6" s="26" t="s">
        <v>1617</v>
      </c>
      <c r="V6" s="26" t="s">
        <v>1618</v>
      </c>
      <c r="W6" s="26" t="s">
        <v>1619</v>
      </c>
      <c r="X6" s="26" t="s">
        <v>1620</v>
      </c>
      <c r="Y6" s="26" t="s">
        <v>1641</v>
      </c>
      <c r="Z6" s="26" t="s">
        <v>1642</v>
      </c>
      <c r="AA6" s="26" t="s">
        <v>919</v>
      </c>
      <c r="AB6" s="26" t="s">
        <v>685</v>
      </c>
      <c r="AC6" s="26" t="s">
        <v>686</v>
      </c>
      <c r="AD6" s="26" t="s">
        <v>687</v>
      </c>
      <c r="AE6" s="26" t="s">
        <v>688</v>
      </c>
      <c r="AF6" s="26" t="s">
        <v>689</v>
      </c>
      <c r="AG6" s="26" t="s">
        <v>690</v>
      </c>
      <c r="AH6" s="26" t="s">
        <v>691</v>
      </c>
      <c r="AI6" s="26" t="s">
        <v>692</v>
      </c>
      <c r="AJ6" s="26" t="s">
        <v>693</v>
      </c>
      <c r="AK6" s="26" t="s">
        <v>694</v>
      </c>
      <c r="AL6" s="26" t="s">
        <v>695</v>
      </c>
      <c r="AM6" s="26" t="s">
        <v>696</v>
      </c>
      <c r="AN6" s="26" t="s">
        <v>697</v>
      </c>
      <c r="AO6" s="26" t="s">
        <v>698</v>
      </c>
      <c r="AP6" s="26" t="s">
        <v>699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7">
        <f>SUM(tx_pvls_T[[#This Row],[A_tx_pvls_D_u15_f_rtn]:[A_tx_pvls_D_o15_m_undoctest]])</f>
        <v>0</v>
      </c>
      <c r="Z7" s="167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50">
        <f>SUMIF($AB$4:$AM$4,"*Routine",tx_pvls_T[[tx_pvls_D_u15_f_rtn]:[tx_pvls_D_o15_m_undoctest]])</f>
        <v>0</v>
      </c>
      <c r="AO7" s="50">
        <f>SUMIF($AB$4:$AM$4,"*Targeted",tx_pvls_T[[tx_pvls_D_u15_f_rtn]:[tx_pvls_D_o15_m_undoctest]])</f>
        <v>0</v>
      </c>
      <c r="AP7" s="50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9"/>
      <c r="W11" s="109"/>
      <c r="X11" s="109"/>
      <c r="Y11" s="109"/>
      <c r="Z11" s="109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</row>
    <row r="1137" spans="1:26" x14ac:dyDescent="0.25">
      <c r="A1137" s="19"/>
      <c r="C1137"/>
      <c r="D1137" s="109"/>
      <c r="E1137"/>
      <c r="F1137"/>
      <c r="G1137"/>
      <c r="X1137" s="109"/>
      <c r="Y1137" s="109"/>
      <c r="Z1137" s="109"/>
    </row>
    <row r="1138" spans="1:26" x14ac:dyDescent="0.25">
      <c r="A1138" s="19"/>
      <c r="C1138"/>
      <c r="D1138" s="109"/>
      <c r="E1138"/>
      <c r="F1138"/>
      <c r="G1138"/>
      <c r="X1138" s="109"/>
      <c r="Y1138" s="109"/>
      <c r="Z1138" s="109"/>
    </row>
    <row r="1139" spans="1:26" x14ac:dyDescent="0.25">
      <c r="A1139" s="19"/>
      <c r="C1139"/>
      <c r="D1139" s="109"/>
      <c r="E1139"/>
      <c r="F1139"/>
      <c r="G1139"/>
      <c r="X1139" s="109"/>
      <c r="Y1139" s="109"/>
      <c r="Z1139" s="109"/>
    </row>
    <row r="1140" spans="1:26" x14ac:dyDescent="0.25">
      <c r="A1140" s="19"/>
      <c r="C1140"/>
      <c r="D1140" s="109"/>
      <c r="E1140"/>
      <c r="F1140"/>
      <c r="G1140"/>
      <c r="X1140" s="109"/>
      <c r="Y1140" s="109"/>
      <c r="Z1140" s="109"/>
    </row>
    <row r="1141" spans="1:26" x14ac:dyDescent="0.25">
      <c r="A1141" s="19"/>
      <c r="C1141"/>
      <c r="D1141" s="109"/>
      <c r="E1141"/>
      <c r="F1141"/>
      <c r="G1141"/>
      <c r="X1141" s="109"/>
      <c r="Y1141" s="109"/>
      <c r="Z1141" s="109"/>
    </row>
    <row r="1142" spans="1:26" x14ac:dyDescent="0.25">
      <c r="A1142" s="19"/>
      <c r="C1142"/>
      <c r="D1142" s="109"/>
      <c r="E1142"/>
      <c r="F1142"/>
      <c r="G1142"/>
      <c r="X1142" s="109"/>
      <c r="Y1142" s="109"/>
      <c r="Z1142" s="109"/>
    </row>
    <row r="1143" spans="1:26" x14ac:dyDescent="0.25">
      <c r="A1143" s="19"/>
      <c r="C1143"/>
      <c r="D1143" s="109"/>
      <c r="E1143"/>
      <c r="F1143"/>
      <c r="G1143"/>
      <c r="X1143" s="109"/>
      <c r="Y1143" s="109"/>
      <c r="Z1143" s="109"/>
    </row>
    <row r="1144" spans="1:26" x14ac:dyDescent="0.25">
      <c r="A1144" s="19"/>
      <c r="C1144"/>
      <c r="D1144" s="109"/>
      <c r="E1144"/>
      <c r="F1144"/>
      <c r="G1144"/>
      <c r="X1144" s="109"/>
      <c r="Y1144" s="109"/>
      <c r="Z1144" s="109"/>
    </row>
    <row r="1145" spans="1:26" x14ac:dyDescent="0.25">
      <c r="A1145" s="19"/>
      <c r="C1145"/>
      <c r="D1145" s="109"/>
      <c r="E1145"/>
      <c r="F1145"/>
      <c r="G1145"/>
      <c r="X1145" s="109"/>
      <c r="Y1145" s="109"/>
      <c r="Z1145" s="109"/>
    </row>
    <row r="1146" spans="1:26" x14ac:dyDescent="0.25">
      <c r="A1146" s="19"/>
      <c r="C1146"/>
      <c r="D1146" s="109"/>
      <c r="E1146"/>
      <c r="F1146"/>
      <c r="G1146"/>
      <c r="X1146" s="109"/>
      <c r="Y1146" s="109"/>
      <c r="Z1146" s="109"/>
    </row>
    <row r="1147" spans="1:26" x14ac:dyDescent="0.25">
      <c r="A1147" s="19"/>
      <c r="C1147"/>
      <c r="D1147" s="109"/>
      <c r="E1147"/>
      <c r="F1147"/>
      <c r="G1147"/>
      <c r="X1147" s="109"/>
      <c r="Y1147" s="109"/>
      <c r="Z1147" s="109"/>
    </row>
    <row r="1148" spans="1:26" x14ac:dyDescent="0.25">
      <c r="A1148" s="19"/>
      <c r="C1148"/>
      <c r="D1148" s="109"/>
      <c r="E1148"/>
      <c r="F1148"/>
      <c r="G1148"/>
      <c r="X1148" s="109"/>
      <c r="Y1148" s="109"/>
      <c r="Z1148" s="109"/>
    </row>
    <row r="1149" spans="1:26" x14ac:dyDescent="0.25">
      <c r="A1149" s="19"/>
      <c r="C1149"/>
      <c r="D1149" s="109"/>
      <c r="E1149"/>
      <c r="F1149"/>
      <c r="G1149"/>
      <c r="X1149" s="109"/>
      <c r="Y1149" s="109"/>
      <c r="Z1149" s="109"/>
    </row>
    <row r="1150" spans="1:26" x14ac:dyDescent="0.25">
      <c r="C1150"/>
      <c r="D1150" s="109"/>
      <c r="E1150"/>
      <c r="F1150"/>
      <c r="G1150"/>
      <c r="X1150" s="109"/>
      <c r="Y1150" s="109"/>
      <c r="Z1150" s="109"/>
    </row>
    <row r="1151" spans="1:26" x14ac:dyDescent="0.25">
      <c r="C1151"/>
      <c r="D1151" s="109"/>
      <c r="E1151"/>
      <c r="F1151"/>
      <c r="G1151"/>
      <c r="X1151" s="109"/>
      <c r="Y1151" s="109"/>
      <c r="Z1151" s="109"/>
    </row>
    <row r="1152" spans="1:26" x14ac:dyDescent="0.25">
      <c r="C1152"/>
      <c r="D1152" s="109"/>
      <c r="E1152"/>
      <c r="F1152"/>
      <c r="G1152"/>
      <c r="X1152" s="109"/>
      <c r="Y1152" s="109"/>
      <c r="Z1152" s="109"/>
    </row>
    <row r="1153" spans="3:26" x14ac:dyDescent="0.25">
      <c r="C1153"/>
      <c r="D1153" s="109"/>
      <c r="E1153"/>
      <c r="F1153"/>
      <c r="G1153"/>
      <c r="X1153" s="109"/>
      <c r="Y1153" s="109"/>
      <c r="Z1153" s="109"/>
    </row>
    <row r="1154" spans="3:26" x14ac:dyDescent="0.25">
      <c r="C1154"/>
      <c r="D1154" s="109"/>
      <c r="E1154"/>
      <c r="F1154"/>
      <c r="G1154"/>
      <c r="X1154" s="109"/>
      <c r="Y1154" s="109"/>
      <c r="Z1154" s="109"/>
    </row>
  </sheetData>
  <mergeCells count="1">
    <mergeCell ref="A1:A2"/>
  </mergeCells>
  <conditionalFormatting sqref="J7:Z7">
    <cfRule type="expression" dxfId="200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topLeftCell="Q1" workbookViewId="0">
      <pane ySplit="4" topLeftCell="A5" activePane="bottomLeft" state="frozen"/>
      <selection pane="bottomLeft" activeCell="AA7" sqref="V7:A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8"/>
      <c r="C1" s="141" t="s">
        <v>381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48" t="s">
        <v>1645</v>
      </c>
      <c r="W1" s="149"/>
      <c r="X1" s="149"/>
      <c r="Y1" s="149"/>
      <c r="Z1" s="149"/>
      <c r="AA1" s="150"/>
      <c r="AB1" s="59" t="s">
        <v>1185</v>
      </c>
      <c r="AC1" s="60"/>
      <c r="AD1" s="60"/>
      <c r="AE1" s="60"/>
      <c r="AF1" s="60"/>
      <c r="AG1" s="60"/>
      <c r="AH1" s="122" t="s">
        <v>1184</v>
      </c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</row>
    <row r="2" spans="1:47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799</v>
      </c>
      <c r="K3" s="48"/>
      <c r="L3" s="47" t="s">
        <v>800</v>
      </c>
      <c r="M3" s="48"/>
      <c r="N3" s="49" t="s">
        <v>380</v>
      </c>
      <c r="O3" s="48"/>
      <c r="P3" s="47" t="s">
        <v>801</v>
      </c>
      <c r="Q3" s="48"/>
      <c r="R3" s="47" t="s">
        <v>802</v>
      </c>
      <c r="S3" s="48"/>
      <c r="T3" s="49" t="s">
        <v>360</v>
      </c>
      <c r="U3" s="48"/>
      <c r="V3" s="160" t="s">
        <v>1643</v>
      </c>
      <c r="W3" s="160"/>
      <c r="X3" s="160"/>
      <c r="Y3" s="160"/>
      <c r="Z3" s="160"/>
      <c r="AA3" s="160"/>
      <c r="AB3" s="62" t="s">
        <v>93</v>
      </c>
      <c r="AC3" s="64"/>
      <c r="AD3" s="64"/>
      <c r="AE3" s="64"/>
      <c r="AF3" s="64"/>
      <c r="AG3" s="64"/>
      <c r="AH3" s="125" t="s">
        <v>799</v>
      </c>
      <c r="AI3" s="127"/>
      <c r="AJ3" s="125" t="s">
        <v>800</v>
      </c>
      <c r="AK3" s="127"/>
      <c r="AL3" s="126" t="s">
        <v>380</v>
      </c>
      <c r="AM3" s="127"/>
      <c r="AN3" s="125" t="s">
        <v>801</v>
      </c>
      <c r="AO3" s="127"/>
      <c r="AP3" s="125" t="s">
        <v>802</v>
      </c>
      <c r="AQ3" s="127"/>
      <c r="AR3" s="126" t="s">
        <v>360</v>
      </c>
      <c r="AS3" s="127"/>
    </row>
    <row r="4" spans="1:4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357</v>
      </c>
      <c r="O4" s="9" t="s">
        <v>358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357</v>
      </c>
      <c r="U4" s="9" t="s">
        <v>358</v>
      </c>
      <c r="V4" s="158" t="s">
        <v>799</v>
      </c>
      <c r="W4" s="158" t="s">
        <v>800</v>
      </c>
      <c r="X4" s="158" t="s">
        <v>380</v>
      </c>
      <c r="Y4" s="158" t="s">
        <v>801</v>
      </c>
      <c r="Z4" s="158" t="s">
        <v>802</v>
      </c>
      <c r="AA4" s="158" t="s">
        <v>360</v>
      </c>
      <c r="AB4" s="10" t="s">
        <v>785</v>
      </c>
      <c r="AC4" s="11" t="s">
        <v>803</v>
      </c>
      <c r="AD4" s="11" t="s">
        <v>805</v>
      </c>
      <c r="AE4" s="11" t="s">
        <v>381</v>
      </c>
      <c r="AF4" s="11" t="s">
        <v>804</v>
      </c>
      <c r="AG4" s="11" t="s">
        <v>1621</v>
      </c>
      <c r="AH4" s="128" t="s">
        <v>323</v>
      </c>
      <c r="AI4" s="130" t="s">
        <v>324</v>
      </c>
      <c r="AJ4" s="129" t="s">
        <v>325</v>
      </c>
      <c r="AK4" s="130" t="s">
        <v>326</v>
      </c>
      <c r="AL4" s="129" t="s">
        <v>357</v>
      </c>
      <c r="AM4" s="130" t="s">
        <v>358</v>
      </c>
      <c r="AN4" s="128" t="s">
        <v>323</v>
      </c>
      <c r="AO4" s="130" t="s">
        <v>324</v>
      </c>
      <c r="AP4" s="129" t="s">
        <v>325</v>
      </c>
      <c r="AQ4" s="130" t="s">
        <v>326</v>
      </c>
      <c r="AR4" s="129" t="s">
        <v>357</v>
      </c>
      <c r="AS4" s="130" t="s">
        <v>358</v>
      </c>
    </row>
    <row r="5" spans="1:4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SUBTOTAL(109,tx_ret_T[D_tx_ret_D_fy19])</f>
        <v>0</v>
      </c>
      <c r="AC5" s="61">
        <f>SUBTOTAL(109,tx_ret_T[D_tx_ret_u15_D_fy19])</f>
        <v>0</v>
      </c>
      <c r="AD5" s="61">
        <f>SUBTOTAL(109,tx_ret_T[D_tx_ret_o15_D_fy19])</f>
        <v>0</v>
      </c>
      <c r="AE5" s="61">
        <f>SUBTOTAL(109,tx_ret_T[D_tx_ret_fy19])</f>
        <v>0</v>
      </c>
      <c r="AF5" s="61">
        <f>SUBTOTAL(109,tx_ret_T[D_tx_ret_u15_fy19])</f>
        <v>0</v>
      </c>
      <c r="AG5" s="61">
        <f>SUBTOTAL(109,tx_ret_T[D_tx_ret_o15_fy19])</f>
        <v>0</v>
      </c>
      <c r="AH5" s="61">
        <f>SUBTOTAL(109,tx_ret_T[tx_ret_D_u15_f_pos])</f>
        <v>0</v>
      </c>
      <c r="AI5" s="61">
        <f>SUBTOTAL(109,tx_ret_T[tx_ret_D_u15_m_pos])</f>
        <v>0</v>
      </c>
      <c r="AJ5" s="61">
        <f>SUBTOTAL(109,tx_ret_T[tx_ret_D_o15_f_pos])</f>
        <v>0</v>
      </c>
      <c r="AK5" s="61">
        <f>SUBTOTAL(109,tx_ret_T[tx_ret_D_o15_m_pos])</f>
        <v>0</v>
      </c>
      <c r="AL5" s="61">
        <f>SUBTOTAL(109,tx_ret_T[tx_ret_D_bf_pos])</f>
        <v>0</v>
      </c>
      <c r="AM5" s="61">
        <f>SUBTOTAL(109,tx_ret_T[tx_ret_D_preg_pos])</f>
        <v>0</v>
      </c>
      <c r="AN5" s="61">
        <f>SUBTOTAL(109,tx_ret_T[tx_ret_u15_f_pos])</f>
        <v>0</v>
      </c>
      <c r="AO5" s="61">
        <f>SUBTOTAL(109,tx_ret_T[tx_ret_u15_m_pos])</f>
        <v>0</v>
      </c>
      <c r="AP5" s="61">
        <f>SUBTOTAL(109,tx_ret_T[tx_ret_o15_f_pos])</f>
        <v>0</v>
      </c>
      <c r="AQ5" s="61">
        <f>SUBTOTAL(109,tx_ret_T[tx_ret_o15_m_pos])</f>
        <v>0</v>
      </c>
      <c r="AR5" s="61">
        <f>SUBTOTAL(109,tx_ret_T[tx_ret_bf_pos])</f>
        <v>0</v>
      </c>
      <c r="AS5" s="61">
        <f>SUBTOTAL(109,tx_ret_T[tx_ret_preg_pos])</f>
        <v>0</v>
      </c>
    </row>
    <row r="6" spans="1:4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1528</v>
      </c>
      <c r="K6" s="26" t="s">
        <v>1529</v>
      </c>
      <c r="L6" s="26" t="s">
        <v>1530</v>
      </c>
      <c r="M6" s="26" t="s">
        <v>1531</v>
      </c>
      <c r="N6" s="26" t="s">
        <v>1532</v>
      </c>
      <c r="O6" s="26" t="s">
        <v>1533</v>
      </c>
      <c r="P6" s="26" t="s">
        <v>1534</v>
      </c>
      <c r="Q6" s="26" t="s">
        <v>1535</v>
      </c>
      <c r="R6" s="26" t="s">
        <v>1536</v>
      </c>
      <c r="S6" s="26" t="s">
        <v>1537</v>
      </c>
      <c r="T6" s="26" t="s">
        <v>1538</v>
      </c>
      <c r="U6" s="26" t="s">
        <v>1539</v>
      </c>
      <c r="V6" s="26" t="s">
        <v>1641</v>
      </c>
      <c r="W6" s="26" t="s">
        <v>1642</v>
      </c>
      <c r="X6" s="26" t="s">
        <v>1644</v>
      </c>
      <c r="Y6" s="26" t="s">
        <v>1646</v>
      </c>
      <c r="Z6" s="26" t="s">
        <v>1647</v>
      </c>
      <c r="AA6" s="26" t="s">
        <v>1648</v>
      </c>
      <c r="AB6" s="26" t="s">
        <v>915</v>
      </c>
      <c r="AC6" s="26" t="s">
        <v>1113</v>
      </c>
      <c r="AD6" s="26" t="s">
        <v>1121</v>
      </c>
      <c r="AE6" s="26" t="s">
        <v>916</v>
      </c>
      <c r="AF6" s="26" t="s">
        <v>1111</v>
      </c>
      <c r="AG6" s="26" t="s">
        <v>1122</v>
      </c>
      <c r="AH6" s="26" t="s">
        <v>700</v>
      </c>
      <c r="AI6" s="26" t="s">
        <v>701</v>
      </c>
      <c r="AJ6" s="26" t="s">
        <v>702</v>
      </c>
      <c r="AK6" s="26" t="s">
        <v>703</v>
      </c>
      <c r="AL6" s="26" t="s">
        <v>704</v>
      </c>
      <c r="AM6" s="26" t="s">
        <v>705</v>
      </c>
      <c r="AN6" s="26" t="s">
        <v>706</v>
      </c>
      <c r="AO6" s="26" t="s">
        <v>707</v>
      </c>
      <c r="AP6" s="26" t="s">
        <v>708</v>
      </c>
      <c r="AQ6" s="26" t="s">
        <v>709</v>
      </c>
      <c r="AR6" s="26" t="s">
        <v>710</v>
      </c>
      <c r="AS6" s="26" t="s">
        <v>711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1182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7">
        <f>SUM(tx_ret_T[[#This Row],[A_tx_ret_D_u15_f_pos]:[A_tx_ret_D_u15_m_pos]])</f>
        <v>0</v>
      </c>
      <c r="W7" s="167">
        <f>SUM(tx_ret_T[[#This Row],[A_tx_ret_D_o15_f_pos]:[A_tx_ret_D_o15_m_pos]])</f>
        <v>0</v>
      </c>
      <c r="X7" s="167">
        <f>SUM(tx_ret_T[[#This Row],[A_tx_ret_D_bf_pos]:[A_tx_ret_D_preg_pos]])</f>
        <v>0</v>
      </c>
      <c r="Y7" s="167">
        <f>SUM(tx_ret_T[[#This Row],[A_tx_ret_u15_f_pos]:[A_tx_ret_u15_m_pos]])</f>
        <v>0</v>
      </c>
      <c r="Z7" s="167">
        <f>SUM(tx_ret_T[[#This Row],[A_tx_ret_o15_f_pos]:[A_tx_ret_o15_m_pos]])</f>
        <v>0</v>
      </c>
      <c r="AA7" s="167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/>
      <c r="AM7" s="42"/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tx_ret_T[[D_tx_ret_o15_fy19]:[D_tx_ret_o15_fy19]]*tx_ret_T[A_tx_ret_u15_m_pos]</f>
        <v>0</v>
      </c>
      <c r="AQ7" s="42">
        <f>tx_ret_T[[D_tx_ret_o15_fy19]:[D_tx_ret_o15_fy19]]*tx_ret_T[A_tx_ret_o15_f_pos]</f>
        <v>0</v>
      </c>
      <c r="AR7" s="42"/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conditionalFormatting sqref="J7:O7">
    <cfRule type="expression" dxfId="157" priority="2">
      <formula>$AB7=0</formula>
    </cfRule>
  </conditionalFormatting>
  <conditionalFormatting sqref="P7:AA7">
    <cfRule type="expression" dxfId="156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J1154"/>
  <sheetViews>
    <sheetView showGridLines="0" topLeftCell="E1" zoomScale="85" zoomScaleNormal="85" workbookViewId="0">
      <pane ySplit="4" topLeftCell="A5" activePane="bottomLeft" state="frozen"/>
      <selection pane="bottomLeft" activeCell="U7" sqref="U7:W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3" width="11.5703125" style="1" customWidth="1"/>
    <col min="24" max="28" width="11.5703125" customWidth="1"/>
    <col min="30" max="36" width="11.5703125" customWidth="1"/>
  </cols>
  <sheetData>
    <row r="1" spans="1:36" s="1" customFormat="1" ht="23.25" x14ac:dyDescent="0.35">
      <c r="A1" s="168"/>
      <c r="C1" s="141" t="s">
        <v>836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48" t="s">
        <v>1645</v>
      </c>
      <c r="V1" s="149"/>
      <c r="W1" s="150"/>
      <c r="X1" s="59" t="s">
        <v>1185</v>
      </c>
      <c r="Y1" s="60" t="s">
        <v>1184</v>
      </c>
      <c r="Z1" s="60"/>
      <c r="AA1" s="60"/>
      <c r="AB1" s="60"/>
      <c r="AC1" s="60"/>
      <c r="AD1" s="60"/>
      <c r="AE1" s="60"/>
      <c r="AF1" s="60"/>
      <c r="AG1" s="60"/>
      <c r="AH1" s="60"/>
      <c r="AI1" s="60"/>
    </row>
    <row r="2" spans="1:36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</row>
    <row r="3" spans="1:3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1638</v>
      </c>
      <c r="K3" s="49"/>
      <c r="L3" s="49"/>
      <c r="M3" s="49"/>
      <c r="N3" s="47" t="s">
        <v>1639</v>
      </c>
      <c r="O3" s="49"/>
      <c r="P3" s="48"/>
      <c r="Q3" s="49" t="s">
        <v>1640</v>
      </c>
      <c r="R3" s="49"/>
      <c r="S3" s="49"/>
      <c r="T3" s="49"/>
      <c r="U3" s="155" t="s">
        <v>1643</v>
      </c>
      <c r="V3" s="160"/>
      <c r="W3" s="161"/>
      <c r="X3" s="62" t="s">
        <v>748</v>
      </c>
      <c r="Y3" s="125" t="s">
        <v>1638</v>
      </c>
      <c r="Z3" s="126"/>
      <c r="AA3" s="126"/>
      <c r="AB3" s="126"/>
      <c r="AC3" s="125" t="s">
        <v>1639</v>
      </c>
      <c r="AD3" s="126"/>
      <c r="AE3" s="127"/>
      <c r="AF3" s="126" t="s">
        <v>1640</v>
      </c>
      <c r="AG3" s="126"/>
      <c r="AH3" s="126"/>
      <c r="AI3" s="127"/>
    </row>
    <row r="4" spans="1:36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382</v>
      </c>
      <c r="O4" s="13" t="s">
        <v>383</v>
      </c>
      <c r="P4" s="9" t="s">
        <v>384</v>
      </c>
      <c r="Q4" s="13" t="s">
        <v>385</v>
      </c>
      <c r="R4" s="13" t="s">
        <v>386</v>
      </c>
      <c r="S4" s="13" t="s">
        <v>387</v>
      </c>
      <c r="T4" s="13" t="s">
        <v>388</v>
      </c>
      <c r="U4" s="156" t="s">
        <v>1638</v>
      </c>
      <c r="V4" s="158" t="s">
        <v>1639</v>
      </c>
      <c r="W4" s="162" t="s">
        <v>1640</v>
      </c>
      <c r="X4" s="10" t="s">
        <v>787</v>
      </c>
      <c r="Y4" s="128" t="s">
        <v>323</v>
      </c>
      <c r="Z4" s="129" t="s">
        <v>324</v>
      </c>
      <c r="AA4" s="129" t="s">
        <v>325</v>
      </c>
      <c r="AB4" s="129" t="s">
        <v>326</v>
      </c>
      <c r="AC4" s="128" t="s">
        <v>382</v>
      </c>
      <c r="AD4" s="129" t="s">
        <v>383</v>
      </c>
      <c r="AE4" s="130" t="s">
        <v>384</v>
      </c>
      <c r="AF4" s="129" t="s">
        <v>385</v>
      </c>
      <c r="AG4" s="129" t="s">
        <v>386</v>
      </c>
      <c r="AH4" s="129" t="s">
        <v>387</v>
      </c>
      <c r="AI4" s="130" t="s">
        <v>388</v>
      </c>
    </row>
    <row r="5" spans="1:36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1">
        <f>SUBTOTAL(109,tx_tb_T[D_tx_tb_D_fy19])</f>
        <v>0</v>
      </c>
      <c r="Y5" s="61">
        <f>SUBTOTAL(109,tx_tb_T[tx_tb_D_u15_f_pos2])</f>
        <v>0</v>
      </c>
      <c r="Z5" s="61">
        <f>SUBTOTAL(109,tx_tb_T[tx_tb_D_u15_m_pos])</f>
        <v>0</v>
      </c>
      <c r="AA5" s="61">
        <f>SUBTOTAL(109,tx_tb_T[tx_tb_D_o15_f_pos])</f>
        <v>0</v>
      </c>
      <c r="AB5" s="61">
        <f>SUBTOTAL(109,tx_tb_T[tx_tb_D_o15_m_pos])</f>
        <v>0</v>
      </c>
      <c r="AC5" s="61">
        <f>SUBTOTAL(109,tx_tb_T[tx_tb_D_oth_pos])</f>
        <v>0</v>
      </c>
      <c r="AD5" s="61">
        <f>SUBTOTAL(109,tx_tb_T[tx_tb_D_smear_pos])</f>
        <v>0</v>
      </c>
      <c r="AE5" s="61">
        <f>SUBTOTAL(109,tx_tb_T[tx_tb_D_xpert_pos])</f>
        <v>0</v>
      </c>
      <c r="AF5" s="61">
        <f>SUBTOTAL(109,tx_tb_T[tx_tb_D_life_already_scrn_neg_pos])</f>
        <v>0</v>
      </c>
      <c r="AG5" s="61">
        <f>SUBTOTAL(109,tx_tb_T[tx_tb_D_life_already_scrn_pos_pos])</f>
        <v>0</v>
      </c>
      <c r="AH5" s="61">
        <f>SUBTOTAL(109,tx_tb_T[tx_tb_D_life_new_scrn_neg_pos])</f>
        <v>0</v>
      </c>
      <c r="AI5" s="61">
        <f>SUBTOTAL(109,tx_tb_T[tx_tb_D_life_new_scrn_pos_pos])</f>
        <v>0</v>
      </c>
    </row>
    <row r="6" spans="1:3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1540</v>
      </c>
      <c r="K6" s="26" t="s">
        <v>1541</v>
      </c>
      <c r="L6" s="26" t="s">
        <v>1542</v>
      </c>
      <c r="M6" s="26" t="s">
        <v>1543</v>
      </c>
      <c r="N6" s="26" t="s">
        <v>1544</v>
      </c>
      <c r="O6" s="26" t="s">
        <v>1545</v>
      </c>
      <c r="P6" s="26" t="s">
        <v>1546</v>
      </c>
      <c r="Q6" s="26" t="s">
        <v>1547</v>
      </c>
      <c r="R6" s="26" t="s">
        <v>1548</v>
      </c>
      <c r="S6" s="26" t="s">
        <v>1549</v>
      </c>
      <c r="T6" s="26" t="s">
        <v>1550</v>
      </c>
      <c r="U6" s="26" t="s">
        <v>1641</v>
      </c>
      <c r="V6" s="26" t="s">
        <v>1642</v>
      </c>
      <c r="W6" s="26" t="s">
        <v>1644</v>
      </c>
      <c r="X6" s="26" t="s">
        <v>933</v>
      </c>
      <c r="Y6" s="26" t="s">
        <v>786</v>
      </c>
      <c r="Z6" s="26" t="s">
        <v>712</v>
      </c>
      <c r="AA6" s="26" t="s">
        <v>713</v>
      </c>
      <c r="AB6" s="26" t="s">
        <v>714</v>
      </c>
      <c r="AC6" s="26" t="s">
        <v>715</v>
      </c>
      <c r="AD6" s="26" t="s">
        <v>716</v>
      </c>
      <c r="AE6" s="26" t="s">
        <v>717</v>
      </c>
      <c r="AF6" s="26" t="s">
        <v>718</v>
      </c>
      <c r="AG6" s="26" t="s">
        <v>719</v>
      </c>
      <c r="AH6" s="26" t="s">
        <v>720</v>
      </c>
      <c r="AI6" s="26" t="s">
        <v>721</v>
      </c>
    </row>
    <row r="7" spans="1:3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167">
        <f>SUM(tx_tb_T[[#This Row],[A_tx_tb_D_u15_f_pos]:[A_tx_tb_D_o15_m_pos]])</f>
        <v>0</v>
      </c>
      <c r="V7" s="167">
        <f>SUM(tx_tb_T[[#This Row],[A_tx_tb_D_oth_pos]:[A_tx_tb_D_xpert_pos]])</f>
        <v>0</v>
      </c>
      <c r="W7" s="167">
        <f>SUM(tx_tb_T[[#This Row],[A_tx_tb_D_life_already_scrn_neg_pos]:[A_tx_tb_D_life_new_scrn_pos_pos]])</f>
        <v>0</v>
      </c>
      <c r="X7" s="42"/>
      <c r="Y7" s="42">
        <f>tx_tb_T[[D_tx_tb_D_fy19]:[D_tx_tb_D_fy19]]*tx_tb_T[A_tx_tb_D_u15_f_pos]</f>
        <v>0</v>
      </c>
      <c r="Z7" s="42">
        <f>tx_tb_T[[D_tx_tb_D_fy19]:[D_tx_tb_D_fy19]]*tx_tb_T[A_tx_tb_D_u15_m_pos]</f>
        <v>0</v>
      </c>
      <c r="AA7" s="42">
        <f>tx_tb_T[[D_tx_tb_D_fy19]:[D_tx_tb_D_fy19]]*tx_tb_T[A_tx_tb_D_o15_f_pos]</f>
        <v>0</v>
      </c>
      <c r="AB7" s="42">
        <f>tx_tb_T[[D_tx_tb_D_fy19]:[D_tx_tb_D_fy19]]*tx_tb_T[A_tx_tb_D_o15_m_pos]</f>
        <v>0</v>
      </c>
      <c r="AC7" s="42">
        <f>tx_tb_T[[D_tx_tb_D_fy19]:[D_tx_tb_D_fy19]]*tx_tb_T[A_tx_tb_D_oth_pos]</f>
        <v>0</v>
      </c>
      <c r="AD7" s="42">
        <f>tx_tb_T[[D_tx_tb_D_fy19]:[D_tx_tb_D_fy19]]*tx_tb_T[A_tx_tb_D_smear_pos]</f>
        <v>0</v>
      </c>
      <c r="AE7" s="42">
        <f>tx_tb_T[[D_tx_tb_D_fy19]:[D_tx_tb_D_fy19]]*tx_tb_T[A_tx_tb_D_xpert_pos]</f>
        <v>0</v>
      </c>
      <c r="AF7" s="42">
        <f>tx_tb_T[[D_tx_tb_D_fy19]:[D_tx_tb_D_fy19]]*tx_tb_T[A_tx_tb_D_life_already_scrn_neg_pos]</f>
        <v>0</v>
      </c>
      <c r="AG7" s="42">
        <f>tx_tb_T[[D_tx_tb_D_fy19]:[D_tx_tb_D_fy19]]*tx_tb_T[A_tx_tb_D_life_already_scrn_pos_pos]</f>
        <v>0</v>
      </c>
      <c r="AH7" s="42">
        <f>tx_tb_T[[D_tx_tb_D_fy19]:[D_tx_tb_D_fy19]]*tx_tb_T[A_tx_tb_D_life_new_scrn_neg_pos]</f>
        <v>0</v>
      </c>
      <c r="AI7" s="42">
        <f>tx_tb_T[[D_tx_tb_D_fy19]:[D_tx_tb_D_fy19]]*tx_tb_T[A_tx_tb_D_life_new_scrn_pos_pos]</f>
        <v>0</v>
      </c>
    </row>
    <row r="8" spans="1:3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H8" s="19"/>
      <c r="AI8" s="19"/>
      <c r="AJ8" s="19"/>
    </row>
    <row r="9" spans="1:3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H9" s="19"/>
      <c r="AI9" s="19"/>
      <c r="AJ9" s="19"/>
    </row>
    <row r="10" spans="1:3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H10" s="19"/>
      <c r="AI10" s="19"/>
      <c r="AJ10" s="19"/>
    </row>
    <row r="11" spans="1:3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D11" s="19"/>
      <c r="AE11" s="19"/>
      <c r="AF11" s="19"/>
      <c r="AG11" s="19"/>
      <c r="AH11" s="19"/>
      <c r="AI11" s="19"/>
      <c r="AJ11" s="19"/>
    </row>
    <row r="12" spans="1:3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3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</row>
    <row r="14" spans="1:3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</row>
    <row r="15" spans="1:3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</row>
    <row r="16" spans="1:3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</row>
    <row r="17" spans="1:23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</row>
    <row r="18" spans="1:23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</row>
    <row r="19" spans="1:23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</row>
    <row r="20" spans="1:23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</row>
    <row r="21" spans="1:23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</row>
    <row r="22" spans="1:23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</row>
    <row r="23" spans="1:23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</row>
    <row r="24" spans="1:23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</row>
    <row r="25" spans="1:23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</row>
    <row r="26" spans="1:23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</row>
    <row r="27" spans="1:23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</row>
    <row r="28" spans="1:23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</row>
    <row r="29" spans="1:23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</row>
    <row r="30" spans="1:23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</row>
    <row r="31" spans="1:23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</row>
    <row r="32" spans="1:23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</row>
    <row r="33" spans="1:23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</row>
    <row r="34" spans="1:23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</row>
    <row r="35" spans="1:23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</row>
    <row r="36" spans="1:23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</row>
    <row r="37" spans="1:23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</row>
    <row r="38" spans="1:23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</row>
    <row r="39" spans="1:23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</row>
    <row r="40" spans="1:23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</row>
    <row r="41" spans="1:23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</row>
    <row r="42" spans="1:23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</row>
    <row r="43" spans="1:23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</row>
    <row r="44" spans="1:23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</row>
    <row r="45" spans="1:23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</row>
    <row r="46" spans="1:23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</row>
    <row r="47" spans="1:23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</row>
    <row r="48" spans="1:23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</row>
    <row r="49" spans="1:23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</row>
    <row r="50" spans="1:23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</row>
    <row r="51" spans="1:23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</row>
    <row r="52" spans="1:23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</row>
    <row r="53" spans="1:23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</row>
    <row r="54" spans="1:23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</row>
    <row r="55" spans="1:23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</row>
    <row r="56" spans="1:23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</row>
    <row r="57" spans="1:23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</row>
    <row r="58" spans="1:23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</row>
    <row r="59" spans="1:23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</row>
    <row r="60" spans="1:23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</row>
    <row r="61" spans="1:23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</row>
    <row r="62" spans="1:23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</row>
    <row r="63" spans="1:23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</row>
    <row r="64" spans="1:23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</row>
    <row r="65" spans="1:23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</row>
    <row r="66" spans="1:23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</row>
    <row r="67" spans="1:23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</row>
    <row r="68" spans="1:23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</row>
    <row r="69" spans="1:23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</row>
    <row r="70" spans="1:23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</row>
    <row r="71" spans="1:23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</row>
    <row r="72" spans="1:23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</row>
    <row r="73" spans="1:23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</row>
    <row r="74" spans="1:23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</row>
    <row r="75" spans="1:23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</row>
    <row r="76" spans="1:23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</row>
    <row r="77" spans="1:23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</row>
    <row r="78" spans="1:23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</row>
    <row r="79" spans="1:23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</row>
    <row r="80" spans="1:23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</row>
    <row r="81" spans="1:23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</row>
    <row r="82" spans="1:23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</row>
    <row r="83" spans="1:23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</row>
    <row r="84" spans="1:23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</row>
    <row r="85" spans="1:23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</row>
    <row r="86" spans="1:23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</row>
    <row r="87" spans="1:23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</row>
    <row r="88" spans="1:23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</row>
    <row r="89" spans="1:23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</row>
    <row r="90" spans="1:23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</row>
    <row r="91" spans="1:23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</row>
    <row r="92" spans="1:23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</row>
    <row r="93" spans="1:23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</row>
    <row r="94" spans="1:23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</row>
    <row r="95" spans="1:23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</row>
    <row r="96" spans="1:23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</row>
    <row r="97" spans="1:23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</row>
    <row r="98" spans="1:23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</row>
    <row r="99" spans="1:23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</row>
    <row r="100" spans="1:23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</row>
    <row r="101" spans="1:23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</row>
    <row r="102" spans="1:23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</row>
    <row r="103" spans="1:23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</row>
    <row r="104" spans="1:23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</row>
    <row r="105" spans="1:23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</row>
    <row r="106" spans="1:23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</row>
    <row r="107" spans="1:23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</row>
    <row r="108" spans="1:23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</row>
    <row r="109" spans="1:23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</row>
    <row r="110" spans="1:23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</row>
    <row r="111" spans="1:23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</row>
    <row r="112" spans="1:23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</row>
    <row r="113" spans="1:23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</row>
    <row r="114" spans="1:23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</row>
    <row r="115" spans="1:23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</row>
    <row r="116" spans="1:23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</row>
    <row r="117" spans="1:23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</row>
    <row r="118" spans="1:23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</row>
    <row r="119" spans="1:23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</row>
    <row r="120" spans="1:23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</row>
    <row r="121" spans="1:23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</row>
    <row r="122" spans="1:23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</row>
    <row r="123" spans="1:23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</row>
    <row r="124" spans="1:23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</row>
    <row r="125" spans="1:23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</row>
    <row r="126" spans="1:23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</row>
    <row r="127" spans="1:23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</row>
    <row r="128" spans="1:23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</row>
    <row r="129" spans="1:23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</row>
    <row r="130" spans="1:23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</row>
    <row r="131" spans="1:23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</row>
    <row r="132" spans="1:23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</row>
    <row r="133" spans="1:23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</row>
    <row r="134" spans="1:23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</row>
    <row r="135" spans="1:23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</row>
    <row r="136" spans="1:23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</row>
    <row r="137" spans="1:23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</row>
    <row r="138" spans="1:23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</row>
    <row r="139" spans="1:23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</row>
    <row r="140" spans="1:23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</row>
    <row r="141" spans="1:23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</row>
    <row r="142" spans="1:23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</row>
    <row r="143" spans="1:23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</row>
    <row r="144" spans="1:23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</row>
    <row r="145" spans="1:23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</row>
    <row r="146" spans="1:23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</row>
    <row r="147" spans="1:23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</row>
    <row r="148" spans="1:23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</row>
    <row r="149" spans="1:23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</row>
    <row r="150" spans="1:23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</row>
    <row r="151" spans="1:23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</row>
    <row r="152" spans="1:23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</row>
    <row r="153" spans="1:23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</row>
    <row r="154" spans="1:23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</row>
    <row r="155" spans="1:23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</row>
    <row r="156" spans="1:23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</row>
    <row r="157" spans="1:23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</row>
    <row r="158" spans="1:23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</row>
    <row r="159" spans="1:23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</row>
    <row r="160" spans="1:23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</row>
    <row r="161" spans="1:23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</row>
    <row r="162" spans="1:23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</row>
    <row r="163" spans="1:23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</row>
    <row r="164" spans="1:23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</row>
    <row r="165" spans="1:23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</row>
    <row r="166" spans="1:23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</row>
    <row r="167" spans="1:23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</row>
    <row r="168" spans="1:23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</row>
    <row r="169" spans="1:23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</row>
    <row r="170" spans="1:23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</row>
    <row r="171" spans="1:23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</row>
    <row r="172" spans="1:23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</row>
    <row r="173" spans="1:23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</row>
    <row r="174" spans="1:23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</row>
    <row r="175" spans="1:23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</row>
    <row r="176" spans="1:23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</row>
    <row r="177" spans="1:23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</row>
    <row r="178" spans="1:23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</row>
    <row r="179" spans="1:23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</row>
    <row r="180" spans="1:23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</row>
    <row r="181" spans="1:23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</row>
    <row r="182" spans="1:23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</row>
    <row r="183" spans="1:23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</row>
    <row r="184" spans="1:23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</row>
    <row r="185" spans="1:23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</row>
    <row r="186" spans="1:23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</row>
    <row r="187" spans="1:23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</row>
    <row r="188" spans="1:23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</row>
    <row r="189" spans="1:23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</row>
    <row r="190" spans="1:23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</row>
    <row r="191" spans="1:23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</row>
    <row r="192" spans="1:23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</row>
    <row r="193" spans="1:23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</row>
    <row r="194" spans="1:23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</row>
    <row r="195" spans="1:23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</row>
    <row r="196" spans="1:23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</row>
    <row r="197" spans="1:23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</row>
    <row r="198" spans="1:23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</row>
    <row r="199" spans="1:23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</row>
    <row r="200" spans="1:23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</row>
    <row r="201" spans="1:23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</row>
    <row r="202" spans="1:23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</row>
    <row r="203" spans="1:23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</row>
    <row r="204" spans="1:23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</row>
    <row r="205" spans="1:23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</row>
    <row r="206" spans="1:23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</row>
    <row r="207" spans="1:23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</row>
    <row r="208" spans="1:23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</row>
    <row r="209" spans="1:23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</row>
    <row r="210" spans="1:23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</row>
    <row r="211" spans="1:23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</row>
    <row r="212" spans="1:23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</row>
    <row r="213" spans="1:23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</row>
    <row r="214" spans="1:23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</row>
    <row r="215" spans="1:23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</row>
    <row r="216" spans="1:23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</row>
    <row r="217" spans="1:23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</row>
    <row r="218" spans="1:23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</row>
    <row r="219" spans="1:23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</row>
    <row r="220" spans="1:23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</row>
    <row r="221" spans="1:23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</row>
    <row r="222" spans="1:23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</row>
    <row r="223" spans="1:23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</row>
    <row r="224" spans="1:23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</row>
    <row r="225" spans="1:23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</row>
    <row r="226" spans="1:23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</row>
    <row r="227" spans="1:23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</row>
    <row r="228" spans="1:23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</row>
    <row r="229" spans="1:23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</row>
    <row r="230" spans="1:23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</row>
    <row r="231" spans="1:23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</row>
    <row r="232" spans="1:23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</row>
    <row r="233" spans="1:23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</row>
    <row r="234" spans="1:23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</row>
    <row r="235" spans="1:23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</row>
    <row r="236" spans="1:23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</row>
    <row r="237" spans="1:23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</row>
    <row r="238" spans="1:23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</row>
    <row r="239" spans="1:23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</row>
    <row r="240" spans="1:23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</row>
    <row r="241" spans="1:23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</row>
    <row r="242" spans="1:23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</row>
    <row r="243" spans="1:23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</row>
    <row r="244" spans="1:23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</row>
    <row r="245" spans="1:23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</row>
    <row r="246" spans="1:23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</row>
    <row r="247" spans="1:23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</row>
    <row r="248" spans="1:23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</row>
    <row r="249" spans="1:23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</row>
    <row r="250" spans="1:23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</row>
    <row r="251" spans="1:23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</row>
    <row r="252" spans="1:23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</row>
    <row r="253" spans="1:23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</row>
    <row r="254" spans="1:23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</row>
    <row r="255" spans="1:23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</row>
    <row r="256" spans="1:23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</row>
    <row r="257" spans="1:23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</row>
    <row r="258" spans="1:23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</row>
    <row r="259" spans="1:23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</row>
    <row r="260" spans="1:23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</row>
    <row r="261" spans="1:23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</row>
    <row r="262" spans="1:23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</row>
    <row r="263" spans="1:23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</row>
    <row r="264" spans="1:23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</row>
    <row r="265" spans="1:23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</row>
    <row r="266" spans="1:23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</row>
    <row r="267" spans="1:23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</row>
    <row r="268" spans="1:23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</row>
    <row r="269" spans="1:23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</row>
    <row r="270" spans="1:23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</row>
    <row r="271" spans="1:23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</row>
    <row r="272" spans="1:23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</row>
    <row r="273" spans="1:23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</row>
    <row r="274" spans="1:23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</row>
    <row r="275" spans="1:23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</row>
    <row r="276" spans="1:23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</row>
    <row r="277" spans="1:23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</row>
    <row r="278" spans="1:23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</row>
    <row r="279" spans="1:23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</row>
    <row r="280" spans="1:23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</row>
    <row r="281" spans="1:23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</row>
    <row r="282" spans="1:23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</row>
    <row r="283" spans="1:23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</row>
    <row r="284" spans="1:23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</row>
    <row r="285" spans="1:23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</row>
    <row r="286" spans="1:23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</row>
    <row r="287" spans="1:23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</row>
    <row r="288" spans="1:23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</row>
    <row r="289" spans="1:23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</row>
    <row r="290" spans="1:23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</row>
    <row r="291" spans="1:23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</row>
    <row r="292" spans="1:23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</row>
    <row r="293" spans="1:23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</row>
    <row r="294" spans="1:23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</row>
    <row r="295" spans="1:23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</row>
    <row r="296" spans="1:23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</row>
    <row r="297" spans="1:23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</row>
    <row r="298" spans="1:23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</row>
    <row r="299" spans="1:23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</row>
    <row r="300" spans="1:23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</row>
    <row r="301" spans="1:23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</row>
    <row r="302" spans="1:23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</row>
    <row r="303" spans="1:23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</row>
    <row r="304" spans="1:23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</row>
    <row r="305" spans="1:23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</row>
    <row r="306" spans="1:23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</row>
    <row r="307" spans="1:23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</row>
    <row r="308" spans="1:23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</row>
    <row r="309" spans="1:23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</row>
    <row r="310" spans="1:23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</row>
    <row r="311" spans="1:23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</row>
    <row r="312" spans="1:23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</row>
    <row r="313" spans="1:23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</row>
    <row r="314" spans="1:23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</row>
    <row r="315" spans="1:23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</row>
    <row r="316" spans="1:23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</row>
    <row r="317" spans="1:23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</row>
    <row r="318" spans="1:23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</row>
    <row r="319" spans="1:23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</row>
    <row r="320" spans="1:23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</row>
    <row r="321" spans="1:23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</row>
    <row r="322" spans="1:23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</row>
    <row r="323" spans="1:23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</row>
    <row r="324" spans="1:23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</row>
    <row r="325" spans="1:23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</row>
    <row r="326" spans="1:23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</row>
    <row r="327" spans="1:23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</row>
    <row r="328" spans="1:23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</row>
    <row r="329" spans="1:23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</row>
    <row r="330" spans="1:23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</row>
    <row r="331" spans="1:23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</row>
    <row r="332" spans="1:23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</row>
    <row r="333" spans="1:23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</row>
    <row r="334" spans="1:23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</row>
    <row r="335" spans="1:23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</row>
    <row r="336" spans="1:23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</row>
    <row r="337" spans="1:23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</row>
    <row r="338" spans="1:23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</row>
    <row r="339" spans="1:23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</row>
    <row r="340" spans="1:23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</row>
    <row r="341" spans="1:23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</row>
    <row r="342" spans="1:23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</row>
    <row r="343" spans="1:23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</row>
    <row r="344" spans="1:23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</row>
    <row r="345" spans="1:23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</row>
    <row r="346" spans="1:23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</row>
    <row r="347" spans="1:23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</row>
    <row r="348" spans="1:23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</row>
    <row r="349" spans="1:23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</row>
    <row r="350" spans="1:23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</row>
    <row r="351" spans="1:23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</row>
    <row r="352" spans="1:23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</row>
    <row r="353" spans="1:23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</row>
    <row r="354" spans="1:23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</row>
    <row r="355" spans="1:23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</row>
    <row r="356" spans="1:23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</row>
    <row r="357" spans="1:23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</row>
    <row r="358" spans="1:23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</row>
    <row r="359" spans="1:23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</row>
    <row r="360" spans="1:23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</row>
    <row r="361" spans="1:23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</row>
    <row r="362" spans="1:23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</row>
    <row r="363" spans="1:23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</row>
    <row r="364" spans="1:23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</row>
    <row r="365" spans="1:23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</row>
    <row r="366" spans="1:23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</row>
    <row r="367" spans="1:23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</row>
    <row r="368" spans="1:23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</row>
    <row r="369" spans="1:23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</row>
    <row r="370" spans="1:23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</row>
    <row r="371" spans="1:23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</row>
    <row r="372" spans="1:23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</row>
    <row r="373" spans="1:23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</row>
    <row r="374" spans="1:23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</row>
    <row r="375" spans="1:23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</row>
    <row r="376" spans="1:23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</row>
    <row r="377" spans="1:23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</row>
    <row r="378" spans="1:23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</row>
    <row r="379" spans="1:23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</row>
    <row r="380" spans="1:23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</row>
    <row r="381" spans="1:23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</row>
    <row r="382" spans="1:23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</row>
    <row r="383" spans="1:23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</row>
    <row r="384" spans="1:23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</row>
    <row r="385" spans="1:23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</row>
    <row r="386" spans="1:23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</row>
    <row r="387" spans="1:23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</row>
    <row r="388" spans="1:23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</row>
    <row r="389" spans="1:23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</row>
    <row r="390" spans="1:23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</row>
    <row r="391" spans="1:23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</row>
    <row r="392" spans="1:23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</row>
    <row r="393" spans="1:23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</row>
    <row r="394" spans="1:23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</row>
    <row r="395" spans="1:23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</row>
    <row r="396" spans="1:23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</row>
    <row r="397" spans="1:23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</row>
    <row r="398" spans="1:23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</row>
    <row r="399" spans="1:23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</row>
    <row r="400" spans="1:23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</row>
    <row r="401" spans="1:23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</row>
    <row r="402" spans="1:23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</row>
    <row r="403" spans="1:23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</row>
    <row r="404" spans="1:23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</row>
    <row r="405" spans="1:23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</row>
    <row r="406" spans="1:23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</row>
    <row r="407" spans="1:23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</row>
    <row r="408" spans="1:23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</row>
    <row r="409" spans="1:23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</row>
    <row r="410" spans="1:23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</row>
    <row r="411" spans="1:23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</row>
    <row r="412" spans="1:23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</row>
    <row r="413" spans="1:23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</row>
    <row r="414" spans="1:23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</row>
    <row r="415" spans="1:23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</row>
    <row r="416" spans="1:23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</row>
    <row r="417" spans="1:23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</row>
    <row r="418" spans="1:23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</row>
    <row r="419" spans="1:23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</row>
    <row r="420" spans="1:23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</row>
    <row r="421" spans="1:23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</row>
    <row r="422" spans="1:23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</row>
    <row r="423" spans="1:23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</row>
    <row r="424" spans="1:23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</row>
    <row r="425" spans="1:23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</row>
    <row r="426" spans="1:23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</row>
    <row r="427" spans="1:23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</row>
    <row r="428" spans="1:23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</row>
    <row r="429" spans="1:23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</row>
    <row r="430" spans="1:23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</row>
    <row r="431" spans="1:23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</row>
    <row r="432" spans="1:23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</row>
    <row r="433" spans="1:23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</row>
    <row r="434" spans="1:23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</row>
    <row r="435" spans="1:23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</row>
    <row r="436" spans="1:23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</row>
    <row r="437" spans="1:23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</row>
    <row r="438" spans="1:23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</row>
    <row r="439" spans="1:23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</row>
    <row r="440" spans="1:23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</row>
    <row r="441" spans="1:23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</row>
    <row r="442" spans="1:23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</row>
    <row r="443" spans="1:23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</row>
    <row r="444" spans="1:23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</row>
    <row r="445" spans="1:23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</row>
    <row r="446" spans="1:23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</row>
    <row r="447" spans="1:23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</row>
    <row r="448" spans="1:23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</row>
    <row r="449" spans="1:23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</row>
    <row r="450" spans="1:23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</row>
    <row r="451" spans="1:23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</row>
    <row r="452" spans="1:23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</row>
    <row r="453" spans="1:23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</row>
    <row r="454" spans="1:23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</row>
    <row r="455" spans="1:23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</row>
    <row r="456" spans="1:23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</row>
    <row r="457" spans="1:23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</row>
    <row r="458" spans="1:23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</row>
    <row r="459" spans="1:23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</row>
    <row r="460" spans="1:23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</row>
    <row r="461" spans="1:23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</row>
    <row r="462" spans="1:23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</row>
    <row r="463" spans="1:23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</row>
    <row r="464" spans="1:23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</row>
    <row r="465" spans="1:23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</row>
    <row r="466" spans="1:23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</row>
    <row r="467" spans="1:23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</row>
    <row r="468" spans="1:23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</row>
    <row r="469" spans="1:23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</row>
    <row r="470" spans="1:23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</row>
    <row r="471" spans="1:23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</row>
    <row r="472" spans="1:23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</row>
    <row r="473" spans="1:23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</row>
    <row r="474" spans="1:23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</row>
    <row r="475" spans="1:23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</row>
    <row r="476" spans="1:23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</row>
    <row r="477" spans="1:23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</row>
    <row r="478" spans="1:23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</row>
    <row r="479" spans="1:23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</row>
    <row r="480" spans="1:23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</row>
    <row r="481" spans="1:23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</row>
    <row r="482" spans="1:23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</row>
    <row r="483" spans="1:23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</row>
    <row r="484" spans="1:23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</row>
    <row r="485" spans="1:23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</row>
    <row r="486" spans="1:23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</row>
    <row r="487" spans="1:23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</row>
    <row r="488" spans="1:23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</row>
    <row r="489" spans="1:23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</row>
    <row r="490" spans="1:23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</row>
    <row r="491" spans="1:23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</row>
    <row r="492" spans="1:23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</row>
    <row r="493" spans="1:23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</row>
    <row r="494" spans="1:23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</row>
    <row r="495" spans="1:23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</row>
    <row r="496" spans="1:23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</row>
    <row r="497" spans="1:23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</row>
    <row r="498" spans="1:23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</row>
    <row r="499" spans="1:23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</row>
    <row r="500" spans="1:23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</row>
    <row r="501" spans="1:23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</row>
    <row r="502" spans="1:23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</row>
    <row r="503" spans="1:23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</row>
    <row r="504" spans="1:23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</row>
    <row r="505" spans="1:23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</row>
    <row r="506" spans="1:23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</row>
    <row r="507" spans="1:23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</row>
    <row r="508" spans="1:23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</row>
    <row r="509" spans="1:23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</row>
    <row r="510" spans="1:23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</row>
    <row r="511" spans="1:23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</row>
    <row r="512" spans="1:23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</row>
    <row r="513" spans="1:23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</row>
    <row r="514" spans="1:23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</row>
    <row r="515" spans="1:23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</row>
    <row r="516" spans="1:23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</row>
    <row r="517" spans="1:23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</row>
    <row r="518" spans="1:23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</row>
    <row r="519" spans="1:23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</row>
    <row r="520" spans="1:23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</row>
    <row r="521" spans="1:23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</row>
    <row r="522" spans="1:23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</row>
    <row r="523" spans="1:23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</row>
    <row r="524" spans="1:23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</row>
    <row r="525" spans="1:23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</row>
    <row r="526" spans="1:23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</row>
    <row r="527" spans="1:23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</row>
    <row r="528" spans="1:23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</row>
    <row r="529" spans="1:23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</row>
    <row r="530" spans="1:23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</row>
    <row r="531" spans="1:23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</row>
    <row r="532" spans="1:23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</row>
    <row r="533" spans="1:23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</row>
    <row r="534" spans="1:23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</row>
    <row r="535" spans="1:23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</row>
    <row r="536" spans="1:23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</row>
    <row r="537" spans="1:23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</row>
    <row r="538" spans="1:23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</row>
    <row r="539" spans="1:23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</row>
    <row r="540" spans="1:23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</row>
    <row r="541" spans="1:23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</row>
    <row r="542" spans="1:23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</row>
    <row r="543" spans="1:23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</row>
    <row r="544" spans="1:23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</row>
    <row r="545" spans="1:23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</row>
    <row r="546" spans="1:23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</row>
    <row r="547" spans="1:23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</row>
    <row r="548" spans="1:23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</row>
    <row r="549" spans="1:23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</row>
    <row r="550" spans="1:23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</row>
    <row r="551" spans="1:23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</row>
    <row r="552" spans="1:23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</row>
    <row r="553" spans="1:23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</row>
    <row r="554" spans="1:23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</row>
    <row r="555" spans="1:23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</row>
    <row r="556" spans="1:23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</row>
    <row r="557" spans="1:23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</row>
    <row r="558" spans="1:23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</row>
    <row r="559" spans="1:23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</row>
    <row r="560" spans="1:23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</row>
    <row r="561" spans="1:23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</row>
    <row r="562" spans="1:23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</row>
    <row r="563" spans="1:23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</row>
    <row r="564" spans="1:23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</row>
    <row r="565" spans="1:23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</row>
    <row r="566" spans="1:23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</row>
    <row r="567" spans="1:23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</row>
    <row r="568" spans="1:23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</row>
    <row r="569" spans="1:23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</row>
    <row r="570" spans="1:23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</row>
    <row r="571" spans="1:23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</row>
    <row r="572" spans="1:23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</row>
    <row r="573" spans="1:23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</row>
    <row r="574" spans="1:23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</row>
    <row r="575" spans="1:23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</row>
    <row r="576" spans="1:23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</row>
    <row r="577" spans="1:23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</row>
    <row r="578" spans="1:23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</row>
    <row r="579" spans="1:23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</row>
    <row r="580" spans="1:23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</row>
    <row r="581" spans="1:23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</row>
    <row r="582" spans="1:23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</row>
    <row r="583" spans="1:23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</row>
    <row r="584" spans="1:23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</row>
    <row r="585" spans="1:23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</row>
    <row r="586" spans="1:23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</row>
    <row r="587" spans="1:23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</row>
    <row r="588" spans="1:23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</row>
    <row r="589" spans="1:23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</row>
    <row r="590" spans="1:23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</row>
    <row r="591" spans="1:23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</row>
    <row r="592" spans="1:23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</row>
    <row r="593" spans="1:23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</row>
    <row r="594" spans="1:23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</row>
    <row r="595" spans="1:23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</row>
    <row r="596" spans="1:23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</row>
    <row r="597" spans="1:23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</row>
    <row r="598" spans="1:23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</row>
    <row r="599" spans="1:23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</row>
    <row r="600" spans="1:23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</row>
    <row r="601" spans="1:23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</row>
    <row r="602" spans="1:23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</row>
    <row r="603" spans="1:23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</row>
    <row r="604" spans="1:23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</row>
    <row r="605" spans="1:23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</row>
    <row r="606" spans="1:23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</row>
    <row r="607" spans="1:23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</row>
    <row r="608" spans="1:23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</row>
    <row r="609" spans="1:23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</row>
    <row r="610" spans="1:23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</row>
    <row r="611" spans="1:23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</row>
    <row r="612" spans="1:23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</row>
    <row r="613" spans="1:23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</row>
    <row r="614" spans="1:23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</row>
    <row r="615" spans="1:23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</row>
    <row r="616" spans="1:23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</row>
    <row r="617" spans="1:23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</row>
    <row r="618" spans="1:23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</row>
    <row r="619" spans="1:23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</row>
    <row r="620" spans="1:23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</row>
    <row r="621" spans="1:23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</row>
    <row r="622" spans="1:23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</row>
    <row r="623" spans="1:23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</row>
    <row r="624" spans="1:23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</row>
    <row r="625" spans="1:23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</row>
    <row r="626" spans="1:23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</row>
    <row r="627" spans="1:23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</row>
    <row r="628" spans="1:23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</row>
    <row r="629" spans="1:23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</row>
    <row r="630" spans="1:23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</row>
    <row r="631" spans="1:23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</row>
    <row r="632" spans="1:23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</row>
    <row r="633" spans="1:23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</row>
    <row r="634" spans="1:23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</row>
    <row r="635" spans="1:23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</row>
    <row r="636" spans="1:23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</row>
    <row r="637" spans="1:23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</row>
    <row r="638" spans="1:23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</row>
    <row r="639" spans="1:23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</row>
    <row r="640" spans="1:23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</row>
    <row r="641" spans="1:23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</row>
    <row r="642" spans="1:23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</row>
    <row r="643" spans="1:23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</row>
    <row r="644" spans="1:23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</row>
    <row r="645" spans="1:23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</row>
    <row r="646" spans="1:23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</row>
    <row r="647" spans="1:23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</row>
    <row r="648" spans="1:23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</row>
    <row r="649" spans="1:23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</row>
    <row r="650" spans="1:23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</row>
    <row r="651" spans="1:23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</row>
    <row r="652" spans="1:23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</row>
    <row r="653" spans="1:23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</row>
    <row r="654" spans="1:23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</row>
    <row r="655" spans="1:23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</row>
    <row r="656" spans="1:23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</row>
    <row r="657" spans="1:23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</row>
    <row r="658" spans="1:23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</row>
    <row r="659" spans="1:23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</row>
    <row r="660" spans="1:23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</row>
    <row r="661" spans="1:23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</row>
    <row r="662" spans="1:23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</row>
    <row r="663" spans="1:23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</row>
    <row r="664" spans="1:23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</row>
    <row r="665" spans="1:23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</row>
    <row r="666" spans="1:23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</row>
    <row r="667" spans="1:23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</row>
    <row r="668" spans="1:23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</row>
    <row r="669" spans="1:23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</row>
    <row r="670" spans="1:23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</row>
    <row r="671" spans="1:23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</row>
    <row r="672" spans="1:23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</row>
    <row r="673" spans="1:23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</row>
    <row r="674" spans="1:23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</row>
    <row r="675" spans="1:23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</row>
    <row r="676" spans="1:23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</row>
    <row r="677" spans="1:23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</row>
    <row r="678" spans="1:23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</row>
    <row r="679" spans="1:23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</row>
    <row r="680" spans="1:23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</row>
    <row r="681" spans="1:23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</row>
    <row r="682" spans="1:23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</row>
    <row r="683" spans="1:23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</row>
    <row r="684" spans="1:23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</row>
    <row r="685" spans="1:23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</row>
    <row r="686" spans="1:23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</row>
    <row r="687" spans="1:23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</row>
    <row r="688" spans="1:23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</row>
    <row r="689" spans="1:23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</row>
    <row r="690" spans="1:23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</row>
    <row r="691" spans="1:23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</row>
    <row r="692" spans="1:23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</row>
    <row r="693" spans="1:23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</row>
    <row r="694" spans="1:23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</row>
    <row r="695" spans="1:23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</row>
    <row r="696" spans="1:23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</row>
    <row r="697" spans="1:23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</row>
    <row r="698" spans="1:23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</row>
    <row r="699" spans="1:23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</row>
    <row r="700" spans="1:23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</row>
    <row r="701" spans="1:23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</row>
    <row r="702" spans="1:23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</row>
    <row r="703" spans="1:23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</row>
    <row r="704" spans="1:23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</row>
    <row r="705" spans="1:23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</row>
    <row r="706" spans="1:23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</row>
    <row r="707" spans="1:23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</row>
    <row r="708" spans="1:23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</row>
    <row r="709" spans="1:23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</row>
    <row r="710" spans="1:23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</row>
    <row r="711" spans="1:23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</row>
    <row r="712" spans="1:23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</row>
    <row r="713" spans="1:23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</row>
    <row r="714" spans="1:23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</row>
    <row r="715" spans="1:23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</row>
    <row r="716" spans="1:23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</row>
    <row r="717" spans="1:23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</row>
    <row r="718" spans="1:23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</row>
    <row r="719" spans="1:23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</row>
    <row r="720" spans="1:23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</row>
    <row r="721" spans="1:23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</row>
    <row r="722" spans="1:23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</row>
    <row r="723" spans="1:23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</row>
    <row r="724" spans="1:23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</row>
    <row r="725" spans="1:23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</row>
    <row r="726" spans="1:23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</row>
    <row r="727" spans="1:23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</row>
    <row r="728" spans="1:23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</row>
    <row r="729" spans="1:23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</row>
    <row r="730" spans="1:23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</row>
    <row r="731" spans="1:23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</row>
    <row r="732" spans="1:23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</row>
    <row r="733" spans="1:23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</row>
    <row r="734" spans="1:23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</row>
    <row r="735" spans="1:23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</row>
    <row r="736" spans="1:23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</row>
    <row r="737" spans="1:23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</row>
    <row r="738" spans="1:23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</row>
    <row r="739" spans="1:23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</row>
    <row r="740" spans="1:23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</row>
    <row r="741" spans="1:23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</row>
    <row r="742" spans="1:23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</row>
    <row r="743" spans="1:23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</row>
    <row r="744" spans="1:23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</row>
    <row r="745" spans="1:23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</row>
    <row r="746" spans="1:23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</row>
    <row r="747" spans="1:23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</row>
    <row r="748" spans="1:23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</row>
    <row r="749" spans="1:23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</row>
    <row r="750" spans="1:23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</row>
    <row r="751" spans="1:23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</row>
    <row r="752" spans="1:23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</row>
    <row r="753" spans="1:23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</row>
    <row r="754" spans="1:23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</row>
    <row r="755" spans="1:23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</row>
    <row r="756" spans="1:23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</row>
    <row r="757" spans="1:23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</row>
    <row r="758" spans="1:23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</row>
    <row r="759" spans="1:23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</row>
    <row r="760" spans="1:23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</row>
    <row r="761" spans="1:23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</row>
    <row r="762" spans="1:23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</row>
    <row r="763" spans="1:23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</row>
    <row r="764" spans="1:23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</row>
    <row r="765" spans="1:23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</row>
    <row r="766" spans="1:23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</row>
    <row r="767" spans="1:23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</row>
    <row r="768" spans="1:23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</row>
    <row r="769" spans="1:23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</row>
    <row r="770" spans="1:23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</row>
    <row r="771" spans="1:23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</row>
    <row r="772" spans="1:23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</row>
    <row r="773" spans="1:23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</row>
    <row r="774" spans="1:23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</row>
    <row r="775" spans="1:23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</row>
    <row r="776" spans="1:23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</row>
    <row r="777" spans="1:23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</row>
    <row r="778" spans="1:23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</row>
    <row r="779" spans="1:23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</row>
    <row r="780" spans="1:23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</row>
    <row r="781" spans="1:23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</row>
    <row r="782" spans="1:23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</row>
    <row r="783" spans="1:23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</row>
    <row r="784" spans="1:23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</row>
    <row r="785" spans="1:23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</row>
    <row r="786" spans="1:23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</row>
    <row r="787" spans="1:23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</row>
    <row r="788" spans="1:23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</row>
    <row r="789" spans="1:23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</row>
    <row r="790" spans="1:23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</row>
    <row r="791" spans="1:23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</row>
    <row r="792" spans="1:23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</row>
    <row r="793" spans="1:23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</row>
    <row r="794" spans="1:23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</row>
    <row r="795" spans="1:23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</row>
    <row r="796" spans="1:23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</row>
    <row r="797" spans="1:23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</row>
    <row r="798" spans="1:23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</row>
    <row r="799" spans="1:23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</row>
    <row r="800" spans="1:23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</row>
    <row r="801" spans="1:23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</row>
    <row r="802" spans="1:23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</row>
    <row r="803" spans="1:23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</row>
    <row r="804" spans="1:23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</row>
    <row r="805" spans="1:23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</row>
    <row r="806" spans="1:23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</row>
    <row r="807" spans="1:23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</row>
    <row r="808" spans="1:23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</row>
    <row r="809" spans="1:23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</row>
    <row r="810" spans="1:23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</row>
    <row r="811" spans="1:23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</row>
    <row r="812" spans="1:23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</row>
    <row r="813" spans="1:23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</row>
    <row r="814" spans="1:23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</row>
    <row r="815" spans="1:23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</row>
    <row r="816" spans="1:23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</row>
    <row r="817" spans="1:23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</row>
    <row r="818" spans="1:23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</row>
    <row r="819" spans="1:23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</row>
    <row r="820" spans="1:23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</row>
    <row r="821" spans="1:23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</row>
    <row r="822" spans="1:23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</row>
    <row r="823" spans="1:23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</row>
    <row r="824" spans="1:23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</row>
    <row r="825" spans="1:23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</row>
    <row r="826" spans="1:23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</row>
    <row r="827" spans="1:23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</row>
    <row r="828" spans="1:23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</row>
    <row r="829" spans="1:23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</row>
    <row r="830" spans="1:23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</row>
    <row r="831" spans="1:23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</row>
    <row r="832" spans="1:23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</row>
    <row r="833" spans="1:23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</row>
    <row r="834" spans="1:23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</row>
    <row r="835" spans="1:23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</row>
    <row r="836" spans="1:23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</row>
    <row r="837" spans="1:23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</row>
    <row r="838" spans="1:23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</row>
    <row r="839" spans="1:23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</row>
    <row r="840" spans="1:23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</row>
    <row r="841" spans="1:23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</row>
    <row r="842" spans="1:23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</row>
    <row r="843" spans="1:23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</row>
    <row r="844" spans="1:23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</row>
    <row r="845" spans="1:23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</row>
    <row r="846" spans="1:23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</row>
    <row r="847" spans="1:23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</row>
    <row r="848" spans="1:23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</row>
    <row r="849" spans="1:23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</row>
    <row r="850" spans="1:23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</row>
    <row r="851" spans="1:23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</row>
    <row r="852" spans="1:23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</row>
    <row r="853" spans="1:23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</row>
    <row r="854" spans="1:23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</row>
    <row r="855" spans="1:23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</row>
    <row r="856" spans="1:23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</row>
    <row r="857" spans="1:23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</row>
    <row r="858" spans="1:23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</row>
    <row r="859" spans="1:23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</row>
    <row r="860" spans="1:23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</row>
    <row r="861" spans="1:23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</row>
    <row r="862" spans="1:23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</row>
    <row r="863" spans="1:23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</row>
    <row r="864" spans="1:23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</row>
    <row r="865" spans="1:23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</row>
    <row r="866" spans="1:23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</row>
    <row r="867" spans="1:23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</row>
    <row r="868" spans="1:23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</row>
    <row r="869" spans="1:23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</row>
    <row r="870" spans="1:23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</row>
    <row r="871" spans="1:23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</row>
    <row r="872" spans="1:23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</row>
    <row r="873" spans="1:23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</row>
    <row r="874" spans="1:23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</row>
    <row r="875" spans="1:23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</row>
    <row r="876" spans="1:23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</row>
    <row r="877" spans="1:23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</row>
    <row r="878" spans="1:23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</row>
    <row r="879" spans="1:23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</row>
    <row r="880" spans="1:23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</row>
    <row r="881" spans="1:23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</row>
    <row r="882" spans="1:23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</row>
    <row r="883" spans="1:23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</row>
    <row r="884" spans="1:23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</row>
    <row r="885" spans="1:23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</row>
    <row r="886" spans="1:23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</row>
    <row r="887" spans="1:23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</row>
    <row r="888" spans="1:23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</row>
    <row r="889" spans="1:23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</row>
    <row r="890" spans="1:23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</row>
    <row r="891" spans="1:23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</row>
    <row r="892" spans="1:23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</row>
    <row r="893" spans="1:23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</row>
    <row r="894" spans="1:23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</row>
    <row r="895" spans="1:23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</row>
    <row r="896" spans="1:23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</row>
    <row r="897" spans="1:23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</row>
    <row r="898" spans="1:23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</row>
    <row r="899" spans="1:23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</row>
    <row r="900" spans="1:23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</row>
    <row r="901" spans="1:23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</row>
    <row r="902" spans="1:23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</row>
    <row r="903" spans="1:23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</row>
    <row r="904" spans="1:23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</row>
    <row r="905" spans="1:23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</row>
    <row r="906" spans="1:23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</row>
    <row r="907" spans="1:23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</row>
    <row r="908" spans="1:23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</row>
    <row r="909" spans="1:23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</row>
    <row r="910" spans="1:23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</row>
    <row r="911" spans="1:23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</row>
    <row r="912" spans="1:23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</row>
    <row r="913" spans="1:23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</row>
    <row r="914" spans="1:23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</row>
    <row r="915" spans="1:23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</row>
    <row r="916" spans="1:23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</row>
    <row r="917" spans="1:23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</row>
    <row r="918" spans="1:23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</row>
    <row r="919" spans="1:23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</row>
    <row r="920" spans="1:23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</row>
    <row r="921" spans="1:23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</row>
    <row r="922" spans="1:23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</row>
    <row r="923" spans="1:23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</row>
    <row r="924" spans="1:23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</row>
    <row r="925" spans="1:23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</row>
    <row r="926" spans="1:23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</row>
    <row r="927" spans="1:23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</row>
    <row r="928" spans="1:23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</row>
    <row r="929" spans="1:23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</row>
    <row r="930" spans="1:23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</row>
    <row r="931" spans="1:23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</row>
    <row r="932" spans="1:23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</row>
    <row r="933" spans="1:23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</row>
    <row r="934" spans="1:23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</row>
    <row r="935" spans="1:23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</row>
    <row r="936" spans="1:23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</row>
    <row r="937" spans="1:23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</row>
    <row r="938" spans="1:23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</row>
    <row r="939" spans="1:23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</row>
    <row r="940" spans="1:23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</row>
    <row r="941" spans="1:23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</row>
    <row r="942" spans="1:23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</row>
    <row r="943" spans="1:23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</row>
    <row r="944" spans="1:23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</row>
    <row r="945" spans="1:23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</row>
    <row r="946" spans="1:23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</row>
    <row r="947" spans="1:23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</row>
    <row r="948" spans="1:23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</row>
    <row r="949" spans="1:23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</row>
    <row r="950" spans="1:23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</row>
    <row r="951" spans="1:23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</row>
    <row r="952" spans="1:23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</row>
    <row r="953" spans="1:23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</row>
    <row r="954" spans="1:23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</row>
    <row r="955" spans="1:23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</row>
    <row r="956" spans="1:23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</row>
    <row r="957" spans="1:23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</row>
    <row r="958" spans="1:23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</row>
    <row r="959" spans="1:23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</row>
    <row r="960" spans="1:23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</row>
    <row r="961" spans="1:23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</row>
    <row r="962" spans="1:23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</row>
    <row r="963" spans="1:23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</row>
    <row r="964" spans="1:23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</row>
    <row r="965" spans="1:23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</row>
    <row r="966" spans="1:23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</row>
    <row r="967" spans="1:23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</row>
    <row r="968" spans="1:23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</row>
    <row r="969" spans="1:23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</row>
    <row r="970" spans="1:23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</row>
    <row r="971" spans="1:23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</row>
    <row r="972" spans="1:23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</row>
    <row r="973" spans="1:23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</row>
    <row r="974" spans="1:23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</row>
    <row r="975" spans="1:23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</row>
    <row r="976" spans="1:23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</row>
    <row r="977" spans="1:23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</row>
    <row r="978" spans="1:23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</row>
    <row r="979" spans="1:23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</row>
    <row r="980" spans="1:23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</row>
    <row r="981" spans="1:23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</row>
    <row r="982" spans="1:23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</row>
    <row r="983" spans="1:23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</row>
    <row r="984" spans="1:23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</row>
    <row r="985" spans="1:23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</row>
    <row r="986" spans="1:23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</row>
    <row r="987" spans="1:23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</row>
    <row r="988" spans="1:23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</row>
    <row r="989" spans="1:23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</row>
    <row r="990" spans="1:23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</row>
    <row r="991" spans="1:23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</row>
    <row r="992" spans="1:23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</row>
    <row r="993" spans="1:23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</row>
    <row r="994" spans="1:23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</row>
    <row r="995" spans="1:23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</row>
    <row r="996" spans="1:23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</row>
    <row r="997" spans="1:23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</row>
    <row r="998" spans="1:23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</row>
    <row r="999" spans="1:23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</row>
    <row r="1000" spans="1:23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</row>
    <row r="1001" spans="1:23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</row>
    <row r="1002" spans="1:23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</row>
    <row r="1003" spans="1:23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</row>
    <row r="1004" spans="1:23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</row>
    <row r="1005" spans="1:23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</row>
    <row r="1006" spans="1:23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</row>
    <row r="1007" spans="1:23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</row>
    <row r="1008" spans="1:23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</row>
    <row r="1009" spans="1:23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</row>
    <row r="1010" spans="1:23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</row>
    <row r="1011" spans="1:23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</row>
    <row r="1012" spans="1:23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</row>
    <row r="1013" spans="1:23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</row>
    <row r="1014" spans="1:23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</row>
    <row r="1015" spans="1:23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</row>
    <row r="1016" spans="1:23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</row>
    <row r="1017" spans="1:23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</row>
    <row r="1018" spans="1:23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</row>
    <row r="1019" spans="1:23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</row>
    <row r="1020" spans="1:23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</row>
    <row r="1021" spans="1:23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</row>
    <row r="1022" spans="1:23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</row>
    <row r="1023" spans="1:23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</row>
    <row r="1024" spans="1:23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</row>
    <row r="1025" spans="1:23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</row>
    <row r="1026" spans="1:23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</row>
    <row r="1027" spans="1:23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</row>
    <row r="1028" spans="1:23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</row>
    <row r="1029" spans="1:23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</row>
    <row r="1030" spans="1:23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</row>
    <row r="1031" spans="1:23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</row>
    <row r="1032" spans="1:23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</row>
    <row r="1033" spans="1:23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</row>
    <row r="1034" spans="1:23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</row>
    <row r="1035" spans="1:23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</row>
    <row r="1036" spans="1:23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</row>
    <row r="1037" spans="1:23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</row>
    <row r="1038" spans="1:23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</row>
    <row r="1039" spans="1:23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</row>
    <row r="1040" spans="1:23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</row>
    <row r="1041" spans="1:23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</row>
    <row r="1042" spans="1:23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</row>
    <row r="1043" spans="1:23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</row>
    <row r="1044" spans="1:23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</row>
    <row r="1045" spans="1:23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</row>
    <row r="1046" spans="1:23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</row>
    <row r="1047" spans="1:23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</row>
    <row r="1048" spans="1:23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</row>
    <row r="1049" spans="1:23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</row>
    <row r="1050" spans="1:23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</row>
    <row r="1051" spans="1:23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</row>
    <row r="1052" spans="1:23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</row>
    <row r="1053" spans="1:23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</row>
    <row r="1054" spans="1:23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</row>
    <row r="1055" spans="1:23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</row>
    <row r="1056" spans="1:23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</row>
    <row r="1057" spans="1:23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</row>
    <row r="1058" spans="1:23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</row>
    <row r="1059" spans="1:23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</row>
    <row r="1060" spans="1:23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</row>
    <row r="1061" spans="1:23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</row>
    <row r="1062" spans="1:23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</row>
    <row r="1063" spans="1:23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</row>
    <row r="1064" spans="1:23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</row>
    <row r="1065" spans="1:23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</row>
    <row r="1066" spans="1:23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</row>
    <row r="1067" spans="1:23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</row>
    <row r="1068" spans="1:23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</row>
    <row r="1069" spans="1:23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</row>
    <row r="1070" spans="1:23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</row>
    <row r="1071" spans="1:23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</row>
    <row r="1072" spans="1:23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</row>
    <row r="1073" spans="1:23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</row>
    <row r="1074" spans="1:23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</row>
    <row r="1075" spans="1:23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</row>
    <row r="1076" spans="1:23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</row>
    <row r="1077" spans="1:23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</row>
    <row r="1078" spans="1:23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</row>
    <row r="1079" spans="1:23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</row>
    <row r="1080" spans="1:23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</row>
    <row r="1081" spans="1:23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</row>
    <row r="1082" spans="1:23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</row>
    <row r="1083" spans="1:23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</row>
    <row r="1084" spans="1:23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</row>
    <row r="1085" spans="1:23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</row>
    <row r="1086" spans="1:23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</row>
    <row r="1087" spans="1:23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</row>
    <row r="1088" spans="1:23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</row>
    <row r="1089" spans="1:23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</row>
    <row r="1090" spans="1:23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</row>
    <row r="1091" spans="1:23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</row>
    <row r="1092" spans="1:23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</row>
    <row r="1093" spans="1:23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</row>
    <row r="1094" spans="1:23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</row>
    <row r="1095" spans="1:23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</row>
    <row r="1096" spans="1:23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</row>
    <row r="1097" spans="1:23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</row>
    <row r="1098" spans="1:23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</row>
    <row r="1099" spans="1:23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</row>
    <row r="1100" spans="1:23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</row>
    <row r="1101" spans="1:23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</row>
    <row r="1102" spans="1:23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</row>
    <row r="1103" spans="1:23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</row>
    <row r="1104" spans="1:23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</row>
    <row r="1105" spans="1:23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</row>
    <row r="1106" spans="1:23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</row>
    <row r="1107" spans="1:23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</row>
    <row r="1108" spans="1:23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</row>
    <row r="1109" spans="1:23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</row>
    <row r="1110" spans="1:23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</row>
    <row r="1111" spans="1:23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</row>
    <row r="1112" spans="1:23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</row>
    <row r="1113" spans="1:23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</row>
    <row r="1114" spans="1:23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</row>
    <row r="1115" spans="1:23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</row>
    <row r="1116" spans="1:23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</row>
    <row r="1117" spans="1:23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</row>
    <row r="1118" spans="1:23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</row>
    <row r="1119" spans="1:23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</row>
    <row r="1120" spans="1:23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</row>
    <row r="1121" spans="1:23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</row>
    <row r="1122" spans="1:23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</row>
    <row r="1123" spans="1:23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</row>
    <row r="1124" spans="1:23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</row>
    <row r="1125" spans="1:23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</row>
    <row r="1126" spans="1:23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</row>
    <row r="1127" spans="1:23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</row>
    <row r="1128" spans="1:23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</row>
    <row r="1129" spans="1:23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</row>
    <row r="1130" spans="1:23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</row>
    <row r="1131" spans="1:23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</row>
    <row r="1132" spans="1:23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</row>
    <row r="1133" spans="1:23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</row>
    <row r="1134" spans="1:23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</row>
    <row r="1135" spans="1:23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</row>
    <row r="1136" spans="1:23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</row>
    <row r="1137" spans="1:23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</row>
    <row r="1138" spans="1:23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</row>
    <row r="1139" spans="1:23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</row>
    <row r="1140" spans="1:23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</row>
    <row r="1141" spans="1:23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</row>
    <row r="1142" spans="1:23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</row>
    <row r="1143" spans="1:23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</row>
    <row r="1144" spans="1:23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</row>
    <row r="1145" spans="1:23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</row>
    <row r="1146" spans="1:23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</row>
    <row r="1147" spans="1:23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</row>
    <row r="1148" spans="1:23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</row>
    <row r="1149" spans="1:23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</row>
    <row r="1150" spans="1:23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</row>
    <row r="1151" spans="1:23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</row>
    <row r="1152" spans="1:23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</row>
    <row r="1153" spans="3:23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</row>
    <row r="1154" spans="3:23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</row>
  </sheetData>
  <mergeCells count="1">
    <mergeCell ref="A1:A2"/>
  </mergeCells>
  <conditionalFormatting sqref="J7:W7">
    <cfRule type="expression" dxfId="110" priority="1">
      <formula>$X7=0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topLeftCell="L1" zoomScale="85" zoomScaleNormal="85" workbookViewId="0">
      <pane ySplit="4" topLeftCell="A5" activePane="bottomLeft" state="frozen"/>
      <selection pane="bottomLeft" activeCell="V7" sqref="V7:X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8"/>
      <c r="C1" s="141" t="s">
        <v>20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49" t="s">
        <v>1645</v>
      </c>
      <c r="W1" s="149"/>
      <c r="X1" s="149"/>
      <c r="Y1" s="59" t="s">
        <v>1185</v>
      </c>
      <c r="Z1" s="60"/>
      <c r="AA1" s="60"/>
      <c r="AB1" s="122" t="s">
        <v>1184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41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796</v>
      </c>
      <c r="K3" s="49"/>
      <c r="L3" s="48"/>
      <c r="M3" s="49" t="s">
        <v>797</v>
      </c>
      <c r="N3" s="49"/>
      <c r="O3" s="49"/>
      <c r="P3" s="49"/>
      <c r="Q3" s="49"/>
      <c r="R3" s="49"/>
      <c r="S3" s="48"/>
      <c r="T3" s="49" t="s">
        <v>24</v>
      </c>
      <c r="U3" s="49"/>
      <c r="V3" s="155" t="s">
        <v>1643</v>
      </c>
      <c r="W3" s="160"/>
      <c r="X3" s="161"/>
      <c r="Y3" s="62" t="s">
        <v>93</v>
      </c>
      <c r="Z3" s="64"/>
      <c r="AA3" s="66"/>
      <c r="AB3" s="125" t="s">
        <v>796</v>
      </c>
      <c r="AC3" s="126"/>
      <c r="AD3" s="127"/>
      <c r="AE3" s="126" t="s">
        <v>797</v>
      </c>
      <c r="AF3" s="126"/>
      <c r="AG3" s="126"/>
      <c r="AH3" s="126"/>
      <c r="AI3" s="126"/>
      <c r="AJ3" s="126"/>
      <c r="AK3" s="127"/>
      <c r="AL3" s="126" t="s">
        <v>24</v>
      </c>
      <c r="AM3" s="127"/>
    </row>
    <row r="4" spans="1:41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310</v>
      </c>
      <c r="K4" s="13" t="s">
        <v>311</v>
      </c>
      <c r="L4" s="13" t="s">
        <v>312</v>
      </c>
      <c r="M4" s="8" t="s">
        <v>391</v>
      </c>
      <c r="N4" s="13" t="s">
        <v>392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393</v>
      </c>
      <c r="U4" s="13" t="s">
        <v>394</v>
      </c>
      <c r="V4" s="156" t="s">
        <v>796</v>
      </c>
      <c r="W4" s="158" t="s">
        <v>797</v>
      </c>
      <c r="X4" s="162" t="s">
        <v>24</v>
      </c>
      <c r="Y4" s="10" t="s">
        <v>20</v>
      </c>
      <c r="Z4" s="11" t="s">
        <v>794</v>
      </c>
      <c r="AA4" s="12" t="s">
        <v>795</v>
      </c>
      <c r="AB4" s="129" t="s">
        <v>310</v>
      </c>
      <c r="AC4" s="129" t="s">
        <v>311</v>
      </c>
      <c r="AD4" s="129" t="s">
        <v>312</v>
      </c>
      <c r="AE4" s="128" t="s">
        <v>391</v>
      </c>
      <c r="AF4" s="129" t="s">
        <v>392</v>
      </c>
      <c r="AG4" s="129" t="s">
        <v>211</v>
      </c>
      <c r="AH4" s="129" t="s">
        <v>313</v>
      </c>
      <c r="AI4" s="129" t="s">
        <v>314</v>
      </c>
      <c r="AJ4" s="129" t="s">
        <v>315</v>
      </c>
      <c r="AK4" s="130" t="s">
        <v>316</v>
      </c>
      <c r="AL4" s="129" t="s">
        <v>393</v>
      </c>
      <c r="AM4" s="130" t="s">
        <v>394</v>
      </c>
    </row>
    <row r="5" spans="1:41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SUBTOTAL(109,vmmc_circ_T[D_vmmc_circ_fy19])</f>
        <v>0</v>
      </c>
      <c r="Z5" s="61">
        <f>SUBTOTAL(109,vmmc_circ_T[D_vmmc_circ_1529_fy19])</f>
        <v>0</v>
      </c>
      <c r="AA5" s="61">
        <f>SUBTOTAL(109,vmmc_circ_T[D_vmmc_circ_othage_fy19])</f>
        <v>0</v>
      </c>
      <c r="AB5" s="61">
        <f>SUBTOTAL(109,vmmc_circ_T[vmmc_circ_1519_m])</f>
        <v>0</v>
      </c>
      <c r="AC5" s="61">
        <f>SUBTOTAL(109,vmmc_circ_T[vmmc_circ_2024_m])</f>
        <v>0</v>
      </c>
      <c r="AD5" s="61">
        <f>SUBTOTAL(109,vmmc_circ_T[vmmc_circ_2529_m])</f>
        <v>0</v>
      </c>
      <c r="AE5" s="61">
        <f>SUBTOTAL(109,vmmc_circ_T[vmmc_circ_u02mo_m])</f>
        <v>0</v>
      </c>
      <c r="AF5" s="61">
        <f>SUBTOTAL(109,vmmc_circ_T[vmmc_circ_02mo9_m])</f>
        <v>0</v>
      </c>
      <c r="AG5" s="61">
        <f>SUBTOTAL(109,vmmc_circ_T[vmmc_circ_1014_m])</f>
        <v>0</v>
      </c>
      <c r="AH5" s="61">
        <f>SUBTOTAL(109,vmmc_circ_T[vmmc_circ_3034_m])</f>
        <v>0</v>
      </c>
      <c r="AI5" s="61">
        <f>SUBTOTAL(109,vmmc_circ_T[vmmc_circ_3539_m])</f>
        <v>0</v>
      </c>
      <c r="AJ5" s="61">
        <f>SUBTOTAL(109,vmmc_circ_T[vmmc_circ_4049_m])</f>
        <v>0</v>
      </c>
      <c r="AK5" s="61">
        <f>SUBTOTAL(109,vmmc_circ_T[vmmc_circ_o50_m])</f>
        <v>0</v>
      </c>
      <c r="AL5" s="61">
        <f>SUBTOTAL(109,vmmc_circ_T[vmmc_circ_device_m])</f>
        <v>0</v>
      </c>
      <c r="AM5" s="61">
        <f>SUBTOTAL(109,vmmc_circ_T[vmmc_circ_surg_m])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1551</v>
      </c>
      <c r="K6" s="26" t="s">
        <v>1552</v>
      </c>
      <c r="L6" s="26" t="s">
        <v>1553</v>
      </c>
      <c r="M6" s="26" t="s">
        <v>1554</v>
      </c>
      <c r="N6" s="26" t="s">
        <v>1555</v>
      </c>
      <c r="O6" s="26" t="s">
        <v>1556</v>
      </c>
      <c r="P6" s="26" t="s">
        <v>1557</v>
      </c>
      <c r="Q6" s="26" t="s">
        <v>1558</v>
      </c>
      <c r="R6" s="26" t="s">
        <v>1559</v>
      </c>
      <c r="S6" s="26" t="s">
        <v>1560</v>
      </c>
      <c r="T6" s="26" t="s">
        <v>1561</v>
      </c>
      <c r="U6" s="26" t="s">
        <v>1562</v>
      </c>
      <c r="V6" s="26" t="s">
        <v>1641</v>
      </c>
      <c r="W6" s="26" t="s">
        <v>1642</v>
      </c>
      <c r="X6" s="26" t="s">
        <v>1644</v>
      </c>
      <c r="Y6" s="26" t="s">
        <v>980</v>
      </c>
      <c r="Z6" s="26" t="s">
        <v>1144</v>
      </c>
      <c r="AA6" s="26" t="s">
        <v>1623</v>
      </c>
      <c r="AB6" s="26" t="s">
        <v>723</v>
      </c>
      <c r="AC6" s="26" t="s">
        <v>724</v>
      </c>
      <c r="AD6" s="26" t="s">
        <v>725</v>
      </c>
      <c r="AE6" s="26" t="s">
        <v>798</v>
      </c>
      <c r="AF6" s="26" t="s">
        <v>732</v>
      </c>
      <c r="AG6" s="26" t="s">
        <v>722</v>
      </c>
      <c r="AH6" s="26" t="s">
        <v>726</v>
      </c>
      <c r="AI6" s="26" t="s">
        <v>727</v>
      </c>
      <c r="AJ6" s="26" t="s">
        <v>728</v>
      </c>
      <c r="AK6" s="26" t="s">
        <v>729</v>
      </c>
      <c r="AL6" s="26" t="s">
        <v>730</v>
      </c>
      <c r="AM6" s="26" t="s">
        <v>731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7">
        <f>SUM(vmmc_circ_T[[#This Row],[A_vmmc_circ_1519_m]:[A_vmmc_circ_2529_m]])</f>
        <v>0</v>
      </c>
      <c r="W7" s="167">
        <f>SUM(vmmc_circ_T[[#This Row],[A_vmmc_circ_u02mo_m]:[A_vmmc_circ_o50_m]])</f>
        <v>0</v>
      </c>
      <c r="X7" s="167">
        <f>SUM(vmmc_circ_T[[#This Row],[A_vmmc_circ_device_m]:[A_vmmc_circ_surg_m]])</f>
        <v>0</v>
      </c>
      <c r="Y7" s="42"/>
      <c r="Z7" s="42"/>
      <c r="AA7" s="42"/>
      <c r="AB7" s="65">
        <f>vmmc_circ_T[[D_vmmc_circ_1529_fy19]:[D_vmmc_circ_1529_fy19]]*vmmc_circ_T[A_vmmc_circ_1519_m]</f>
        <v>0</v>
      </c>
      <c r="AC7" s="65">
        <f>vmmc_circ_T[[D_vmmc_circ_1529_fy19]:[D_vmmc_circ_1529_fy19]]*vmmc_circ_T[A_vmmc_circ_2024_m]</f>
        <v>0</v>
      </c>
      <c r="AD7" s="65">
        <f>vmmc_circ_T[[D_vmmc_circ_1529_fy19]:[D_vmmc_circ_1529_fy19]]*vmmc_circ_T[A_vmmc_circ_2529_m]</f>
        <v>0</v>
      </c>
      <c r="AE7" s="65">
        <f>vmmc_circ_T[[D_vmmc_circ_othage_fy19]:[D_vmmc_circ_othage_fy19]]*vmmc_circ_T[A_vmmc_circ_u02mo_m]</f>
        <v>0</v>
      </c>
      <c r="AF7" s="65">
        <f>vmmc_circ_T[[D_vmmc_circ_othage_fy19]:[D_vmmc_circ_othage_fy19]]*vmmc_circ_T[A_vmmc_circ_02mo9_m]</f>
        <v>0</v>
      </c>
      <c r="AG7" s="65">
        <f>vmmc_circ_T[[D_vmmc_circ_othage_fy19]:[D_vmmc_circ_othage_fy19]]*vmmc_circ_T[A_vmmc_circ_1014_m]</f>
        <v>0</v>
      </c>
      <c r="AH7" s="65">
        <f>vmmc_circ_T[[D_vmmc_circ_othage_fy19]:[D_vmmc_circ_othage_fy19]]*vmmc_circ_T[A_vmmc_circ_3034_m]</f>
        <v>0</v>
      </c>
      <c r="AI7" s="65">
        <f>vmmc_circ_T[[D_vmmc_circ_othage_fy19]:[D_vmmc_circ_othage_fy19]]*vmmc_circ_T[A_vmmc_circ_3539_m]</f>
        <v>0</v>
      </c>
      <c r="AJ7" s="65">
        <f>vmmc_circ_T[[D_vmmc_circ_othage_fy19]:[D_vmmc_circ_othage_fy19]]*vmmc_circ_T[A_vmmc_circ_4049_m]</f>
        <v>0</v>
      </c>
      <c r="AK7" s="65">
        <f>vmmc_circ_T[[D_vmmc_circ_othage_fy19]:[D_vmmc_circ_othage_fy19]]*vmmc_circ_T[A_vmmc_circ_o50_m]</f>
        <v>0</v>
      </c>
      <c r="AL7" s="65">
        <f>vmmc_circ_T[[D_vmmc_circ_fy19]:[D_vmmc_circ_fy19]]*vmmc_circ_T[A_vmmc_circ_device_m]</f>
        <v>0</v>
      </c>
      <c r="AM7" s="65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</row>
    <row r="1138" spans="1:2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</row>
    <row r="1139" spans="1:2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</row>
    <row r="1140" spans="1:2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</row>
    <row r="1141" spans="1:2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</row>
    <row r="1142" spans="1:2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</row>
    <row r="1143" spans="1:2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</row>
    <row r="1144" spans="1:2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</row>
    <row r="1145" spans="1:2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</row>
    <row r="1146" spans="1:2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</row>
    <row r="1147" spans="1:2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</row>
    <row r="1148" spans="1:2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</row>
    <row r="1149" spans="1:2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</row>
    <row r="1150" spans="1:2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</row>
    <row r="1151" spans="1:2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</row>
    <row r="1152" spans="1:2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</row>
    <row r="1153" spans="3:2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</row>
    <row r="1154" spans="3:2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8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5" t="s">
        <v>199</v>
      </c>
      <c r="K3" s="126"/>
      <c r="L3" s="126"/>
      <c r="M3" s="126"/>
      <c r="N3" s="126"/>
      <c r="O3" s="126"/>
      <c r="P3" s="126"/>
      <c r="Q3" s="126"/>
      <c r="R3" s="125" t="s">
        <v>14</v>
      </c>
      <c r="S3" s="127"/>
      <c r="T3" s="136"/>
      <c r="U3" s="125" t="s">
        <v>270</v>
      </c>
      <c r="V3" s="127"/>
      <c r="W3" s="125" t="s">
        <v>17</v>
      </c>
      <c r="X3" s="127"/>
    </row>
    <row r="4" spans="1:24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128" t="s">
        <v>200</v>
      </c>
      <c r="K4" s="129" t="s">
        <v>201</v>
      </c>
      <c r="L4" s="129" t="s">
        <v>202</v>
      </c>
      <c r="M4" s="129" t="s">
        <v>203</v>
      </c>
      <c r="N4" s="129" t="s">
        <v>204</v>
      </c>
      <c r="O4" s="129" t="s">
        <v>205</v>
      </c>
      <c r="P4" s="129" t="s">
        <v>206</v>
      </c>
      <c r="Q4" s="129" t="s">
        <v>207</v>
      </c>
      <c r="R4" s="128" t="s">
        <v>15</v>
      </c>
      <c r="S4" s="130" t="s">
        <v>16</v>
      </c>
      <c r="T4" s="137" t="s">
        <v>41</v>
      </c>
      <c r="U4" s="128" t="s">
        <v>271</v>
      </c>
      <c r="V4" s="130" t="s">
        <v>272</v>
      </c>
      <c r="W4" s="128" t="s">
        <v>273</v>
      </c>
      <c r="X4" s="130" t="s">
        <v>274</v>
      </c>
    </row>
    <row r="5" spans="1:24" x14ac:dyDescent="0.25">
      <c r="A5" s="14"/>
      <c r="C5" s="1" t="s">
        <v>1108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486</v>
      </c>
      <c r="K6" s="26" t="s">
        <v>487</v>
      </c>
      <c r="L6" s="26" t="s">
        <v>488</v>
      </c>
      <c r="M6" s="26" t="s">
        <v>489</v>
      </c>
      <c r="N6" s="26" t="s">
        <v>490</v>
      </c>
      <c r="O6" s="26" t="s">
        <v>491</v>
      </c>
      <c r="P6" s="26" t="s">
        <v>492</v>
      </c>
      <c r="Q6" s="26" t="s">
        <v>493</v>
      </c>
      <c r="R6" s="26" t="s">
        <v>484</v>
      </c>
      <c r="S6" s="26" t="s">
        <v>485</v>
      </c>
      <c r="T6" s="26" t="s">
        <v>542</v>
      </c>
      <c r="U6" s="26" t="s">
        <v>927</v>
      </c>
      <c r="V6" s="26" t="s">
        <v>926</v>
      </c>
      <c r="W6" s="117" t="s">
        <v>1123</v>
      </c>
      <c r="X6" s="117" t="s">
        <v>1124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68" t="s">
        <v>1177</v>
      </c>
      <c r="C1" s="2" t="s">
        <v>0</v>
      </c>
      <c r="D1" s="2"/>
      <c r="E1" s="119" t="s">
        <v>1178</v>
      </c>
      <c r="F1" s="120"/>
    </row>
    <row r="2" spans="1:6" s="2" customFormat="1" x14ac:dyDescent="0.25">
      <c r="A2" s="168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1109</v>
      </c>
      <c r="E4" s="8" t="s">
        <v>1380</v>
      </c>
      <c r="F4" s="9" t="s">
        <v>1179</v>
      </c>
    </row>
    <row r="5" spans="1:6" x14ac:dyDescent="0.25">
      <c r="A5" s="14"/>
      <c r="C5" s="1" t="s">
        <v>1108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1469</v>
      </c>
      <c r="F6" s="26" t="s">
        <v>1468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8"/>
      <c r="C1" s="59" t="s">
        <v>792</v>
      </c>
      <c r="D1" s="59"/>
      <c r="E1" s="60"/>
    </row>
    <row r="2" spans="1:7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788</v>
      </c>
      <c r="D3" s="48"/>
      <c r="E3" s="55"/>
    </row>
    <row r="4" spans="1:7" ht="27.75" customHeight="1" x14ac:dyDescent="0.25">
      <c r="A4" s="14"/>
      <c r="C4" s="67" t="s">
        <v>790</v>
      </c>
      <c r="D4" s="68" t="s">
        <v>791</v>
      </c>
      <c r="E4" s="69" t="s">
        <v>789</v>
      </c>
    </row>
    <row r="5" spans="1:7" x14ac:dyDescent="0.25">
      <c r="A5" s="15"/>
      <c r="C5" s="70">
        <v>11111</v>
      </c>
      <c r="D5" s="70">
        <v>99999</v>
      </c>
      <c r="E5" s="71" t="s">
        <v>793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2018-02-08T17:56:28Z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