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drawings/drawing23.xml" ContentType="application/vnd.openxmlformats-officedocument.drawing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906"/>
  </bookViews>
  <sheets>
    <sheet name="POPrun" sheetId="29" r:id="rId1"/>
    <sheet name="POPsubset" sheetId="70" r:id="rId2"/>
    <sheet name="POPsubsetAlt" sheetId="79" r:id="rId3"/>
    <sheet name="POPref" sheetId="28" r:id="rId4"/>
    <sheet name="Home" sheetId="23" r:id="rId5"/>
    <sheet name="Allocation by SNUxIM" sheetId="1" r:id="rId6"/>
    <sheet name="GEND_GBV" sheetId="53" r:id="rId7"/>
    <sheet name="ESRI_MAPINFO_SHEET" sheetId="31" state="veryHidden" r:id="rId8"/>
    <sheet name="HTS_SELF" sheetId="54" r:id="rId9"/>
    <sheet name="KP_MAT" sheetId="82" r:id="rId10"/>
    <sheet name="OVC_SERV" sheetId="56" r:id="rId11"/>
    <sheet name="PMTCT_STAT" sheetId="58" r:id="rId12"/>
    <sheet name="PP_PREV" sheetId="59" r:id="rId13"/>
    <sheet name="PrEP_NEW" sheetId="60" r:id="rId14"/>
    <sheet name="TB_STAT" sheetId="61" r:id="rId15"/>
    <sheet name="TB_ART" sheetId="77" r:id="rId16"/>
    <sheet name="TB_PREV" sheetId="78" r:id="rId17"/>
    <sheet name="TX_CURR" sheetId="62" r:id="rId18"/>
    <sheet name="TX_NEW" sheetId="63" r:id="rId19"/>
    <sheet name="TX_PVLS" sheetId="64" r:id="rId20"/>
    <sheet name="TX_RET" sheetId="65" r:id="rId21"/>
    <sheet name="TX_TB" sheetId="66" r:id="rId22"/>
    <sheet name="VMMC_CIRC" sheetId="69" r:id="rId23"/>
    <sheet name="Already Alloc Targets" sheetId="38" r:id="rId24"/>
    <sheet name="IMPATT Table" sheetId="74" r:id="rId25"/>
    <sheet name="Follow on Mech List" sheetId="68" r:id="rId26"/>
  </sheets>
  <functionGroups builtInGroupCount="17"/>
  <definedNames>
    <definedName name="_xlnm._FilterDatabase" localSheetId="1" hidden="1">POPsubset!$A$1:$K$373</definedName>
    <definedName name="_xlnm._FilterDatabase" localSheetId="2" hidden="1">POPsubsetAlt!$A$1:$K$17</definedName>
  </definedNames>
  <calcPr calcId="145621"/>
</workbook>
</file>

<file path=xl/calcChain.xml><?xml version="1.0" encoding="utf-8"?>
<calcChain xmlns="http://schemas.openxmlformats.org/spreadsheetml/2006/main">
  <c r="AS7" i="65" l="1"/>
  <c r="AQ7" i="65" l="1"/>
  <c r="AP7" i="65"/>
  <c r="S7" i="38"/>
  <c r="R7" i="38"/>
  <c r="O7" i="82"/>
  <c r="N7" i="82"/>
  <c r="N5" i="82" s="1"/>
  <c r="L7" i="82"/>
  <c r="O5" i="82" l="1"/>
  <c r="AR7" i="65"/>
  <c r="AM7" i="65"/>
  <c r="AM5" i="65" s="1"/>
  <c r="AL7" i="65"/>
  <c r="AL5" i="65" s="1"/>
  <c r="BI7" i="63"/>
  <c r="BJ7" i="63"/>
  <c r="BK7" i="63"/>
  <c r="BL7" i="63"/>
  <c r="BM7" i="63"/>
  <c r="BN7" i="63"/>
  <c r="BH7" i="63"/>
  <c r="AE7" i="66"/>
  <c r="AE5" i="66"/>
  <c r="X7" i="66"/>
  <c r="W7" i="66"/>
  <c r="AH7" i="66"/>
  <c r="AG7" i="66"/>
  <c r="AF7" i="66"/>
  <c r="AX7" i="62"/>
  <c r="R7" i="61"/>
  <c r="X7" i="69"/>
  <c r="W7" i="69"/>
  <c r="V7" i="69"/>
  <c r="Y7" i="66"/>
  <c r="V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/>
  <c r="AN7" i="62"/>
  <c r="AO7" i="62"/>
  <c r="AP7" i="62"/>
  <c r="AQ7" i="62"/>
  <c r="AR7" i="62"/>
  <c r="AS7" i="62"/>
  <c r="AT7" i="62"/>
  <c r="AU7" i="62"/>
  <c r="AV7" i="62"/>
  <c r="AW7" i="62"/>
  <c r="AL7" i="62"/>
  <c r="AA7" i="61"/>
  <c r="AB7" i="61"/>
  <c r="AC7" i="61"/>
  <c r="Z7" i="61"/>
  <c r="N2" i="23"/>
  <c r="O4" i="23"/>
  <c r="S7" i="77"/>
  <c r="T7" i="77"/>
  <c r="U7" i="77"/>
  <c r="R7" i="77"/>
  <c r="V7" i="61"/>
  <c r="AU7" i="78"/>
  <c r="AU5" i="78"/>
  <c r="AJ7" i="78"/>
  <c r="AJ5" i="78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J7" i="66"/>
  <c r="AK7" i="66"/>
  <c r="AL7" i="66"/>
  <c r="AI7" i="66"/>
  <c r="AB7" i="66"/>
  <c r="AC7" i="66"/>
  <c r="AD7" i="66"/>
  <c r="AA7" i="66"/>
  <c r="AO7" i="65"/>
  <c r="AO5" i="65" s="1"/>
  <c r="AN7" i="65"/>
  <c r="AN5" i="65" s="1"/>
  <c r="AR7" i="78"/>
  <c r="AR5" i="78"/>
  <c r="AE5" i="78"/>
  <c r="AO7" i="78"/>
  <c r="AO5" i="78"/>
  <c r="T5" i="77"/>
  <c r="O5" i="77"/>
  <c r="R5" i="77"/>
  <c r="AK7" i="78"/>
  <c r="AK5" i="78"/>
  <c r="AI7" i="78"/>
  <c r="AI5" i="78"/>
  <c r="AL7" i="78"/>
  <c r="AL5" i="78"/>
  <c r="AP7" i="78"/>
  <c r="AP5" i="78"/>
  <c r="AS7" i="78"/>
  <c r="AS5" i="78"/>
  <c r="AF7" i="78"/>
  <c r="AF5" i="78"/>
  <c r="AM7" i="78"/>
  <c r="AM5" i="78"/>
  <c r="AQ7" i="78"/>
  <c r="AQ5" i="78"/>
  <c r="AT7" i="78"/>
  <c r="AT5" i="78"/>
  <c r="AH7" i="78"/>
  <c r="AH5" i="78"/>
  <c r="AD5" i="78"/>
  <c r="AG7" i="78"/>
  <c r="AG5" i="78"/>
  <c r="AN7" i="78"/>
  <c r="AN5" i="78"/>
  <c r="U5" i="77"/>
  <c r="AK7" i="65"/>
  <c r="AK5" i="65" s="1"/>
  <c r="AJ7" i="65"/>
  <c r="AJ5" i="65" s="1"/>
  <c r="AI7" i="65"/>
  <c r="AI5" i="65" s="1"/>
  <c r="AH7" i="65"/>
  <c r="AH5" i="65" s="1"/>
  <c r="AC7" i="64"/>
  <c r="AD7" i="64"/>
  <c r="AP7" i="64" s="1"/>
  <c r="AE7" i="64"/>
  <c r="AF7" i="64"/>
  <c r="AF5" i="64" s="1"/>
  <c r="AG7" i="64"/>
  <c r="AG5" i="64" s="1"/>
  <c r="AH7" i="64"/>
  <c r="AH5" i="64" s="1"/>
  <c r="AI7" i="64"/>
  <c r="AI5" i="64" s="1"/>
  <c r="AJ7" i="64"/>
  <c r="AJ5" i="64" s="1"/>
  <c r="AK7" i="64"/>
  <c r="AK5" i="64" s="1"/>
  <c r="AL7" i="64"/>
  <c r="AL5" i="64" s="1"/>
  <c r="AM7" i="64"/>
  <c r="AB7" i="64"/>
  <c r="AU7" i="63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K7" i="62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R7" i="54"/>
  <c r="CR5" i="54" s="1"/>
  <c r="CS7" i="54"/>
  <c r="CT7" i="54"/>
  <c r="CT5" i="54" s="1"/>
  <c r="CU7" i="54"/>
  <c r="CU5" i="54" s="1"/>
  <c r="CV7" i="54"/>
  <c r="CV5" i="54" s="1"/>
  <c r="CW7" i="54"/>
  <c r="CW5" i="54" s="1"/>
  <c r="CX7" i="54"/>
  <c r="CX5" i="54" s="1"/>
  <c r="CY7" i="54"/>
  <c r="CY5" i="54" s="1"/>
  <c r="CZ7" i="54"/>
  <c r="CZ5" i="54" s="1"/>
  <c r="DA7" i="54"/>
  <c r="DA5" i="54" s="1"/>
  <c r="BH7" i="54"/>
  <c r="BI7" i="54"/>
  <c r="BI5" i="54" s="1"/>
  <c r="BJ7" i="54"/>
  <c r="BJ5" i="54" s="1"/>
  <c r="BK7" i="54"/>
  <c r="BK5" i="54" s="1"/>
  <c r="BL7" i="54"/>
  <c r="BL5" i="54" s="1"/>
  <c r="BM7" i="54"/>
  <c r="BM5" i="54" s="1"/>
  <c r="BN7" i="54"/>
  <c r="BN5" i="54" s="1"/>
  <c r="BO7" i="54"/>
  <c r="BO5" i="54" s="1"/>
  <c r="BP7" i="54"/>
  <c r="BP5" i="54" s="1"/>
  <c r="BQ7" i="54"/>
  <c r="BQ5" i="54" s="1"/>
  <c r="BR7" i="54"/>
  <c r="BR5" i="54" s="1"/>
  <c r="BS7" i="54"/>
  <c r="BS5" i="54" s="1"/>
  <c r="BT7" i="54"/>
  <c r="BT5" i="54" s="1"/>
  <c r="BU7" i="54"/>
  <c r="BU5" i="54" s="1"/>
  <c r="BV7" i="54"/>
  <c r="BV5" i="54" s="1"/>
  <c r="BW7" i="54"/>
  <c r="BW5" i="54" s="1"/>
  <c r="BX7" i="54"/>
  <c r="BX5" i="54" s="1"/>
  <c r="BY7" i="54"/>
  <c r="BY5" i="54" s="1"/>
  <c r="BZ7" i="54"/>
  <c r="BZ5" i="54" s="1"/>
  <c r="CA7" i="54"/>
  <c r="CA5" i="54" s="1"/>
  <c r="CB7" i="54"/>
  <c r="CB5" i="54" s="1"/>
  <c r="CC7" i="54"/>
  <c r="CC5" i="54" s="1"/>
  <c r="CD7" i="54"/>
  <c r="CD5" i="54" s="1"/>
  <c r="CE7" i="54"/>
  <c r="CE5" i="54" s="1"/>
  <c r="CF7" i="54"/>
  <c r="CF5" i="54" s="1"/>
  <c r="CG7" i="54"/>
  <c r="CG5" i="54" s="1"/>
  <c r="CH7" i="54"/>
  <c r="CH5" i="54" s="1"/>
  <c r="CI7" i="54"/>
  <c r="CI5" i="54" s="1"/>
  <c r="CJ7" i="54"/>
  <c r="CJ5" i="54" s="1"/>
  <c r="CK7" i="54"/>
  <c r="CK5" i="54" s="1"/>
  <c r="CL7" i="54"/>
  <c r="CL5" i="54" s="1"/>
  <c r="BG7" i="54"/>
  <c r="BG5" i="54" s="1"/>
  <c r="AY7" i="53"/>
  <c r="AY5" i="53" s="1"/>
  <c r="AZ7" i="53"/>
  <c r="AZ5" i="53" s="1"/>
  <c r="BA7" i="53"/>
  <c r="BA5" i="53" s="1"/>
  <c r="BB7" i="53"/>
  <c r="BB5" i="53" s="1"/>
  <c r="BC7" i="53"/>
  <c r="BC5" i="53" s="1"/>
  <c r="BD7" i="53"/>
  <c r="BD5" i="53" s="1"/>
  <c r="BE7" i="53"/>
  <c r="BE5" i="53" s="1"/>
  <c r="BF7" i="53"/>
  <c r="BF5" i="53" s="1"/>
  <c r="BG7" i="53"/>
  <c r="BG5" i="53" s="1"/>
  <c r="BH7" i="53"/>
  <c r="BI7" i="53"/>
  <c r="BI5" i="53" s="1"/>
  <c r="BJ7" i="53"/>
  <c r="BJ5" i="53" s="1"/>
  <c r="BK7" i="53"/>
  <c r="BK5" i="53" s="1"/>
  <c r="BL7" i="53"/>
  <c r="BM7" i="53"/>
  <c r="BM5" i="53" s="1"/>
  <c r="BN7" i="53"/>
  <c r="BN5" i="53" s="1"/>
  <c r="BO7" i="53"/>
  <c r="BO5" i="53" s="1"/>
  <c r="BP7" i="53"/>
  <c r="BQ7" i="53"/>
  <c r="BQ5" i="53" s="1"/>
  <c r="BR7" i="53"/>
  <c r="BR5" i="53" s="1"/>
  <c r="BS7" i="53"/>
  <c r="BS5" i="53" s="1"/>
  <c r="BT7" i="53"/>
  <c r="BT5" i="53" s="1"/>
  <c r="BU7" i="53"/>
  <c r="BU5" i="53" s="1"/>
  <c r="BV7" i="53"/>
  <c r="BV5" i="53" s="1"/>
  <c r="BW7" i="53"/>
  <c r="BW5" i="53" s="1"/>
  <c r="BX7" i="53"/>
  <c r="BY7" i="53"/>
  <c r="BY5" i="53" s="1"/>
  <c r="BZ7" i="53"/>
  <c r="BZ5" i="53" s="1"/>
  <c r="CA7" i="53"/>
  <c r="CA5" i="53" s="1"/>
  <c r="CB7" i="53"/>
  <c r="CC7" i="53"/>
  <c r="CC5" i="53" s="1"/>
  <c r="CD7" i="53"/>
  <c r="CD5" i="53" s="1"/>
  <c r="CE7" i="53"/>
  <c r="CE5" i="53" s="1"/>
  <c r="CF7" i="53"/>
  <c r="CF5" i="53" s="1"/>
  <c r="AW7" i="53"/>
  <c r="CH7" i="53" s="1"/>
  <c r="AX7" i="53"/>
  <c r="BT7" i="58"/>
  <c r="BP7" i="58"/>
  <c r="BS7" i="58"/>
  <c r="BR7" i="58"/>
  <c r="BQ7" i="58"/>
  <c r="BO7" i="58"/>
  <c r="BN7" i="58"/>
  <c r="BL7" i="58"/>
  <c r="BM7" i="58"/>
  <c r="BY5" i="56"/>
  <c r="BZ5" i="56"/>
  <c r="Y7" i="6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/>
  <c r="X5" i="38" s="1"/>
  <c r="T7" i="38"/>
  <c r="P7" i="38"/>
  <c r="L7" i="38"/>
  <c r="L5" i="38" s="1"/>
  <c r="K7" i="38"/>
  <c r="K5" i="38" s="1"/>
  <c r="N7" i="38"/>
  <c r="N5" i="38" s="1"/>
  <c r="W7" i="38"/>
  <c r="O7" i="38"/>
  <c r="O5" i="38" s="1"/>
  <c r="V7" i="38"/>
  <c r="V5" i="38" s="1"/>
  <c r="U7" i="38"/>
  <c r="U5" i="38" s="1"/>
  <c r="Q7" i="38"/>
  <c r="M7" i="38"/>
  <c r="M5" i="38" s="1"/>
  <c r="J7" i="38"/>
  <c r="J5" i="38" s="1"/>
  <c r="F5" i="74"/>
  <c r="T5" i="61"/>
  <c r="W5" i="38"/>
  <c r="U5" i="61"/>
  <c r="CO5" i="56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/>
  <c r="Z5" i="61"/>
  <c r="AA5" i="61"/>
  <c r="AB5" i="61"/>
  <c r="AC5" i="61"/>
  <c r="AE5" i="65"/>
  <c r="AC5" i="65"/>
  <c r="AF5" i="65"/>
  <c r="AD5" i="65"/>
  <c r="AG5" i="65"/>
  <c r="R5" i="38"/>
  <c r="S5" i="38"/>
  <c r="P5" i="38"/>
  <c r="Q5" i="38"/>
  <c r="T5" i="38"/>
  <c r="Z5" i="69"/>
  <c r="Y5" i="69"/>
  <c r="AM5" i="69"/>
  <c r="AL5" i="69"/>
  <c r="AC5" i="69"/>
  <c r="AD5" i="69"/>
  <c r="AB5" i="69"/>
  <c r="AG5" i="69"/>
  <c r="AJ5" i="69"/>
  <c r="AH5" i="69"/>
  <c r="AE5" i="69"/>
  <c r="AF5" i="69"/>
  <c r="AI5" i="69"/>
  <c r="AA5" i="69"/>
  <c r="AK5" i="69"/>
  <c r="Z5" i="66"/>
  <c r="AR5" i="65"/>
  <c r="AS5" i="65"/>
  <c r="AB5" i="65"/>
  <c r="AP5" i="65"/>
  <c r="AA5" i="64"/>
  <c r="AE5" i="64"/>
  <c r="AM5" i="64"/>
  <c r="AE5" i="62"/>
  <c r="AN5" i="63"/>
  <c r="BH5" i="63"/>
  <c r="BI5" i="63"/>
  <c r="BJ5" i="63"/>
  <c r="BK5" i="63"/>
  <c r="BL5" i="63"/>
  <c r="BM5" i="63"/>
  <c r="BN5" i="63"/>
  <c r="AM5" i="63"/>
  <c r="AO5" i="63"/>
  <c r="AF5" i="62"/>
  <c r="AQ5" i="65"/>
  <c r="AD5" i="62"/>
  <c r="V5" i="61"/>
  <c r="W5" i="61"/>
  <c r="X5" i="61"/>
  <c r="Y5" i="61"/>
  <c r="AK5" i="62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/>
  <c r="BN5" i="58"/>
  <c r="BR5" i="58"/>
  <c r="BS5" i="58"/>
  <c r="BO5" i="58"/>
  <c r="BP5" i="58"/>
  <c r="BQ5" i="58"/>
  <c r="BL5" i="58"/>
  <c r="BT5" i="58"/>
  <c r="CS5" i="54"/>
  <c r="BH5" i="53"/>
  <c r="BL5" i="53"/>
  <c r="BP5" i="53"/>
  <c r="BX5" i="53"/>
  <c r="CB5" i="53"/>
  <c r="AK5" i="66"/>
  <c r="AC5" i="66"/>
  <c r="AH5" i="66"/>
  <c r="AJ5" i="66"/>
  <c r="AD5" i="66"/>
  <c r="AI5" i="66"/>
  <c r="AL5" i="66"/>
  <c r="AB5" i="66"/>
  <c r="AG5" i="66"/>
  <c r="AA5" i="66"/>
  <c r="AF5" i="66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/>
  <c r="D5" i="28"/>
  <c r="D2" i="28"/>
  <c r="O2" i="23"/>
  <c r="AP5" i="64" l="1"/>
  <c r="AC5" i="64"/>
  <c r="AO7" i="64"/>
  <c r="AO5" i="64"/>
  <c r="AD5" i="64"/>
  <c r="AN7" i="64"/>
  <c r="AN5" i="64" s="1"/>
  <c r="AB5" i="64"/>
  <c r="CN7" i="54"/>
  <c r="CQ7" i="54" s="1"/>
  <c r="BH5" i="54"/>
  <c r="CM7" i="54" s="1"/>
  <c r="CM5" i="54" s="1"/>
  <c r="AX5" i="53"/>
  <c r="CI7" i="53"/>
  <c r="CG7" i="53" s="1"/>
  <c r="CG5" i="53" s="1"/>
  <c r="CH5" i="53"/>
  <c r="AW5" i="53"/>
  <c r="CO7" i="54" l="1"/>
  <c r="CP7" i="54"/>
  <c r="CP5" i="54" s="1"/>
  <c r="CQ5" i="54"/>
  <c r="CN5" i="54"/>
  <c r="CO5" i="54"/>
  <c r="CI5" i="53"/>
</calcChain>
</file>

<file path=xl/sharedStrings.xml><?xml version="1.0" encoding="utf-8"?>
<sst xmlns="http://schemas.openxmlformats.org/spreadsheetml/2006/main" count="6682" uniqueCount="1681">
  <si>
    <t>X</t>
  </si>
  <si>
    <t>Mech ID</t>
  </si>
  <si>
    <t>Type</t>
  </si>
  <si>
    <t>psnuuid</t>
  </si>
  <si>
    <t>TX_NEW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</si>
  <si>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</si>
  <si>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</si>
  <si>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</si>
  <si>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</si>
  <si>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</si>
  <si>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</si>
  <si>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</si>
  <si>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</si>
  <si>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</si>
  <si>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</si>
  <si>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</si>
  <si>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</si>
  <si>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</si>
  <si>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</si>
  <si>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</si>
  <si>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</si>
  <si>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</si>
  <si>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</si>
  <si>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</si>
  <si>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</si>
  <si>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</si>
  <si>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</si>
  <si>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</si>
  <si>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</si>
  <si>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</si>
  <si>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</si>
  <si>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</si>
  <si>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</si>
  <si>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</si>
  <si>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</si>
  <si>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</si>
  <si>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</si>
  <si>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</si>
  <si>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</si>
  <si>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</si>
  <si>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</si>
  <si>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</si>
  <si>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</si>
  <si>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</si>
  <si>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</si>
  <si>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</si>
  <si>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</si>
  <si>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</si>
  <si>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</si>
  <si>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</si>
  <si>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</si>
  <si>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</si>
  <si>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</si>
  <si>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</si>
  <si>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</si>
  <si>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</si>
  <si>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</si>
  <si>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</si>
  <si>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</si>
  <si>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</si>
  <si>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</si>
  <si>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</si>
  <si>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</si>
  <si>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</si>
  <si>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</si>
  <si>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</si>
  <si>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</si>
  <si>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</si>
  <si>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</si>
  <si>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</si>
  <si>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</si>
  <si>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</si>
  <si>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</si>
  <si>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</si>
  <si>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</si>
  <si>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</si>
  <si>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</si>
  <si>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</si>
  <si>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</si>
  <si>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</si>
  <si>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</si>
  <si>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</si>
  <si>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</si>
  <si>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</si>
  <si>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</si>
  <si>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</si>
  <si>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</si>
  <si>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</si>
  <si>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</si>
  <si>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</si>
  <si>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</si>
  <si>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</si>
  <si>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</si>
  <si>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</si>
  <si>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</si>
  <si>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</si>
  <si>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</si>
  <si>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</si>
  <si>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</si>
  <si>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</si>
  <si>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</si>
  <si>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</si>
  <si>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</si>
  <si>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</si>
  <si>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</si>
  <si>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</si>
  <si>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</si>
  <si>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</si>
  <si>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</si>
  <si>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</si>
  <si>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</si>
  <si>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</si>
  <si>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</si>
  <si>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</si>
  <si>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</si>
  <si>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</si>
  <si>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</si>
  <si>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</si>
  <si>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</si>
  <si>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</si>
  <si>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</si>
  <si>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</si>
  <si>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</si>
  <si>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</si>
  <si>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</si>
  <si>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</si>
  <si>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</si>
  <si>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</si>
  <si>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</si>
  <si>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</si>
  <si>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</si>
  <si>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</si>
  <si>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</si>
  <si>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</si>
  <si>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</si>
  <si>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</si>
  <si>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</si>
  <si>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</si>
  <si>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</si>
  <si>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</si>
  <si>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</si>
  <si>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</si>
  <si>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</si>
  <si>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</si>
  <si>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</si>
  <si>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</si>
  <si>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</si>
  <si>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</si>
  <si>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</si>
  <si>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</si>
  <si>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</si>
  <si>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</si>
  <si>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</si>
  <si>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</si>
  <si>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</si>
  <si>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</si>
  <si>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</si>
  <si>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</si>
  <si>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</si>
  <si>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</si>
  <si>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</si>
  <si>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</si>
  <si>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</si>
  <si>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</si>
  <si>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</si>
  <si>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</si>
  <si>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</si>
  <si>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</si>
  <si>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</si>
  <si>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</si>
  <si>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</si>
  <si>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</si>
  <si>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</si>
  <si>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</si>
  <si>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</si>
  <si>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</si>
  <si>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</si>
  <si>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</si>
  <si>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</si>
  <si>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</si>
  <si>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</si>
  <si>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</si>
  <si>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</si>
  <si>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</si>
  <si>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</si>
  <si>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</si>
  <si>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</si>
  <si>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</si>
  <si>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</si>
  <si>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</si>
  <si>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</si>
  <si>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</si>
  <si>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</si>
  <si>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</si>
  <si>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</si>
  <si>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</si>
  <si>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</si>
  <si>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</si>
  <si>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</si>
  <si>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</si>
  <si>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</si>
  <si>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</si>
  <si>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</si>
  <si>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</si>
  <si>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</si>
  <si>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</si>
  <si>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</si>
  <si>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</si>
  <si>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</si>
  <si>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</si>
  <si>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</si>
  <si>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</si>
  <si>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</si>
  <si>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</si>
  <si>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</si>
  <si>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</si>
  <si>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</si>
  <si>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</si>
  <si>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</si>
  <si>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</si>
  <si>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</si>
  <si>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</si>
  <si>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</si>
  <si>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</si>
  <si>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</si>
  <si>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</si>
  <si>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</si>
  <si>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</si>
  <si>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</si>
  <si>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</si>
  <si>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</si>
  <si>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</si>
  <si>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</si>
  <si>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</si>
  <si>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</si>
  <si>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</si>
  <si>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</si>
  <si>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</si>
  <si>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</si>
  <si>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</si>
  <si>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</si>
  <si>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</si>
  <si>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</si>
  <si>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</si>
  <si>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</si>
  <si>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</si>
  <si>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</si>
  <si>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</si>
  <si>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</si>
  <si>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</si>
  <si>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</si>
  <si>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</si>
  <si>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</si>
  <si>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</si>
  <si>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</si>
  <si>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</si>
  <si>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</si>
  <si>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</si>
  <si>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</si>
  <si>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</si>
  <si>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</si>
  <si>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</si>
  <si>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</si>
  <si>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</si>
  <si>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</si>
  <si>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</si>
  <si>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</si>
  <si>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</si>
  <si>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</si>
  <si>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</si>
  <si>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</si>
  <si>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</si>
  <si>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</si>
  <si>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</si>
  <si>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</si>
  <si>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</si>
  <si>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</si>
  <si>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</si>
  <si>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</si>
  <si>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</si>
  <si>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</si>
  <si>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</si>
  <si>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</si>
  <si>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</si>
  <si>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</si>
  <si>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</si>
  <si>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</si>
  <si>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</si>
  <si>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</si>
  <si>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</si>
  <si>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</si>
  <si>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</si>
  <si>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</si>
  <si>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</si>
  <si>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</si>
  <si>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</si>
  <si>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</si>
  <si>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</si>
  <si>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</si>
  <si>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</si>
  <si>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</si>
  <si>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</si>
  <si>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</si>
  <si>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</si>
  <si>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</si>
  <si>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</si>
  <si>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</si>
  <si>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</si>
  <si>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</si>
  <si>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</si>
  <si>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</si>
  <si>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</si>
  <si>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</si>
  <si>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</si>
  <si>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</si>
  <si>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</si>
  <si>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</si>
  <si>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</si>
  <si>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</si>
  <si>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</si>
  <si>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</si>
  <si>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</si>
  <si>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</si>
  <si>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</si>
  <si>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</si>
  <si>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</si>
  <si>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</si>
  <si>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</si>
  <si>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</si>
  <si>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</si>
  <si>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</si>
  <si>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</si>
  <si>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</si>
  <si>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</si>
  <si>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</si>
  <si>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</si>
  <si>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</si>
  <si>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</si>
  <si>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</si>
  <si>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</si>
  <si>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</si>
  <si>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</si>
  <si>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</si>
  <si>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</si>
  <si>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</si>
  <si>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</si>
  <si>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</si>
  <si>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</si>
  <si>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</si>
  <si>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</si>
  <si>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</si>
  <si>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</si>
  <si>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</si>
  <si>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</si>
  <si>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</si>
  <si>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</si>
  <si>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</si>
  <si>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</si>
  <si>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</si>
  <si>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</si>
  <si>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</si>
  <si>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</si>
  <si>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</si>
  <si>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</si>
  <si>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</si>
  <si>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</si>
  <si>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</si>
  <si>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</si>
  <si>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</si>
  <si>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</si>
  <si>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</si>
  <si>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</si>
  <si>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</si>
  <si>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</si>
  <si>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</si>
  <si>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</si>
  <si>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</si>
  <si>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</si>
  <si>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</si>
  <si>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</si>
  <si>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</si>
  <si>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</si>
  <si>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</si>
  <si>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</si>
  <si>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</si>
  <si>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</si>
  <si>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</si>
  <si>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</si>
  <si>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</si>
  <si>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</si>
  <si>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</si>
  <si>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</si>
  <si>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</si>
  <si>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</si>
  <si>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</si>
  <si>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</si>
  <si>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</si>
  <si>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</si>
  <si>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</si>
  <si>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</si>
  <si>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</si>
  <si>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</si>
  <si>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</si>
  <si>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</si>
  <si>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</si>
  <si>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</si>
  <si>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</si>
  <si>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</si>
  <si>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</si>
  <si>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</si>
  <si>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</si>
  <si>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</si>
  <si>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</si>
  <si>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</si>
  <si>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</si>
  <si>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</si>
  <si>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</si>
  <si>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</si>
  <si>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</si>
  <si>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</si>
  <si>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</si>
  <si>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</si>
  <si>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</si>
  <si>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</si>
  <si>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</si>
  <si>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</si>
  <si>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</si>
  <si>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</si>
  <si>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</si>
  <si>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</si>
  <si>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</si>
  <si>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</si>
  <si>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</si>
  <si>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</si>
  <si>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</si>
  <si>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</si>
  <si>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</si>
  <si>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</si>
  <si>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</si>
  <si>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</si>
  <si>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</si>
  <si>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</si>
  <si>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</si>
  <si>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</si>
  <si>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</si>
  <si>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</si>
  <si>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</si>
  <si>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</si>
  <si>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</si>
  <si>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</si>
  <si>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</si>
  <si>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</si>
  <si>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</si>
  <si>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</si>
  <si>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</si>
  <si>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</si>
  <si>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</si>
  <si>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</si>
  <si>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</si>
  <si>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</si>
  <si>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</si>
  <si>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</si>
  <si>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</si>
  <si>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</si>
  <si>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</si>
  <si>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</si>
  <si>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</si>
  <si>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</si>
  <si>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</si>
  <si>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</si>
  <si>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</si>
  <si>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</si>
  <si>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</si>
  <si>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</si>
  <si>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</si>
  <si>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</si>
  <si>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</si>
  <si>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</si>
  <si>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</si>
  <si>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</si>
  <si>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</si>
  <si>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</si>
  <si>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</si>
  <si>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</si>
  <si>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</si>
  <si>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</si>
  <si>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</si>
  <si>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</si>
  <si>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</si>
  <si>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</si>
  <si>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</si>
  <si>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</si>
  <si>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</si>
  <si>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</si>
  <si>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</si>
  <si>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</si>
  <si>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</si>
  <si>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</si>
  <si>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</si>
  <si>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</si>
  <si>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</si>
  <si>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</si>
  <si>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</si>
  <si>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</si>
  <si>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</si>
  <si>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</si>
  <si>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</si>
  <si>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</si>
  <si>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</si>
  <si>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</si>
  <si>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</si>
  <si>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</si>
  <si>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</si>
  <si>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</si>
  <si>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</si>
  <si>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</si>
  <si>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</si>
  <si>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</si>
  <si>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</si>
  <si>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</si>
  <si>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</si>
  <si>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</si>
  <si>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</si>
  <si>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</si>
  <si>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</si>
  <si>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</si>
  <si>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</si>
  <si>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</si>
  <si>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</si>
  <si>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</si>
  <si>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</si>
  <si>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</si>
  <si>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</si>
  <si>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</si>
  <si>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</si>
  <si>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</si>
  <si>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</si>
  <si>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</si>
  <si>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</si>
  <si>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</si>
  <si>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</si>
  <si>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</si>
  <si>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</si>
  <si>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</si>
  <si>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</si>
  <si>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</si>
  <si>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</si>
  <si>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</si>
  <si>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</si>
  <si>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</si>
  <si>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</si>
  <si>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</si>
  <si>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</si>
  <si>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</si>
  <si>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</si>
  <si>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</si>
  <si>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</si>
  <si>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</si>
  <si>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</si>
  <si>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</si>
  <si>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</si>
  <si>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</si>
  <si>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</si>
  <si>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</si>
  <si>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</si>
  <si>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</si>
  <si>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</si>
  <si>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</si>
  <si>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</si>
  <si>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</si>
  <si>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</si>
  <si>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</si>
  <si>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</si>
  <si>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</si>
  <si>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</si>
  <si>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</si>
  <si>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</si>
  <si>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</si>
  <si>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</si>
  <si>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</si>
  <si>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</si>
  <si>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</si>
  <si>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</si>
  <si>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</si>
  <si>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</si>
  <si>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</si>
  <si>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</si>
  <si>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</si>
  <si>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</si>
  <si>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</si>
  <si>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</si>
  <si>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</si>
  <si>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</si>
  <si>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</si>
  <si>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</si>
  <si>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</si>
  <si>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</si>
  <si>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</si>
  <si>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</si>
  <si>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</si>
  <si>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</si>
  <si>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</si>
  <si>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</si>
  <si>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</si>
  <si>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</si>
  <si>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</si>
  <si>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</si>
  <si>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</si>
  <si>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</si>
  <si>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</si>
  <si>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</si>
  <si>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</si>
  <si>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</si>
  <si>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</si>
  <si>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</si>
  <si>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</si>
  <si>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</si>
  <si>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</si>
  <si>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</si>
  <si>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</si>
  <si>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</si>
  <si>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</si>
  <si>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</si>
  <si>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</si>
  <si>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</si>
  <si>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</si>
  <si>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</si>
  <si>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</si>
  <si>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</si>
  <si>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</si>
  <si>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</si>
  <si>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</si>
  <si>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</si>
  <si>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</si>
  <si>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</si>
  <si>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</si>
  <si>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</si>
  <si>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</si>
  <si>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</si>
  <si>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</si>
  <si>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</si>
  <si>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</si>
  <si>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</si>
  <si>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</si>
  <si>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</si>
  <si>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</si>
  <si>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</si>
  <si>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</si>
  <si>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</si>
  <si>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</si>
  <si>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</si>
  <si>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</si>
  <si>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</si>
  <si>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</si>
  <si>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</si>
  <si>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</si>
  <si>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</si>
  <si>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</si>
  <si>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</si>
  <si>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</si>
  <si>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</si>
  <si>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</si>
  <si>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</si>
  <si>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</si>
  <si>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</si>
  <si>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</si>
  <si>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</si>
  <si>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</si>
  <si>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</si>
  <si>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</si>
  <si>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</si>
  <si>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</si>
  <si>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</si>
  <si>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</si>
  <si>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</si>
  <si>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</si>
  <si>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</si>
  <si>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</si>
  <si>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</si>
  <si>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</si>
  <si>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</si>
  <si>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</si>
  <si>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</si>
  <si>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</si>
  <si>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</si>
  <si>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</si>
  <si>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</si>
  <si>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</si>
  <si>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</si>
  <si>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</si>
  <si>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</si>
  <si>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</si>
  <si>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</si>
  <si>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</si>
  <si>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</si>
  <si>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</si>
  <si>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</si>
  <si>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</si>
  <si>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</si>
  <si>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</si>
  <si>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</si>
  <si>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</si>
  <si>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</si>
  <si>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</si>
  <si>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</si>
  <si>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</si>
  <si>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</si>
  <si>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</si>
  <si>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</si>
  <si>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</si>
  <si>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</si>
  <si>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</si>
  <si>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</si>
  <si>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</si>
  <si>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</si>
  <si>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</si>
  <si>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</si>
  <si>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</si>
  <si>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</si>
  <si>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</si>
  <si>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</si>
  <si>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</si>
  <si>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</si>
  <si>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</si>
  <si>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</si>
  <si>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</si>
  <si>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</si>
  <si>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</si>
  <si>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</si>
  <si>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</si>
  <si>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</si>
  <si>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</si>
  <si>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</si>
  <si>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</si>
  <si>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</si>
  <si>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</si>
  <si>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</si>
  <si>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</si>
  <si>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</si>
  <si>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</si>
  <si>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</si>
  <si>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</si>
  <si>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</si>
  <si>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</si>
  <si>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</si>
  <si>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</si>
  <si>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</si>
  <si>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</si>
  <si>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</si>
  <si>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</si>
  <si>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</si>
  <si>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</si>
  <si>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</si>
  <si>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</si>
  <si>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</si>
  <si>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</si>
  <si>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</si>
  <si>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</si>
  <si>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</si>
  <si>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</si>
  <si>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</si>
  <si>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</si>
  <si>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</si>
  <si>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</si>
  <si>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</si>
  <si>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</si>
  <si>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</si>
  <si>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</si>
  <si>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</si>
  <si>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</si>
  <si>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</si>
  <si>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</si>
  <si>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</si>
  <si>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</si>
  <si>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</si>
  <si>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</si>
  <si>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</si>
  <si>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</si>
  <si>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</si>
  <si>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</si>
  <si>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</si>
  <si>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</si>
  <si>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</si>
  <si>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</si>
  <si>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</si>
  <si>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</si>
  <si>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</si>
  <si>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</si>
  <si>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</si>
  <si>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</si>
  <si>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</si>
  <si>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</si>
  <si>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</si>
  <si>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</si>
  <si>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</si>
  <si>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</si>
  <si>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</si>
  <si>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</si>
  <si>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</si>
  <si>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</si>
  <si>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</si>
  <si>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</si>
  <si>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</si>
  <si>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</si>
  <si>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</si>
  <si>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</si>
  <si>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</si>
  <si>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</si>
  <si>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</si>
  <si>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</si>
  <si>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</si>
  <si>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</si>
  <si>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</si>
  <si>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</si>
  <si>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</si>
  <si>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</si>
  <si>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</si>
  <si>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</si>
  <si>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</si>
  <si>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</si>
  <si>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</si>
  <si>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</si>
  <si>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</si>
  <si>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</si>
  <si>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</si>
  <si>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</si>
  <si>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Routine</t>
  </si>
  <si>
    <t>Targeted</t>
  </si>
  <si>
    <t>Undocumented Test Indication</t>
  </si>
  <si>
    <t>02 months - 09 years</t>
  </si>
  <si>
    <t>TX_TB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</si>
  <si>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</si>
  <si>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</si>
  <si>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</si>
  <si>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</si>
  <si>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</si>
  <si>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</si>
  <si>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</si>
  <si>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</si>
  <si>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</si>
  <si>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</si>
  <si>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</si>
  <si>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</si>
  <si>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</si>
  <si>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</si>
  <si>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</si>
  <si>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</si>
  <si>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</si>
  <si>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</si>
  <si>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</si>
  <si>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</si>
  <si>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</si>
  <si>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</si>
  <si>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</si>
  <si>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</si>
  <si>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</si>
  <si>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</si>
  <si>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</si>
  <si>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</si>
  <si>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</si>
  <si>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</si>
  <si>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</si>
  <si>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</si>
  <si>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</si>
  <si>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</si>
  <si>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</si>
  <si>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</si>
  <si>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</si>
  <si>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</si>
  <si>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</si>
  <si>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</si>
  <si>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</si>
  <si>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</si>
  <si>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</si>
  <si>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</si>
  <si>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</si>
  <si>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</si>
  <si>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</si>
  <si>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</si>
  <si>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</si>
  <si>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</si>
  <si>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</si>
  <si>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</si>
  <si>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</si>
  <si>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</si>
  <si>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</si>
  <si>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</si>
  <si>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</si>
  <si>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</si>
  <si>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</si>
  <si>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</si>
  <si>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</si>
  <si>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</si>
  <si>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</si>
  <si>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</si>
  <si>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</si>
  <si>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</si>
  <si>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</si>
  <si>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</si>
  <si>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</si>
  <si>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</si>
  <si>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</si>
  <si>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</si>
  <si>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</si>
  <si>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</si>
  <si>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</si>
  <si>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</si>
  <si>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</si>
  <si>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</si>
  <si>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</si>
  <si>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</si>
  <si>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</si>
  <si>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</si>
  <si>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</si>
  <si>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</si>
  <si>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</si>
  <si>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</si>
  <si>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</si>
  <si>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</si>
  <si>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</si>
  <si>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</si>
  <si>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</si>
  <si>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</si>
  <si>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</si>
  <si>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</si>
  <si>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</si>
  <si>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</si>
  <si>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</si>
  <si>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</si>
  <si>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</si>
  <si>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</si>
  <si>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</si>
  <si>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</si>
  <si>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</si>
  <si>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</si>
  <si>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</si>
  <si>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</si>
  <si>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</si>
  <si>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</si>
  <si>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</si>
  <si>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</si>
  <si>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</si>
  <si>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</si>
  <si>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</si>
  <si>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</si>
  <si>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</si>
  <si>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</si>
  <si>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</si>
  <si>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</si>
  <si>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</si>
  <si>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</si>
  <si>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</si>
  <si>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</si>
  <si>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</si>
  <si>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</si>
  <si>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</si>
  <si>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</si>
  <si>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</si>
  <si>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</si>
  <si>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</si>
  <si>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</si>
  <si>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</si>
  <si>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</si>
  <si>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</si>
  <si>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</si>
  <si>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</si>
  <si>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</si>
  <si>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</si>
  <si>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</si>
  <si>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</si>
  <si>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</si>
  <si>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</si>
  <si>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</si>
  <si>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</si>
  <si>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</si>
  <si>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</si>
  <si>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</si>
  <si>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</si>
  <si>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</si>
  <si>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</si>
  <si>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</si>
  <si>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</si>
  <si>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</si>
  <si>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</si>
  <si>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</si>
  <si>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</si>
  <si>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</si>
  <si>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</si>
  <si>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</si>
  <si>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</si>
  <si>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</si>
  <si>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</si>
  <si>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</si>
  <si>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</si>
  <si>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</si>
  <si>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</si>
  <si>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</si>
  <si>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</si>
  <si>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</si>
  <si>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</si>
  <si>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</si>
  <si>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</si>
  <si>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</si>
  <si>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</si>
  <si>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</si>
  <si>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</si>
  <si>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</si>
  <si>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</si>
  <si>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</si>
  <si>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</si>
  <si>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</si>
  <si>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</si>
  <si>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</si>
  <si>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</si>
  <si>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</si>
  <si>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</si>
  <si>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</si>
  <si>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</si>
  <si>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</si>
  <si>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</si>
  <si>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</si>
  <si>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</si>
  <si>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</si>
  <si>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</si>
  <si>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</si>
  <si>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</si>
  <si>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</si>
  <si>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</si>
  <si>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</si>
  <si>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</si>
  <si>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</si>
  <si>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</si>
  <si>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</si>
  <si>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</si>
  <si>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</si>
  <si>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</si>
  <si>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</si>
  <si>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</si>
  <si>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</si>
  <si>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</si>
  <si>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</si>
  <si>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</si>
  <si>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</si>
  <si>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</si>
  <si>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</si>
  <si>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</si>
  <si>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</si>
  <si>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</si>
  <si>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</si>
  <si>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</si>
  <si>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</si>
  <si>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</si>
  <si>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</si>
  <si>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</si>
  <si>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</si>
  <si>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</si>
  <si>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</si>
  <si>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</si>
  <si>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</si>
  <si>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</si>
  <si>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</si>
  <si>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</si>
  <si>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</si>
  <si>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</si>
  <si>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</si>
  <si>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</si>
  <si>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</si>
  <si>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</si>
  <si>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</si>
  <si>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</si>
  <si>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</si>
  <si>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</si>
  <si>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</si>
  <si>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</si>
  <si>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</si>
  <si>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</si>
  <si>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</si>
  <si>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</si>
  <si>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</si>
  <si>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</si>
  <si>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</si>
  <si>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</si>
  <si>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</si>
  <si>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</si>
  <si>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</si>
  <si>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</si>
  <si>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</si>
  <si>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</si>
  <si>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</si>
  <si>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</si>
  <si>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</si>
  <si>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</si>
  <si>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</si>
  <si>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</si>
  <si>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</si>
  <si>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</si>
  <si>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</si>
  <si>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</si>
  <si>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</si>
  <si>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</si>
  <si>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</si>
  <si>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</si>
  <si>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</si>
  <si>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</si>
  <si>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</si>
  <si>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</si>
  <si>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</si>
  <si>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</si>
  <si>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</si>
  <si>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</si>
  <si>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</si>
  <si>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</si>
  <si>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</si>
  <si>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</si>
  <si>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</si>
  <si>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</si>
  <si>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</si>
  <si>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</si>
  <si>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</si>
  <si>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</si>
  <si>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</si>
  <si>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</si>
  <si>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</si>
  <si>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</si>
  <si>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</si>
  <si>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</si>
  <si>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</si>
  <si>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</si>
  <si>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</si>
  <si>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</si>
  <si>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</si>
  <si>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</si>
  <si>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</si>
  <si>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</si>
  <si>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</si>
  <si>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</si>
  <si>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</si>
  <si>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</si>
  <si>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</si>
  <si>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</si>
  <si>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</si>
  <si>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</si>
  <si>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</si>
  <si>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</si>
  <si>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</si>
  <si>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</si>
  <si>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</si>
  <si>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</si>
  <si>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</si>
  <si>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</si>
  <si>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</si>
  <si>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</si>
  <si>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</si>
  <si>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</si>
  <si>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</si>
  <si>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</si>
  <si>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</si>
  <si>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</si>
  <si>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</si>
  <si>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</si>
  <si>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</si>
  <si>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</si>
  <si>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</si>
  <si>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</si>
  <si>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</si>
  <si>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</si>
  <si>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</si>
  <si>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</si>
  <si>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</si>
  <si>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</si>
  <si>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</si>
  <si>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</si>
  <si>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</si>
  <si>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</si>
  <si>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</si>
  <si>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</si>
  <si>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</si>
  <si>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</si>
  <si>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</si>
  <si>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</si>
  <si>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</si>
  <si>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</si>
  <si>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</si>
  <si>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</si>
  <si>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</si>
  <si>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</si>
  <si>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</si>
  <si>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</si>
  <si>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</si>
  <si>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</si>
  <si>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</si>
  <si>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</si>
  <si>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</si>
  <si>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</si>
  <si>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</si>
  <si>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</si>
  <si>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</si>
  <si>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</si>
  <si>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</si>
  <si>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</si>
  <si>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</si>
  <si>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</si>
  <si>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</si>
  <si>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</si>
  <si>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</si>
  <si>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</si>
  <si>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</si>
  <si>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</si>
  <si>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</si>
  <si>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</si>
  <si>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</si>
  <si>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</si>
  <si>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</si>
  <si>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</si>
  <si>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</si>
  <si>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</si>
  <si>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</si>
  <si>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</si>
  <si>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</si>
  <si>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</si>
  <si>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</si>
  <si>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</si>
  <si>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</si>
  <si>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</si>
  <si>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</si>
  <si>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</si>
  <si>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</si>
  <si>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</si>
  <si>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</si>
  <si>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</si>
  <si>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</si>
  <si>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</si>
  <si>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</si>
  <si>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</si>
  <si>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</si>
  <si>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</si>
  <si>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</si>
  <si>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</si>
  <si>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</si>
  <si>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</si>
  <si>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</si>
  <si>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</si>
  <si>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</si>
  <si>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</si>
  <si>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</si>
  <si>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</si>
  <si>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</si>
  <si>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</si>
  <si>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</si>
  <si>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</si>
  <si>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</si>
  <si>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</si>
  <si>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</si>
  <si>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</si>
  <si>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</si>
  <si>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</si>
  <si>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</si>
  <si>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</si>
  <si>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</si>
  <si>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</si>
  <si>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</si>
  <si>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</si>
  <si>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</si>
  <si>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</si>
  <si>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</si>
  <si>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</si>
  <si>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</si>
  <si>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</si>
  <si>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</si>
  <si>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</si>
  <si>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</si>
  <si>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</si>
  <si>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</si>
  <si>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</si>
  <si>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</si>
  <si>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</si>
  <si>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</si>
  <si>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</si>
  <si>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</si>
  <si>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</si>
  <si>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</si>
  <si>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</si>
  <si>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</si>
  <si>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</si>
  <si>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</si>
  <si>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</si>
  <si>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</si>
  <si>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</si>
  <si>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</si>
  <si>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</si>
  <si>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</si>
  <si>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</si>
  <si>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</si>
  <si>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</si>
  <si>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</si>
  <si>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</si>
  <si>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</si>
  <si>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</si>
  <si>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</si>
  <si>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</si>
  <si>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</si>
  <si>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</si>
  <si>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</si>
  <si>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</si>
  <si>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</si>
  <si>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</si>
  <si>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</si>
  <si>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</si>
  <si>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</si>
  <si>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</si>
  <si>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</si>
  <si>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</si>
  <si>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</si>
  <si>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</si>
  <si>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</si>
  <si>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</si>
  <si>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</si>
  <si>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</si>
  <si>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</si>
  <si>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</si>
  <si>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</si>
  <si>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</si>
  <si>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</si>
  <si>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</si>
  <si>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</si>
  <si>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</si>
  <si>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</si>
  <si>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</si>
  <si>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</si>
  <si>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</si>
  <si>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</si>
  <si>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</si>
  <si>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</si>
  <si>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</si>
  <si>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</si>
  <si>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</si>
  <si>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</si>
  <si>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</si>
  <si>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</si>
  <si>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</si>
  <si>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</si>
  <si>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</si>
  <si>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</si>
  <si>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</si>
  <si>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</si>
  <si>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</si>
  <si>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</si>
  <si>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</si>
  <si>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</si>
  <si>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</si>
  <si>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</si>
  <si>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</si>
  <si>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</si>
  <si>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</si>
  <si>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</si>
  <si>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</si>
  <si>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</si>
  <si>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</si>
  <si>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</si>
  <si>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</si>
  <si>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</si>
  <si>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</si>
  <si>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</si>
  <si>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</si>
  <si>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</si>
  <si>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</si>
  <si>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</si>
  <si>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</si>
  <si>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</si>
  <si>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</si>
  <si>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</si>
  <si>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</si>
  <si>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</si>
  <si>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</si>
  <si>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</si>
  <si>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</si>
  <si>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</si>
  <si>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</si>
  <si>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</si>
  <si>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</si>
  <si>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</si>
  <si>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</si>
  <si>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</si>
  <si>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</si>
  <si>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</si>
  <si>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</si>
  <si>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</si>
  <si>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</si>
  <si>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</si>
  <si>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</si>
  <si>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</si>
  <si>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</si>
  <si>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</si>
  <si>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</si>
  <si>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</si>
  <si>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</si>
  <si>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</si>
  <si>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</si>
  <si>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</si>
  <si>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</si>
  <si>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</si>
  <si>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</si>
  <si>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</si>
  <si>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</si>
  <si>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</si>
  <si>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</si>
  <si>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</si>
  <si>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</si>
  <si>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</si>
  <si>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</si>
  <si>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</si>
  <si>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</si>
  <si>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</si>
  <si>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</si>
  <si>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</si>
  <si>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</si>
  <si>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</si>
  <si>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</si>
  <si>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</si>
  <si>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</si>
  <si>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</si>
  <si>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</si>
  <si>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</si>
  <si>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</si>
  <si>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</si>
  <si>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</si>
  <si>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</si>
  <si>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</si>
  <si>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</si>
  <si>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</si>
  <si>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</si>
  <si>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</si>
  <si>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</si>
  <si>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</si>
  <si>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</si>
  <si>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</si>
  <si>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</si>
  <si>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</si>
  <si>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</si>
  <si>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</si>
  <si>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</si>
  <si>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</si>
  <si>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</si>
  <si>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</si>
  <si>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</si>
  <si>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</si>
  <si>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</si>
  <si>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</si>
  <si>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</si>
  <si>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</si>
  <si>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</si>
  <si>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</si>
  <si>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</si>
  <si>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</si>
  <si>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</si>
  <si>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</si>
  <si>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</si>
  <si>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</si>
  <si>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</si>
  <si>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</si>
  <si>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</si>
  <si>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</si>
  <si>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</si>
  <si>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</si>
  <si>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</si>
  <si>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</si>
  <si>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</si>
  <si>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</si>
  <si>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</si>
  <si>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</si>
  <si>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</si>
  <si>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</si>
  <si>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</si>
  <si>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</si>
  <si>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</si>
  <si>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</si>
  <si>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</si>
  <si>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</si>
  <si>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</si>
  <si>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</si>
  <si>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</si>
  <si>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</si>
  <si>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</si>
  <si>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</si>
  <si>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</si>
  <si>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</si>
  <si>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</si>
  <si>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</si>
  <si>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</si>
  <si>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</si>
  <si>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</si>
  <si>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</si>
  <si>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</si>
  <si>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</si>
  <si>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</si>
  <si>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</si>
  <si>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</si>
  <si>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</si>
  <si>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</si>
  <si>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</si>
  <si>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</si>
  <si>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</si>
  <si>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</si>
  <si>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</si>
  <si>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</si>
  <si>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</si>
  <si>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</si>
  <si>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</si>
  <si>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</si>
  <si>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</si>
  <si>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</si>
  <si>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</si>
  <si>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</si>
  <si>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</si>
  <si>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</si>
  <si>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</si>
  <si>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</si>
  <si>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</si>
  <si>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</si>
  <si>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</si>
  <si>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</si>
  <si>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</si>
  <si>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</si>
  <si>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</si>
  <si>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</si>
  <si>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</si>
  <si>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</si>
  <si>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</si>
  <si>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</si>
  <si>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</si>
  <si>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</si>
  <si>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</si>
  <si>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</si>
  <si>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</si>
  <si>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</si>
  <si>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</si>
  <si>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</si>
  <si>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</si>
  <si>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</si>
  <si>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</si>
  <si>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</si>
  <si>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</si>
  <si>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</si>
  <si>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</si>
  <si>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</si>
  <si>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</si>
  <si>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</si>
  <si>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</si>
  <si>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</si>
  <si>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</si>
  <si>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</si>
  <si>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</si>
  <si>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</si>
  <si>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</si>
  <si>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</si>
  <si>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</si>
  <si>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</si>
  <si>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</si>
  <si>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</si>
  <si>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</si>
  <si>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</si>
  <si>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</si>
  <si>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</si>
  <si>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</si>
  <si>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</si>
  <si>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</si>
  <si>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</si>
  <si>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</si>
  <si>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</si>
  <si>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</si>
  <si>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</si>
  <si>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</si>
  <si>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</si>
  <si>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</si>
  <si>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</si>
  <si>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</si>
  <si>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</si>
  <si>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</si>
  <si>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</si>
  <si>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</si>
  <si>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</si>
  <si>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</si>
  <si>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</si>
  <si>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</si>
  <si>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</si>
  <si>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</si>
  <si>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</si>
  <si>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</si>
  <si>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</si>
  <si>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</si>
  <si>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</si>
  <si>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</si>
  <si>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</si>
  <si>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</si>
  <si>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</si>
  <si>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</si>
  <si>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</si>
  <si>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</si>
  <si>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</si>
  <si>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</si>
  <si>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</si>
  <si>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</si>
  <si>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</si>
  <si>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</si>
  <si>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</si>
  <si>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</si>
  <si>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</si>
  <si>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</si>
  <si>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</si>
  <si>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</si>
  <si>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</si>
  <si>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</si>
  <si>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</si>
  <si>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</si>
  <si>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</si>
  <si>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</si>
  <si>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</si>
  <si>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</si>
  <si>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</si>
  <si>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</si>
  <si>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</si>
  <si>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</si>
  <si>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</si>
  <si>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</si>
  <si>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</si>
  <si>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</si>
  <si>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</si>
  <si>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</si>
  <si>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</si>
  <si>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</si>
  <si>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</si>
  <si>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</si>
  <si>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</si>
  <si>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</si>
  <si>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</si>
  <si>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</si>
  <si>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</si>
  <si>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</si>
  <si>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</si>
  <si>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</si>
  <si>
    <t xml:space="preserve">D_pmtct_eid_u2mo_fy19 </t>
  </si>
  <si>
    <t>Age/Sex/Service - Econ [DREAMS ONLY]</t>
  </si>
  <si>
    <t>Age/Sex/Service - Edu [DREAMS ONLY]</t>
  </si>
  <si>
    <t>Age/Sex/Service - Oth [DREAMS ONLY]</t>
  </si>
  <si>
    <t>Age/Sex/Service - Care [DREAMS ONLY]</t>
  </si>
  <si>
    <t>Age/Sex/Service - SP [DREAMS ONLY]</t>
  </si>
  <si>
    <t>Age/Sex/Service - Edu  [DREAMS ONLY]</t>
  </si>
  <si>
    <t>Age/Sex/Service - Oth  [DREAMS ONLY]</t>
  </si>
  <si>
    <t>Age/Sex/Service - Care  [DREAMS ONLY]</t>
  </si>
  <si>
    <t>Age/Sex/Service - SP  [DREAMS ONLY]</t>
  </si>
  <si>
    <t>KeyPop/HIVStatus [OPTIONAL]</t>
  </si>
  <si>
    <t>Specimen Sent</t>
  </si>
  <si>
    <t>Diagnostic Test/HIVStatus</t>
  </si>
  <si>
    <t>DENOMINATOR - Specimen Sent</t>
  </si>
  <si>
    <t>A_tx_tb_D_oth_pos2</t>
  </si>
  <si>
    <t>A_tx_tb_D_sent_pos</t>
  </si>
  <si>
    <t>DENOMINATOR - Diagnostic Test/HIVStatus</t>
  </si>
  <si>
    <t>tx_tb_D_sent_pos</t>
  </si>
  <si>
    <t>Specimen Sent, Positive</t>
  </si>
  <si>
    <t xml:space="preserve"> KeyPop/HIVSelfTest [Share of Numerator]</t>
  </si>
  <si>
    <t>PEP 
[Share of Sexual Violence Target]</t>
  </si>
  <si>
    <t xml:space="preserve"> KeyPop/HIVSelfTest
 [Share of Numerator]</t>
  </si>
  <si>
    <t>KeyPop [Share of Numerator]</t>
  </si>
  <si>
    <t>KeyPop/HIVStatus  [OPTIONAL] [Share of Numerator]</t>
  </si>
  <si>
    <t>PregnantOrBreastfeeding/HIVStatus[Share of Numerator]</t>
  </si>
  <si>
    <t>KeyPop/HIVStatus [Optional] [Share of Numerator]</t>
  </si>
  <si>
    <t>PregnantOrBreastfeeding/HIVStatus [Share of Numerator]</t>
  </si>
  <si>
    <t>PregnantOrBreastfeeding/HIVStatus [Share of Total Numerator]</t>
  </si>
  <si>
    <t>DENOMINATOR - Specimen Sent [Share of Total Numerator]</t>
  </si>
  <si>
    <t>DENOMINATOR - Specimen Sent/HIVStatus [Share of Specimens Sent disagg]</t>
  </si>
  <si>
    <t>DENOMINATOR - Diagnostic Test/HIVStatus [Share of Specimens Sent disagg]</t>
  </si>
  <si>
    <t>DENOMINATOR PregnantOrBreastfeeding/HIVStatus [Share of Total Denominator]</t>
  </si>
  <si>
    <t>Age Aggregated/Sex</t>
  </si>
  <si>
    <t>Age Aggregated/Sex/Indication/HIVStatus</t>
  </si>
  <si>
    <t>RoutineTargeted/HIVStatus</t>
  </si>
  <si>
    <t>TB Test Type/HIVStatus</t>
  </si>
  <si>
    <t>Technique/Sex</t>
  </si>
  <si>
    <t>Age Aggregated/Sex/KnownNewPosNeg</t>
  </si>
  <si>
    <t>NewExistingArt/HIVStatus</t>
  </si>
  <si>
    <t>A_kp_mat_f</t>
  </si>
  <si>
    <t>A_kp_mat_m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</si>
</sst>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  <numFmt numFmtId="170" formatCode="[Red][=0]0%;[Black]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5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3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4" fillId="0" borderId="0" xfId="0" applyFont="1"/>
    <xf numFmtId="49" fontId="34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170" fontId="3" fillId="0" borderId="0" xfId="0" applyNumberFormat="1" applyFont="1" applyFill="1"/>
    <xf numFmtId="0" fontId="0" fillId="32" borderId="0" xfId="0" applyFill="1"/>
    <xf numFmtId="49" fontId="0" fillId="32" borderId="0" xfId="0" applyNumberFormat="1" applyFill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31" borderId="5" xfId="0" applyFont="1" applyFill="1" applyBorder="1" applyAlignment="1">
      <alignment horizontal="left"/>
    </xf>
    <xf numFmtId="164" fontId="3" fillId="33" borderId="0" xfId="0" applyNumberFormat="1" applyFon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215"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214"/>
      <tableStyleElement type="secondRowStripe" dxfId="121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March 6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March 8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210" dataDxfId="1209">
  <autoFilter ref="B6:HX7"/>
  <tableColumns count="231">
    <tableColumn id="225" name="psnu_type_mechid" dataDxfId="1208">
      <calculatedColumnFormula>targets[Dsnulist]&amp;" "&amp;targets[D_indicatortype]&amp;" "&amp;targets[D_mechanismid]</calculatedColumnFormula>
    </tableColumn>
    <tableColumn id="1" name="Dsnulist" dataDxfId="1207"/>
    <tableColumn id="2" name="D_priority" dataDxfId="1206"/>
    <tableColumn id="3" name="D_mechanismid" dataDxfId="1205"/>
    <tableColumn id="4" name="D_indicatortype" dataDxfId="1204"/>
    <tableColumn id="5" name="D_tx_ret_D_pct" dataDxfId="1203"/>
    <tableColumn id="229" name="D_tx_ret_u15_D_pct" dataDxfId="1202"/>
    <tableColumn id="6" name="D_tx_ret_pct" dataDxfId="1201"/>
    <tableColumn id="230" name="D_tx_ret_u15_pct" dataDxfId="1200"/>
    <tableColumn id="22" name="D_tx_new_pct" dataDxfId="1199"/>
    <tableColumn id="231" name="D_tx_new_u15_pct" dataDxfId="1198"/>
    <tableColumn id="7" name="D_tx_curr_pct" dataDxfId="1197"/>
    <tableColumn id="232" name="D_tx_curr_u15_pct" dataDxfId="1196"/>
    <tableColumn id="8" name="D_tx_pvls_D_pct" dataDxfId="1195"/>
    <tableColumn id="9" name="D_pmtct_stat_D_pct" dataDxfId="1194"/>
    <tableColumn id="10" name="D_pmtct_stat_pct" dataDxfId="1193"/>
    <tableColumn id="11" name="D_pmtct_stat_newpos_pct" dataDxfId="1192"/>
    <tableColumn id="12" name="D_pmtct_stat_newneg_pct" dataDxfId="1191"/>
    <tableColumn id="13" name="D_pmtct_stat_known_pct" dataDxfId="1190"/>
    <tableColumn id="54" name="D_pmtct_art_pct" dataDxfId="1189"/>
    <tableColumn id="14" name="D_pmtct_art_new_pct" dataDxfId="1188"/>
    <tableColumn id="15" name="D_pmtct_art_already_pct" dataDxfId="1187"/>
    <tableColumn id="16" name="D_pmtct_eid_pct" dataDxfId="1186"/>
    <tableColumn id="17" name="D_pmtct_eid_u2mo_pct" dataDxfId="1185"/>
    <tableColumn id="18" name="D_pmtct_eid_o2mo_pct" dataDxfId="1184"/>
    <tableColumn id="19" name="D_tb_stat_D_pct" dataDxfId="1183"/>
    <tableColumn id="20" name="D_tb_stat_pct" dataDxfId="1182"/>
    <tableColumn id="21" name="D_tb_stat_newpos_pct" dataDxfId="1181"/>
    <tableColumn id="26" name="D_tb_stat_newneg_pct" dataDxfId="1180"/>
    <tableColumn id="28" name="D_tb_stat_known_pct" dataDxfId="1179"/>
    <tableColumn id="29" name="D_tb_art_pct" dataDxfId="1178"/>
    <tableColumn id="30" name="D_tb_art_new_pct" dataDxfId="1177"/>
    <tableColumn id="52" name="D_tb_art_already_pct" dataDxfId="1176"/>
    <tableColumn id="31" name="D_tx_tb_D_pct" dataDxfId="1175"/>
    <tableColumn id="32" name="D_tb_prev_D_pct" dataDxfId="1174"/>
    <tableColumn id="33" name="D_tb_prev_pct" dataDxfId="1173"/>
    <tableColumn id="34" name="D_hts_tst_pos_vmmc_pct" dataDxfId="1172"/>
    <tableColumn id="35" name="D_hts_tst_pmtctanc_pct" dataDxfId="1171"/>
    <tableColumn id="36" name="D_hts_tst_tbclinic_pct" dataDxfId="1170"/>
    <tableColumn id="53" name="D_hts_tst_vmmc_pct" dataDxfId="1169"/>
    <tableColumn id="37" name="D_hts_tst_indexmod_o15_pct" dataDxfId="1168"/>
    <tableColumn id="38" name="D_hts_tst_mobilemod_o15_pct" dataDxfId="1167"/>
    <tableColumn id="39" name="D_hts_tst_vctmod_o15_pct" dataDxfId="1166"/>
    <tableColumn id="40" name="D_hts_tst_othermod_o15_pct" dataDxfId="1165"/>
    <tableColumn id="41" name="D_hts_tst_index_o15_pct" dataDxfId="1164"/>
    <tableColumn id="42" name="D_hts_tst_sti_o15_pct" dataDxfId="1163"/>
    <tableColumn id="43" name="D_hts_tst_inpat_o15_pct" dataDxfId="1162"/>
    <tableColumn id="44" name="D_hts_tst_emergency_o15_pct" dataDxfId="1161"/>
    <tableColumn id="49" name="D_hts_tst_vct_o15_pct" dataDxfId="1160"/>
    <tableColumn id="23" name="D_hts_tst_otherpitc_o15_pct" dataDxfId="1159"/>
    <tableColumn id="27" name="D_hts_tst_pos_indexmod_o15_pct" dataDxfId="1158"/>
    <tableColumn id="45" name="D_hts_tst_pos_mobilemod_o15_pct" dataDxfId="1157"/>
    <tableColumn id="46" name="D_hts_tst_pos_vctmod_o15_pct" dataDxfId="1156"/>
    <tableColumn id="47" name="D_hts_tst_pos_othermod_o15_pct" dataDxfId="1155"/>
    <tableColumn id="48" name="D_hts_tst_pos_index_o15_pct" dataDxfId="1154"/>
    <tableColumn id="50" name="D_hts_tst_pos_sti_o15_pct" dataDxfId="1153"/>
    <tableColumn id="51" name="D_hts_tst_pos_inpat_o15_pct" dataDxfId="1152"/>
    <tableColumn id="55" name="D_hts_tst_pos_emergency_o15_pct" dataDxfId="1151"/>
    <tableColumn id="56" name="D_hts_tst_pos_vct_o15_pct" dataDxfId="1150"/>
    <tableColumn id="57" name="D_hts_tst_pos_otherpitc_o15_pct" dataDxfId="1149"/>
    <tableColumn id="58" name="D_hts_tst_indexmod_u15_pct" dataDxfId="1148"/>
    <tableColumn id="59" name="D_hts_tst_mobilemod_u15_pct" dataDxfId="1147"/>
    <tableColumn id="60" name="D_hts_tst_vctmod_u15_pct" dataDxfId="1146"/>
    <tableColumn id="61" name="D_hts_tst_othermod_u15_pct" dataDxfId="1145"/>
    <tableColumn id="62" name="D_hts_tst_index_u15_pct" dataDxfId="1144"/>
    <tableColumn id="63" name="D_hts_tst_sti_u15_pct" dataDxfId="1143"/>
    <tableColumn id="64" name="D_hts_tst_inpat_u15_pct" dataDxfId="1142"/>
    <tableColumn id="65" name="D_hts_tst_emergency_u15_pct" dataDxfId="1141"/>
    <tableColumn id="66" name="D_hts_tst_vct_u15_pct" dataDxfId="1140"/>
    <tableColumn id="67" name="D_hts_tst_pediatric_u15_pct" dataDxfId="1139"/>
    <tableColumn id="68" name="D_hts_tst_malnutrition_u15_pct" dataDxfId="1138"/>
    <tableColumn id="69" name="D_hts_tst_otherpitc_u15_pct" dataDxfId="1137"/>
    <tableColumn id="70" name="D_hts_tst_pos_indexmod_u15_pct" dataDxfId="1136"/>
    <tableColumn id="71" name="D_hts_tst_pos_mobilemod_u15_pct" dataDxfId="1135"/>
    <tableColumn id="72" name="D_hts_tst_pos_vctmod_u15_pct" dataDxfId="1134"/>
    <tableColumn id="73" name="D_hts_tst_pos_othermod_u15_pct" dataDxfId="1133"/>
    <tableColumn id="74" name="D_hts_tst_pos_index_u15_pct" dataDxfId="1132"/>
    <tableColumn id="75" name="D_hts_tst_pos_sti_u15_pct" dataDxfId="1131"/>
    <tableColumn id="76" name="D_hts_tst_pos_inpat_u15_pct" dataDxfId="1130"/>
    <tableColumn id="77" name="D_hts_tst_pos_emergency_u15_pct" dataDxfId="1129"/>
    <tableColumn id="78" name="D_hts_tst_pos_vct_u15_pct" dataDxfId="1128"/>
    <tableColumn id="79" name="D_hts_tst_pos_pediatric_u15_pct" dataDxfId="1127"/>
    <tableColumn id="80" name="D_hts_tst_pos_malnutrition_u15_pct" dataDxfId="1126"/>
    <tableColumn id="81" name="D_hts_tst_pos_otherpitc_u15_pct" dataDxfId="1125"/>
    <tableColumn id="82" name="D_hts_tst_keypop_pct" dataDxfId="1124"/>
    <tableColumn id="83" name="D_hts_self_pct" dataDxfId="1123"/>
    <tableColumn id="84" name="D_vmmc_circ_pct" dataDxfId="1122"/>
    <tableColumn id="85" name="D_vmmc_circ_1529_pct" dataDxfId="1121"/>
    <tableColumn id="86" name="D_ovc_serv_pct" dataDxfId="1120"/>
    <tableColumn id="87" name="D_ovc_serv_grad_pct" dataDxfId="1119"/>
    <tableColumn id="88" name="D_ovc_serv_active_pct" dataDxfId="1118"/>
    <tableColumn id="89" name="D_ovc_serv_u18_pct" dataDxfId="1117"/>
    <tableColumn id="90" name="D_ovc_hivstat_pct" dataDxfId="1116"/>
    <tableColumn id="91" name="D_ovc_serv_edu_pct" dataDxfId="1115"/>
    <tableColumn id="92" name="D_ovc_serv_care_pct" dataDxfId="1114"/>
    <tableColumn id="93" name="D_ovc_serv_sp_pct" dataDxfId="1113"/>
    <tableColumn id="94" name="D_ovc_serv_econ_pct" dataDxfId="1112"/>
    <tableColumn id="95" name="D_ovc_serv_oth_pct" dataDxfId="1111"/>
    <tableColumn id="96" name="D_kp_prev_msm_sw_D_pct" dataDxfId="1110"/>
    <tableColumn id="97" name="D_kp_prev_msm_sw_pct" dataDxfId="1109"/>
    <tableColumn id="98" name="D_kp_prev_msm_not_sw_D_pct" dataDxfId="1108"/>
    <tableColumn id="99" name="D_kp_prev_msm_not_sw_pct" dataDxfId="1107"/>
    <tableColumn id="100" name="D_kp_prev_tg_sw_D_pct" dataDxfId="1106"/>
    <tableColumn id="101" name="D_kp_prev_tg_sw_pct" dataDxfId="1105"/>
    <tableColumn id="102" name="D_kp_prev_tg_not_sw_D_pct" dataDxfId="1104"/>
    <tableColumn id="103" name="D_kp_prev_tg_not_sw_pct" dataDxfId="1103"/>
    <tableColumn id="104" name="D_kp_prev_fsw_D_pct" dataDxfId="1102"/>
    <tableColumn id="105" name="D_kp_prev_fsw_pct" dataDxfId="1101"/>
    <tableColumn id="106" name="D_kp_prev_pwid_m_D_pct" dataDxfId="1100"/>
    <tableColumn id="107" name="D_kp_prev_pwid_m_pct" dataDxfId="1099"/>
    <tableColumn id="108" name="D_kp_prev_pwid_f_D_pct" dataDxfId="1098"/>
    <tableColumn id="109" name="D_kp_prev_pwid_f_pct" dataDxfId="1097"/>
    <tableColumn id="110" name="D_kp_prev_prison_D_pct" dataDxfId="1096"/>
    <tableColumn id="111" name="D_kp_prev_prison_pct" dataDxfId="1095"/>
    <tableColumn id="112" name="D_pp_prev_pct" dataDxfId="1094"/>
    <tableColumn id="113" name="D_kp_mat_pct" dataDxfId="1093"/>
    <tableColumn id="114" name="D_gend_gbv_pct" dataDxfId="1092"/>
    <tableColumn id="115" name="D_prep_new_pct" dataDxfId="1091"/>
    <tableColumn id="116" name="D_tx_ret_D_fy19" dataDxfId="1090"/>
    <tableColumn id="117" name="D_tx_ret_u15_D_fy19" dataDxfId="1089"/>
    <tableColumn id="228" name="D_tx_ret_fy19" dataDxfId="1088"/>
    <tableColumn id="118" name="D_tx_ret_u15_fy19" dataDxfId="1087"/>
    <tableColumn id="25" name="D_tx_new_fy19" dataDxfId="1086"/>
    <tableColumn id="119" name="D_tx_new_u15_fy19" dataDxfId="1085"/>
    <tableColumn id="227" name="D_tx_curr_fy19" dataDxfId="1084"/>
    <tableColumn id="120" name="D_tx_curr_u15_fy19" dataDxfId="1083"/>
    <tableColumn id="24" name="D_tx_pvls_D_fy19" dataDxfId="1082"/>
    <tableColumn id="121" name="D_pmtct_stat_D_fy19" dataDxfId="1081"/>
    <tableColumn id="122" name="D_pmtct_stat_fy19" dataDxfId="1080"/>
    <tableColumn id="123" name="D_pmtct_stat_newpos_fy19" dataDxfId="1079"/>
    <tableColumn id="124" name="D_pmtct_stat_newneg_fy19" dataDxfId="1078"/>
    <tableColumn id="125" name="D_pmtct_stat_known_fy19" dataDxfId="1077"/>
    <tableColumn id="126" name="D_pmtct_art_fy19" dataDxfId="1076"/>
    <tableColumn id="127" name="D_pmtct_art_new_fy19" dataDxfId="1075"/>
    <tableColumn id="128" name="D_pmtct_art_already_fy19" dataDxfId="1074"/>
    <tableColumn id="129" name="D_pmtct_eid_fy19" dataDxfId="1073"/>
    <tableColumn id="130" name="D_pmtct_eid_u2mo_fy19 " dataDxfId="1072"/>
    <tableColumn id="131" name="D_pmtct_eid_o2mo_fy19" dataDxfId="1071"/>
    <tableColumn id="132" name="D_tb_stat_D_fy19" dataDxfId="1070"/>
    <tableColumn id="133" name="D_tb_stat_fy19" dataDxfId="1069"/>
    <tableColumn id="134" name="D_tb_stat_newpos_fy19" dataDxfId="1068"/>
    <tableColumn id="135" name="D_tb_stat_newneg_fy19" dataDxfId="1067"/>
    <tableColumn id="136" name="D_tb_stat_known_fy19" dataDxfId="1066"/>
    <tableColumn id="137" name="D_tb_art_fy19" dataDxfId="1065"/>
    <tableColumn id="138" name="D_tb_art_new_fy19" dataDxfId="1064"/>
    <tableColumn id="139" name="D_tb_art_already_fy19" dataDxfId="1063"/>
    <tableColumn id="140" name="D_tx_tb_D_fy19" dataDxfId="1062"/>
    <tableColumn id="141" name="D_tb_prev_D_fy19" dataDxfId="1061"/>
    <tableColumn id="142" name="D_tb_prev_fy19" dataDxfId="1060"/>
    <tableColumn id="143" name="D_hts_tst_pos_vmmc_fy19" dataDxfId="1059"/>
    <tableColumn id="144" name="D_hts_tst_pmtctanc_fy19" dataDxfId="1058"/>
    <tableColumn id="145" name="D_hts_tst_tbclinic_fy19" dataDxfId="1057"/>
    <tableColumn id="146" name="D_hts_tst_vmmc_fy19" dataDxfId="1056"/>
    <tableColumn id="147" name="D_hts_tst_indexmod_o15_fy19" dataDxfId="1055"/>
    <tableColumn id="148" name="D_hts_tst_mobilemod_o15_fy19" dataDxfId="1054"/>
    <tableColumn id="149" name="D_hts_tst_vctmod_o15_fy19" dataDxfId="1053"/>
    <tableColumn id="150" name="D_hts_tst_othermod_o15_fy19" dataDxfId="1052"/>
    <tableColumn id="151" name="D_hts_tst_index_o15_fy19" dataDxfId="1051"/>
    <tableColumn id="152" name="D_hts_tst_sti_o15_fy19" dataDxfId="1050"/>
    <tableColumn id="153" name="D_hts_tst_inpat_o15_fy19" dataDxfId="1049"/>
    <tableColumn id="154" name="D_hts_tst_emergency_o15_fy19" dataDxfId="1048"/>
    <tableColumn id="155" name="D_hts_tst_vct_o15_fy19" dataDxfId="1047"/>
    <tableColumn id="156" name="D_hts_tst_otherpitc_o15_fy19" dataDxfId="1046"/>
    <tableColumn id="157" name="D_hts_tst_pos_indexmod_o15_fy19" dataDxfId="1045"/>
    <tableColumn id="158" name="D_hts_tst_pos_mobilemod_o15_fy19" dataDxfId="1044"/>
    <tableColumn id="159" name="D_hts_tst_pos_vctmod_o15_fy19" dataDxfId="1043"/>
    <tableColumn id="160" name="D_hts_tst_pos_othermod_o15_fy19" dataDxfId="1042"/>
    <tableColumn id="161" name="D_hts_tst_pos_index_o15_fy19" dataDxfId="1041"/>
    <tableColumn id="162" name="D_hts_tst_pos_sti_o15_fy19" dataDxfId="1040"/>
    <tableColumn id="163" name="D_hts_tst_pos_inpat_o15_fy19" dataDxfId="1039"/>
    <tableColumn id="164" name="D_hts_tst_pos_emergency_o15_fy19" dataDxfId="1038"/>
    <tableColumn id="165" name="D_hts_tst_pos_vct_o15_fy19" dataDxfId="1037"/>
    <tableColumn id="166" name="D_hts_tst_pos_otherpitc_o15_fy19" dataDxfId="1036"/>
    <tableColumn id="167" name="D_hts_tst_indexmod_u15_fy19" dataDxfId="1035"/>
    <tableColumn id="168" name="D_hts_tst_mobilemod_u15_fy19" dataDxfId="1034"/>
    <tableColumn id="169" name="D_hts_tst_vctmod_u15_fy19" dataDxfId="1033"/>
    <tableColumn id="170" name="D_hts_tst_othermod_u15_fy19" dataDxfId="1032"/>
    <tableColumn id="171" name="D_hts_tst_index_u15_fy19" dataDxfId="1031"/>
    <tableColumn id="172" name="D_hts_tst_sti_u15_fy19" dataDxfId="1030"/>
    <tableColumn id="173" name="D_hts_tst_inpat_u15_fy19" dataDxfId="1029"/>
    <tableColumn id="174" name="D_hts_tst_emergency_u15_fy19" dataDxfId="1028"/>
    <tableColumn id="175" name="D_hts_tst_vct_u15_fy19" dataDxfId="1027"/>
    <tableColumn id="176" name="D_hts_tst_pediatric_u15_fy19" dataDxfId="1026"/>
    <tableColumn id="177" name="D_hts_tst_malnutrition_u15_fy19" dataDxfId="1025"/>
    <tableColumn id="178" name="D_hts_tst_otherpitc_u15_fy19" dataDxfId="1024"/>
    <tableColumn id="179" name="D_hts_tst_pos_indexmod_u15_fy19" dataDxfId="1023"/>
    <tableColumn id="180" name="D_hts_tst_pos_mobilemod_u15_fy19" dataDxfId="1022"/>
    <tableColumn id="181" name="D_hts_tst_pos_vctmod_u15_fy19" dataDxfId="1021"/>
    <tableColumn id="182" name="D_hts_tst_pos_othermod_u15_fy19" dataDxfId="1020"/>
    <tableColumn id="183" name="D_hts_tst_pos_index_u15_fy19" dataDxfId="1019"/>
    <tableColumn id="184" name="D_hts_tst_pos_sti_u15_fy19" dataDxfId="1018"/>
    <tableColumn id="185" name="D_hts_tst_pos_inpat_u15_fy19" dataDxfId="1017"/>
    <tableColumn id="186" name="D_hts_tst_pos_emergency_u15_fy19" dataDxfId="1016"/>
    <tableColumn id="187" name="D_hts_tst_pos_vct_u15_fy19" dataDxfId="1015"/>
    <tableColumn id="188" name="D_hts_tst_pos_pediatric_u15_fy19" dataDxfId="1014"/>
    <tableColumn id="189" name="D_hts_tst_pos_malnutrition_u15_fy19" dataDxfId="1013"/>
    <tableColumn id="190" name="D_hts_tst_pos_otherpitc_u15_fy19" dataDxfId="1012"/>
    <tableColumn id="191" name="D_hts_tst_keypop_fy19" dataDxfId="1011"/>
    <tableColumn id="192" name="D_hts_self_fy19" dataDxfId="1010"/>
    <tableColumn id="193" name="D_vmmc_circ_fy19" dataDxfId="1009"/>
    <tableColumn id="194" name="D_vmmc_circ_1529_fy19" dataDxfId="1008"/>
    <tableColumn id="195" name="D_ovc_serv_fy19" dataDxfId="1007"/>
    <tableColumn id="196" name="D_ovc_serv_grad_fy19" dataDxfId="1006"/>
    <tableColumn id="197" name="D_ovc_serv_active_fy19" dataDxfId="1005"/>
    <tableColumn id="198" name="D_ovc_serv_u18_fy19" dataDxfId="1004"/>
    <tableColumn id="199" name="ovc_hivstat" dataDxfId="1003"/>
    <tableColumn id="200" name="D_ovc_serv_edu_fy19" dataDxfId="1002"/>
    <tableColumn id="201" name="D_ovc_serv_care_fy19" dataDxfId="1001"/>
    <tableColumn id="202" name="D_ovc_serv_sp_fy19" dataDxfId="1000"/>
    <tableColumn id="203" name="D_ovc_serv_econ_fy19" dataDxfId="999"/>
    <tableColumn id="204" name="D_ovc_serv_oth_fy19" dataDxfId="998"/>
    <tableColumn id="205" name="D_kp_prev_msm_sw_D_fy19" dataDxfId="997"/>
    <tableColumn id="206" name="kp_prev_msm_sw" dataDxfId="996"/>
    <tableColumn id="207" name="D_kp_prev_msm_not_sw_D_fy19" dataDxfId="995"/>
    <tableColumn id="208" name="kp_prev_msm_notsw" dataDxfId="994"/>
    <tableColumn id="209" name="D_kp_prev_tg_sw_D_fy19" dataDxfId="993"/>
    <tableColumn id="210" name="kp_prev_tg_sw" dataDxfId="992"/>
    <tableColumn id="211" name="D_kp_prev_tg_not_sw_D_fy19" dataDxfId="991"/>
    <tableColumn id="212" name="kp_prev_tg_notsw" dataDxfId="990"/>
    <tableColumn id="213" name="D_kp_prev_fsw_D_fy19" dataDxfId="989"/>
    <tableColumn id="214" name="kp_prev_fsw" dataDxfId="988"/>
    <tableColumn id="215" name="D_kp_prev_pwid_m_D_fy19" dataDxfId="987"/>
    <tableColumn id="216" name="kp_prev_m_pwid" dataDxfId="986"/>
    <tableColumn id="217" name="D_kp_prev_pwid_f_D_fy19" dataDxfId="985"/>
    <tableColumn id="218" name="kp_prev_f_pwid" dataDxfId="984"/>
    <tableColumn id="219" name="D_kp_prev_prison_D_fy19" dataDxfId="983"/>
    <tableColumn id="220" name="kp_prev_prison" dataDxfId="982"/>
    <tableColumn id="221" name="D_pp_prev_fy19" dataDxfId="981"/>
    <tableColumn id="222" name="D_kp_mat_fy19" dataDxfId="980"/>
    <tableColumn id="223" name="D_gend_gbv_fy19" dataDxfId="979"/>
    <tableColumn id="224" name="D_prep_new_fy19" dataDxfId="978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76" dataDxfId="975">
  <autoFilter ref="C6:CI7"/>
  <tableColumns count="85">
    <tableColumn id="1" name="psnu" dataDxfId="974"/>
    <tableColumn id="46" name="psnuuid" dataDxfId="973"/>
    <tableColumn id="2" name="priority" dataDxfId="972"/>
    <tableColumn id="27" name="mechid" dataDxfId="971"/>
    <tableColumn id="45" name="mechname" dataDxfId="970"/>
    <tableColumn id="4" name="type" dataDxfId="969"/>
    <tableColumn id="47" name="psnu_type" dataDxfId="968"/>
    <tableColumn id="48" name="A_gend_gbv_u10_f_pev" dataDxfId="967"/>
    <tableColumn id="50" name="A_gend_gbv_u10_f_sv" dataDxfId="966"/>
    <tableColumn id="51" name="A_gend_gbv_u10_m_pev" dataDxfId="965"/>
    <tableColumn id="55" name="A_gend_gbv_u10_m_sv" dataDxfId="964"/>
    <tableColumn id="56" name="A_gend_gbv_1014_f_pev" dataDxfId="963"/>
    <tableColumn id="57" name="A_gend_gbv_1014_f_sv" dataDxfId="962"/>
    <tableColumn id="58" name="A_gend_gbv_1014_m_pev" dataDxfId="961"/>
    <tableColumn id="59" name="A_gend_gbv_1014_m_sv" dataDxfId="960"/>
    <tableColumn id="60" name="A_gend_gbv_1519_f_pev" dataDxfId="959"/>
    <tableColumn id="61" name="A_gend_gbv_1519_f_sv" dataDxfId="958"/>
    <tableColumn id="62" name="A_gend_gbv_1519_m_pev" dataDxfId="957"/>
    <tableColumn id="63" name="A_gend_gbv_1519_m_sv" dataDxfId="956"/>
    <tableColumn id="64" name="A_gend_gbv_2024_f_pev" dataDxfId="955"/>
    <tableColumn id="65" name="A_gend_gbv_2024_f_sv" dataDxfId="954"/>
    <tableColumn id="66" name="A_gend_gbv_2024_m_pev" dataDxfId="953"/>
    <tableColumn id="67" name="A_gend_gbv_2024_m_sv" dataDxfId="952"/>
    <tableColumn id="68" name="A_gend_gbv_2529_f_pev" dataDxfId="951"/>
    <tableColumn id="69" name="A_gend_gbv_2529_f_sv" dataDxfId="950"/>
    <tableColumn id="70" name="A_gend_gbv_2529_m_pev" dataDxfId="949"/>
    <tableColumn id="71" name="A_gend_gbv_2529_m_sv" dataDxfId="948"/>
    <tableColumn id="72" name="A_gend_gbv_3034_f_pev" dataDxfId="947"/>
    <tableColumn id="73" name="A_gend_gbv_3034_f_sv" dataDxfId="946"/>
    <tableColumn id="74" name="A_gend_gbv_3034_m_pev" dataDxfId="945"/>
    <tableColumn id="75" name="A_gend_gbv_3034_m_sv" dataDxfId="944"/>
    <tableColumn id="76" name="A_gend_gbv_3539_f_pev" dataDxfId="943"/>
    <tableColumn id="77" name="A_gend_gbv_3539_f_sv" dataDxfId="942"/>
    <tableColumn id="78" name="A_gend_gbv_3539_m_pev" dataDxfId="941"/>
    <tableColumn id="79" name="A_gend_gbv_3539_m_sv" dataDxfId="940"/>
    <tableColumn id="80" name="A_gend_gbv_4049_f_pev" dataDxfId="939"/>
    <tableColumn id="81" name="A_gend_gbv_4049_f_sv" dataDxfId="938"/>
    <tableColumn id="82" name="A_gend_gbv_4049_m_pev" dataDxfId="937"/>
    <tableColumn id="83" name="A_gend_gbv_4049_m_sv" dataDxfId="936"/>
    <tableColumn id="84" name="A_gend_gbv_o50_f_pev" dataDxfId="935"/>
    <tableColumn id="85" name="A_gend_gbv_o50_f_sv" dataDxfId="934"/>
    <tableColumn id="86" name="A_gend_gbv_o50_m_pev" dataDxfId="933"/>
    <tableColumn id="87" name="A_gend_gbv_o50_m_sv" dataDxfId="932"/>
    <tableColumn id="92" name="A_gend_gbv_pep" dataDxfId="931"/>
    <tableColumn id="42" name="A_check1" dataDxfId="930">
      <calculatedColumnFormula>SUM(gend_gbv_T[[#This Row],[A_gend_gbv_u10_f_pev]:[A_gend_gbv_o50_m_sv]])</calculatedColumnFormula>
    </tableColumn>
    <tableColumn id="25" name="D_gend_gbv_fy19" dataDxfId="929"/>
    <tableColumn id="5" name="gend_gbv_u10_f_pev" dataDxfId="928">
      <calculatedColumnFormula>gend_gbv_T[[D_gend_gbv_fy19]:[D_gend_gbv_fy19]]*gend_gbv_T[A_gend_gbv_u10_f_pev]</calculatedColumnFormula>
    </tableColumn>
    <tableColumn id="6" name="gend_gbv_u10_f_sv" dataDxfId="927">
      <calculatedColumnFormula>gend_gbv_T[[D_gend_gbv_fy19]:[D_gend_gbv_fy19]]*gend_gbv_T[A_gend_gbv_u10_f_sv]</calculatedColumnFormula>
    </tableColumn>
    <tableColumn id="22" name="gend_gbv_u10_m_pev" dataDxfId="926">
      <calculatedColumnFormula>gend_gbv_T[[D_gend_gbv_fy19]:[D_gend_gbv_fy19]]*gend_gbv_T[A_gend_gbv_u10_m_pev]</calculatedColumnFormula>
    </tableColumn>
    <tableColumn id="7" name="gend_gbv_u10_m_sv" dataDxfId="925">
      <calculatedColumnFormula>gend_gbv_T[[D_gend_gbv_fy19]:[D_gend_gbv_fy19]]*gend_gbv_T[A_gend_gbv_u10_m_sv]</calculatedColumnFormula>
    </tableColumn>
    <tableColumn id="8" name="gend_gbv_1014_f_pev" dataDxfId="924">
      <calculatedColumnFormula>gend_gbv_T[[D_gend_gbv_fy19]:[D_gend_gbv_fy19]]*gend_gbv_T[A_gend_gbv_1014_f_pev]</calculatedColumnFormula>
    </tableColumn>
    <tableColumn id="9" name="gend_gbv_1014_f_sv" dataDxfId="923">
      <calculatedColumnFormula>gend_gbv_T[[D_gend_gbv_fy19]:[D_gend_gbv_fy19]]*gend_gbv_T[A_gend_gbv_1014_f_sv]</calculatedColumnFormula>
    </tableColumn>
    <tableColumn id="10" name="gend_gbv_1014_m_pev" dataDxfId="922">
      <calculatedColumnFormula>gend_gbv_T[[D_gend_gbv_fy19]:[D_gend_gbv_fy19]]*gend_gbv_T[A_gend_gbv_1014_m_pev]</calculatedColumnFormula>
    </tableColumn>
    <tableColumn id="11" name="gend_gbv_1014_m_sv" dataDxfId="921">
      <calculatedColumnFormula>gend_gbv_T[[D_gend_gbv_fy19]:[D_gend_gbv_fy19]]*gend_gbv_T[A_gend_gbv_1014_m_sv]</calculatedColumnFormula>
    </tableColumn>
    <tableColumn id="12" name="gend_gbv_1519_f_pev" dataDxfId="920">
      <calculatedColumnFormula>gend_gbv_T[[D_gend_gbv_fy19]:[D_gend_gbv_fy19]]*gend_gbv_T[A_gend_gbv_1519_f_pev]</calculatedColumnFormula>
    </tableColumn>
    <tableColumn id="13" name="gend_gbv_1519_f_sv" dataDxfId="919">
      <calculatedColumnFormula>gend_gbv_T[[D_gend_gbv_fy19]:[D_gend_gbv_fy19]]*gend_gbv_T[A_gend_gbv_1519_f_sv]</calculatedColumnFormula>
    </tableColumn>
    <tableColumn id="54" name="gend_gbv_1519_m_pev" dataDxfId="918">
      <calculatedColumnFormula>gend_gbv_T[[D_gend_gbv_fy19]:[D_gend_gbv_fy19]]*gend_gbv_T[A_gend_gbv_1519_m_pev]</calculatedColumnFormula>
    </tableColumn>
    <tableColumn id="14" name="gend_gbv_1519_m_sv" dataDxfId="917">
      <calculatedColumnFormula>gend_gbv_T[[D_gend_gbv_fy19]:[D_gend_gbv_fy19]]*gend_gbv_T[A_gend_gbv_1519_m_sv]</calculatedColumnFormula>
    </tableColumn>
    <tableColumn id="15" name="gend_gbv_2024_f_pev" dataDxfId="916">
      <calculatedColumnFormula>gend_gbv_T[[D_gend_gbv_fy19]:[D_gend_gbv_fy19]]*gend_gbv_T[A_gend_gbv_2024_f_pev]</calculatedColumnFormula>
    </tableColumn>
    <tableColumn id="16" name="gend_gbv_2024_f_sv" dataDxfId="915">
      <calculatedColumnFormula>gend_gbv_T[[D_gend_gbv_fy19]:[D_gend_gbv_fy19]]*gend_gbv_T[A_gend_gbv_2024_f_sv]</calculatedColumnFormula>
    </tableColumn>
    <tableColumn id="17" name="gend_gbv_2024_m_pev" dataDxfId="914">
      <calculatedColumnFormula>gend_gbv_T[[D_gend_gbv_fy19]:[D_gend_gbv_fy19]]*gend_gbv_T[A_gend_gbv_2024_m_pev]</calculatedColumnFormula>
    </tableColumn>
    <tableColumn id="18" name="gend_gbv_2024_m_sv" dataDxfId="913">
      <calculatedColumnFormula>gend_gbv_T[[D_gend_gbv_fy19]:[D_gend_gbv_fy19]]*gend_gbv_T[A_gend_gbv_2024_m_sv]</calculatedColumnFormula>
    </tableColumn>
    <tableColumn id="19" name="gend_gbv_2529_f_pev" dataDxfId="912">
      <calculatedColumnFormula>gend_gbv_T[[D_gend_gbv_fy19]:[D_gend_gbv_fy19]]*gend_gbv_T[A_gend_gbv_2529_f_pev]</calculatedColumnFormula>
    </tableColumn>
    <tableColumn id="20" name="gend_gbv_2529_f_sv" dataDxfId="911">
      <calculatedColumnFormula>gend_gbv_T[[D_gend_gbv_fy19]:[D_gend_gbv_fy19]]*gend_gbv_T[A_gend_gbv_2529_f_sv]</calculatedColumnFormula>
    </tableColumn>
    <tableColumn id="21" name="gend_gbv_2529_m_pev" dataDxfId="910">
      <calculatedColumnFormula>gend_gbv_T[[D_gend_gbv_fy19]:[D_gend_gbv_fy19]]*gend_gbv_T[A_gend_gbv_2529_m_pev]</calculatedColumnFormula>
    </tableColumn>
    <tableColumn id="26" name="gend_gbv_2529_m_sv" dataDxfId="909">
      <calculatedColumnFormula>gend_gbv_T[[D_gend_gbv_fy19]:[D_gend_gbv_fy19]]*gend_gbv_T[A_gend_gbv_2529_m_sv]</calculatedColumnFormula>
    </tableColumn>
    <tableColumn id="28" name="gend_gbv_3034_f_pev" dataDxfId="908">
      <calculatedColumnFormula>gend_gbv_T[[D_gend_gbv_fy19]:[D_gend_gbv_fy19]]*gend_gbv_T[A_gend_gbv_3034_f_pev]</calculatedColumnFormula>
    </tableColumn>
    <tableColumn id="29" name="gend_gbv_3034_f_sv" dataDxfId="907">
      <calculatedColumnFormula>gend_gbv_T[[D_gend_gbv_fy19]:[D_gend_gbv_fy19]]*gend_gbv_T[A_gend_gbv_3034_f_sv]</calculatedColumnFormula>
    </tableColumn>
    <tableColumn id="30" name="gend_gbv_3034_m_pev" dataDxfId="906">
      <calculatedColumnFormula>gend_gbv_T[[D_gend_gbv_fy19]:[D_gend_gbv_fy19]]*gend_gbv_T[A_gend_gbv_3034_m_pev]</calculatedColumnFormula>
    </tableColumn>
    <tableColumn id="52" name="gend_gbv_3034_m_sv" dataDxfId="905">
      <calculatedColumnFormula>gend_gbv_T[[D_gend_gbv_fy19]:[D_gend_gbv_fy19]]*gend_gbv_T[A_gend_gbv_3034_m_sv]</calculatedColumnFormula>
    </tableColumn>
    <tableColumn id="31" name="gend_gbv_3539_f_pev" dataDxfId="904">
      <calculatedColumnFormula>gend_gbv_T[[D_gend_gbv_fy19]:[D_gend_gbv_fy19]]*gend_gbv_T[A_gend_gbv_3539_f_pev]</calculatedColumnFormula>
    </tableColumn>
    <tableColumn id="32" name="gend_gbv_3539_f_sv" dataDxfId="903">
      <calculatedColumnFormula>gend_gbv_T[[D_gend_gbv_fy19]:[D_gend_gbv_fy19]]*gend_gbv_T[A_gend_gbv_3539_f_sv]</calculatedColumnFormula>
    </tableColumn>
    <tableColumn id="33" name="gend_gbv_3539_m_pev" dataDxfId="902">
      <calculatedColumnFormula>gend_gbv_T[[D_gend_gbv_fy19]:[D_gend_gbv_fy19]]*gend_gbv_T[A_gend_gbv_3539_m_pev]</calculatedColumnFormula>
    </tableColumn>
    <tableColumn id="34" name="gend_gbv_3539_m_sv" dataDxfId="901">
      <calculatedColumnFormula>gend_gbv_T[[D_gend_gbv_fy19]:[D_gend_gbv_fy19]]*gend_gbv_T[A_gend_gbv_3539_m_sv]</calculatedColumnFormula>
    </tableColumn>
    <tableColumn id="35" name="gend_gbv_4049_f_pev" dataDxfId="900">
      <calculatedColumnFormula>gend_gbv_T[[D_gend_gbv_fy19]:[D_gend_gbv_fy19]]*gend_gbv_T[A_gend_gbv_4049_f_pev]</calculatedColumnFormula>
    </tableColumn>
    <tableColumn id="36" name="gend_gbv_4049_f_sv" dataDxfId="899">
      <calculatedColumnFormula>gend_gbv_T[[D_gend_gbv_fy19]:[D_gend_gbv_fy19]]*gend_gbv_T[A_gend_gbv_4049_f_sv]</calculatedColumnFormula>
    </tableColumn>
    <tableColumn id="53" name="gend_gbv_4049_m_pev" dataDxfId="898">
      <calculatedColumnFormula>gend_gbv_T[[D_gend_gbv_fy19]:[D_gend_gbv_fy19]]*gend_gbv_T[A_gend_gbv_4049_m_pev]</calculatedColumnFormula>
    </tableColumn>
    <tableColumn id="37" name="gend_gbv_4049_m_sv" dataDxfId="897">
      <calculatedColumnFormula>gend_gbv_T[[D_gend_gbv_fy19]:[D_gend_gbv_fy19]]*gend_gbv_T[A_gend_gbv_4049_m_sv]</calculatedColumnFormula>
    </tableColumn>
    <tableColumn id="38" name="gend_gbv_o50_f_pev" dataDxfId="896">
      <calculatedColumnFormula>gend_gbv_T[[D_gend_gbv_fy19]:[D_gend_gbv_fy19]]*gend_gbv_T[A_gend_gbv_o50_f_pev]</calculatedColumnFormula>
    </tableColumn>
    <tableColumn id="39" name="gend_gbv_o50_f_sv" dataDxfId="895">
      <calculatedColumnFormula>gend_gbv_T[[D_gend_gbv_fy19]:[D_gend_gbv_fy19]]*gend_gbv_T[A_gend_gbv_o50_f_sv]</calculatedColumnFormula>
    </tableColumn>
    <tableColumn id="40" name="gend_gbv_o50_m_pev" dataDxfId="894">
      <calculatedColumnFormula>gend_gbv_T[[D_gend_gbv_fy19]:[D_gend_gbv_fy19]]*gend_gbv_T[A_gend_gbv_o50_m_pev]</calculatedColumnFormula>
    </tableColumn>
    <tableColumn id="41" name="gend_gbv_o50_m_sv" dataDxfId="893">
      <calculatedColumnFormula>gend_gbv_T[[D_gend_gbv_fy19]:[D_gend_gbv_fy19]]*gend_gbv_T[A_gend_gbv_o50_m_sv]</calculatedColumnFormula>
    </tableColumn>
    <tableColumn id="24" name="gend_gbv_pep" dataDxfId="892">
      <calculatedColumnFormula>gend_gbv_T[gend_gbv_sv]*gend_gbv_T[A_gend_gbv_pep]</calculatedColumnFormula>
    </tableColumn>
    <tableColumn id="3" name="gend_gbv_pev" dataDxfId="891">
      <calculatedColumnFormula>SUMIF($AW$4:$CF$4,"*Physical*",gend_gbv_T[[#This Row],[gend_gbv_u10_f_pev]:[gend_gbv_o50_m_sv]])</calculatedColumnFormula>
    </tableColumn>
    <tableColumn id="23" name="gend_gbv_sv" dataDxfId="890">
      <calculatedColumnFormula>SUMIF($AW$4:$CF$4,"*Care*",gend_gbv_T[[#This Row],[gend_gbv_u10_f_pev]:[gend_gbv_o50_m_sv]])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88" dataDxfId="887">
  <autoFilter ref="C6:DA7"/>
  <tableColumns count="103">
    <tableColumn id="1" name="psnu" dataDxfId="886"/>
    <tableColumn id="58" name="psnuuid" dataDxfId="885"/>
    <tableColumn id="2" name="priority" dataDxfId="884"/>
    <tableColumn id="56" name="mechid" dataDxfId="883"/>
    <tableColumn id="57" name="mechname" dataDxfId="882"/>
    <tableColumn id="4" name="type" dataDxfId="881"/>
    <tableColumn id="59" name="psnu_type" dataDxfId="880"/>
    <tableColumn id="60" name="A_hts_self_1014_f_direct" dataDxfId="879"/>
    <tableColumn id="61" name="A_hts_self_1014_f_unasst" dataDxfId="878"/>
    <tableColumn id="62" name="A_hts_self_1014_m_direct" dataDxfId="877"/>
    <tableColumn id="63" name="A_hts_self_1014_m_unasst" dataDxfId="876"/>
    <tableColumn id="64" name="A_hts_self_1519_f_direct" dataDxfId="875"/>
    <tableColumn id="65" name="A_hts_self_1519_f_unasst" dataDxfId="874"/>
    <tableColumn id="66" name="A_hts_self_1519_m_direct" dataDxfId="873"/>
    <tableColumn id="67" name="A_hts_self_1519_m_unasst" dataDxfId="872"/>
    <tableColumn id="68" name="A_hts_self_2024_f_direct" dataDxfId="871"/>
    <tableColumn id="69" name="A_hts_self_2024_f_unasst" dataDxfId="870"/>
    <tableColumn id="70" name="A_hts_self_2024_m_direct" dataDxfId="869"/>
    <tableColumn id="71" name="A_hts_self_2024_m_unasst" dataDxfId="868"/>
    <tableColumn id="72" name="A_hts_self_2529_f_direct" dataDxfId="867"/>
    <tableColumn id="73" name="A_hts_self_2529_f_unasst" dataDxfId="866"/>
    <tableColumn id="74" name="A_hts_self_2529_m_direct" dataDxfId="865"/>
    <tableColumn id="75" name="A_hts_self_2529_m_unasst" dataDxfId="864"/>
    <tableColumn id="76" name="A_hts_self_3034_f_direct" dataDxfId="863"/>
    <tableColumn id="77" name="A_hts_self_3034_f_unasst" dataDxfId="862"/>
    <tableColumn id="78" name="A_hts_self_3034_m_direct" dataDxfId="861"/>
    <tableColumn id="79" name="A_hts_self_3034_m_unasst" dataDxfId="860"/>
    <tableColumn id="80" name="A_hts_self_3539_f_direct" dataDxfId="859"/>
    <tableColumn id="81" name="A_hts_self_3539_f_unasst" dataDxfId="858"/>
    <tableColumn id="82" name="A_hts_self_3539_m_direct" dataDxfId="857"/>
    <tableColumn id="83" name="A_hts_self_3539_m_unasst" dataDxfId="856"/>
    <tableColumn id="84" name="A_hts_self_4049_f_direct" dataDxfId="855"/>
    <tableColumn id="85" name="A_hts_self_4049_f_unasst" dataDxfId="854"/>
    <tableColumn id="86" name="A_hts_self_4049_m_direct" dataDxfId="853"/>
    <tableColumn id="87" name="A_hts_self_4049_m_unasst" dataDxfId="852"/>
    <tableColumn id="88" name="A_hts_self_o50_f_direct" dataDxfId="851"/>
    <tableColumn id="89" name="A_hts_self_o50_f_unasst" dataDxfId="850"/>
    <tableColumn id="90" name="A_hts_self_o50_m_direct" dataDxfId="849"/>
    <tableColumn id="91" name="A_hts_self_o50_m_unasst" dataDxfId="848"/>
    <tableColumn id="96" name="A_hts_self_unasst_oth" dataDxfId="847"/>
    <tableColumn id="97" name="A_hts_self_unasst_self" dataDxfId="846"/>
    <tableColumn id="98" name="A_hts_self_unasst_partner" dataDxfId="845"/>
    <tableColumn id="99" name="A_hts_self_fsw_direct" dataDxfId="844"/>
    <tableColumn id="100" name="A_hts_self_fsw_unasst" dataDxfId="843"/>
    <tableColumn id="101" name="A_hts_self_msm_direct" dataDxfId="842"/>
    <tableColumn id="102" name="A_hts_self_msm_unasst" dataDxfId="841"/>
    <tableColumn id="103" name="A_hts_self_prison_direct" dataDxfId="840"/>
    <tableColumn id="104" name="A_hts_self_prison_unasst" dataDxfId="839"/>
    <tableColumn id="105" name="A_hts_self_pwid_direct" dataDxfId="838"/>
    <tableColumn id="106" name="A_hts_self_pwid_unasst" dataDxfId="837"/>
    <tableColumn id="107" name="A_hts_self_tg_direct" dataDxfId="836"/>
    <tableColumn id="108" name="A_hts_self_tg_unasst" dataDxfId="835"/>
    <tableColumn id="38" name="A_check1" dataDxfId="834"/>
    <tableColumn id="39" name="A_check2" dataDxfId="833"/>
    <tableColumn id="40" name="A_check3" dataDxfId="832"/>
    <tableColumn id="55" name="D_hts_self_fy19" dataDxfId="831"/>
    <tableColumn id="5" name="hts_self_1014_f_direct" dataDxfId="830">
      <calculatedColumnFormula>hts_self_T[[D_hts_self_fy19]:[D_hts_self_fy19]]*hts_self_T[A_hts_self_1014_f_direct]</calculatedColumnFormula>
    </tableColumn>
    <tableColumn id="6" name="hts_self_1014_f_unasst" dataDxfId="829">
      <calculatedColumnFormula>hts_self_T[[D_hts_self_fy19]:[D_hts_self_fy19]]*hts_self_T[A_hts_self_1014_f_unasst]</calculatedColumnFormula>
    </tableColumn>
    <tableColumn id="22" name="hts_self_1014_m_direct" dataDxfId="828">
      <calculatedColumnFormula>hts_self_T[[D_hts_self_fy19]:[D_hts_self_fy19]]*hts_self_T[A_hts_self_1014_m_direct]</calculatedColumnFormula>
    </tableColumn>
    <tableColumn id="7" name="hts_self_1014_m_unasst" dataDxfId="827">
      <calculatedColumnFormula>hts_self_T[[D_hts_self_fy19]:[D_hts_self_fy19]]*hts_self_T[A_hts_self_1014_m_unasst]</calculatedColumnFormula>
    </tableColumn>
    <tableColumn id="8" name="hts_self_1519_f_direct" dataDxfId="826">
      <calculatedColumnFormula>hts_self_T[[D_hts_self_fy19]:[D_hts_self_fy19]]*hts_self_T[A_hts_self_1519_f_direct]</calculatedColumnFormula>
    </tableColumn>
    <tableColumn id="9" name="hts_self_1519_f_unasst" dataDxfId="825">
      <calculatedColumnFormula>hts_self_T[[D_hts_self_fy19]:[D_hts_self_fy19]]*hts_self_T[A_hts_self_1519_f_unasst]</calculatedColumnFormula>
    </tableColumn>
    <tableColumn id="10" name="hts_self_1519_m_direct" dataDxfId="824">
      <calculatedColumnFormula>hts_self_T[[D_hts_self_fy19]:[D_hts_self_fy19]]*hts_self_T[A_hts_self_1519_m_direct]</calculatedColumnFormula>
    </tableColumn>
    <tableColumn id="11" name="hts_self_1519_m_unasst" dataDxfId="823">
      <calculatedColumnFormula>hts_self_T[[D_hts_self_fy19]:[D_hts_self_fy19]]*hts_self_T[A_hts_self_1519_m_unasst]</calculatedColumnFormula>
    </tableColumn>
    <tableColumn id="12" name="hts_self_2024_f_direct" dataDxfId="822">
      <calculatedColumnFormula>hts_self_T[[D_hts_self_fy19]:[D_hts_self_fy19]]*hts_self_T[A_hts_self_2024_f_direct]</calculatedColumnFormula>
    </tableColumn>
    <tableColumn id="13" name="hts_self_2024_f_unasst" dataDxfId="821">
      <calculatedColumnFormula>hts_self_T[[D_hts_self_fy19]:[D_hts_self_fy19]]*hts_self_T[A_hts_self_2024_f_unasst]</calculatedColumnFormula>
    </tableColumn>
    <tableColumn id="54" name="hts_self_2024_m_direct" dataDxfId="820">
      <calculatedColumnFormula>hts_self_T[[D_hts_self_fy19]:[D_hts_self_fy19]]*hts_self_T[A_hts_self_2024_m_direct]</calculatedColumnFormula>
    </tableColumn>
    <tableColumn id="14" name="hts_self_2024_m_unasst" dataDxfId="819">
      <calculatedColumnFormula>hts_self_T[[D_hts_self_fy19]:[D_hts_self_fy19]]*hts_self_T[A_hts_self_2024_m_unasst]</calculatedColumnFormula>
    </tableColumn>
    <tableColumn id="15" name="hts_self_2529_f_direct" dataDxfId="818">
      <calculatedColumnFormula>hts_self_T[[D_hts_self_fy19]:[D_hts_self_fy19]]*hts_self_T[A_hts_self_2529_f_direct]</calculatedColumnFormula>
    </tableColumn>
    <tableColumn id="16" name="hts_self_2529_f_unasst" dataDxfId="817">
      <calculatedColumnFormula>hts_self_T[[D_hts_self_fy19]:[D_hts_self_fy19]]*hts_self_T[A_hts_self_2529_f_unasst]</calculatedColumnFormula>
    </tableColumn>
    <tableColumn id="17" name="hts_self_2529_m_direct" dataDxfId="816">
      <calculatedColumnFormula>hts_self_T[[D_hts_self_fy19]:[D_hts_self_fy19]]*hts_self_T[A_hts_self_2529_m_direct]</calculatedColumnFormula>
    </tableColumn>
    <tableColumn id="18" name="hts_self_2529_m_unasst" dataDxfId="815">
      <calculatedColumnFormula>hts_self_T[[D_hts_self_fy19]:[D_hts_self_fy19]]*hts_self_T[A_hts_self_2529_m_unasst]</calculatedColumnFormula>
    </tableColumn>
    <tableColumn id="19" name="hts_self_3034_f_direct" dataDxfId="814">
      <calculatedColumnFormula>hts_self_T[[D_hts_self_fy19]:[D_hts_self_fy19]]*hts_self_T[A_hts_self_3034_f_direct]</calculatedColumnFormula>
    </tableColumn>
    <tableColumn id="20" name="hts_self_3034_f_unasst" dataDxfId="813">
      <calculatedColumnFormula>hts_self_T[[D_hts_self_fy19]:[D_hts_self_fy19]]*hts_self_T[A_hts_self_3034_f_unasst]</calculatedColumnFormula>
    </tableColumn>
    <tableColumn id="21" name="hts_self_3034_m_direct" dataDxfId="812">
      <calculatedColumnFormula>hts_self_T[[D_hts_self_fy19]:[D_hts_self_fy19]]*hts_self_T[A_hts_self_3034_m_direct]</calculatedColumnFormula>
    </tableColumn>
    <tableColumn id="26" name="hts_self_3034_m_unasst" dataDxfId="811">
      <calculatedColumnFormula>hts_self_T[[D_hts_self_fy19]:[D_hts_self_fy19]]*hts_self_T[A_hts_self_3034_m_unasst]</calculatedColumnFormula>
    </tableColumn>
    <tableColumn id="28" name="hts_self_3539_f_direct" dataDxfId="810">
      <calculatedColumnFormula>hts_self_T[[D_hts_self_fy19]:[D_hts_self_fy19]]*hts_self_T[A_hts_self_3539_f_direct]</calculatedColumnFormula>
    </tableColumn>
    <tableColumn id="29" name="hts_self_3539_f_unasst" dataDxfId="809">
      <calculatedColumnFormula>hts_self_T[[D_hts_self_fy19]:[D_hts_self_fy19]]*hts_self_T[A_hts_self_3539_f_unasst]</calculatedColumnFormula>
    </tableColumn>
    <tableColumn id="30" name="hts_self_3539_m_direct" dataDxfId="808">
      <calculatedColumnFormula>hts_self_T[[D_hts_self_fy19]:[D_hts_self_fy19]]*hts_self_T[A_hts_self_3539_m_direct]</calculatedColumnFormula>
    </tableColumn>
    <tableColumn id="52" name="hts_self_3539_m_unasst" dataDxfId="807">
      <calculatedColumnFormula>hts_self_T[[D_hts_self_fy19]:[D_hts_self_fy19]]*hts_self_T[A_hts_self_3539_m_unasst]</calculatedColumnFormula>
    </tableColumn>
    <tableColumn id="31" name="hts_self_4049_f_direct" dataDxfId="806">
      <calculatedColumnFormula>hts_self_T[[D_hts_self_fy19]:[D_hts_self_fy19]]*hts_self_T[A_hts_self_4049_f_direct]</calculatedColumnFormula>
    </tableColumn>
    <tableColumn id="32" name="hts_self_4049_f_unasst" dataDxfId="805">
      <calculatedColumnFormula>hts_self_T[[D_hts_self_fy19]:[D_hts_self_fy19]]*hts_self_T[A_hts_self_4049_f_unasst]</calculatedColumnFormula>
    </tableColumn>
    <tableColumn id="33" name="hts_self_4049_m_direct" dataDxfId="804">
      <calculatedColumnFormula>hts_self_T[[D_hts_self_fy19]:[D_hts_self_fy19]]*hts_self_T[A_hts_self_4049_m_direct]</calculatedColumnFormula>
    </tableColumn>
    <tableColumn id="34" name="hts_self_4049_m_unasst" dataDxfId="803">
      <calculatedColumnFormula>hts_self_T[[D_hts_self_fy19]:[D_hts_self_fy19]]*hts_self_T[A_hts_self_4049_m_unasst]</calculatedColumnFormula>
    </tableColumn>
    <tableColumn id="35" name="hts_self_o50_f_direct" dataDxfId="802">
      <calculatedColumnFormula>hts_self_T[[D_hts_self_fy19]:[D_hts_self_fy19]]*hts_self_T[A_hts_self_o50_f_direct]</calculatedColumnFormula>
    </tableColumn>
    <tableColumn id="36" name="hts_self_o50_f_unasst" dataDxfId="801">
      <calculatedColumnFormula>hts_self_T[[D_hts_self_fy19]:[D_hts_self_fy19]]*hts_self_T[A_hts_self_o50_f_unasst]</calculatedColumnFormula>
    </tableColumn>
    <tableColumn id="53" name="hts_self_o50_m_direct" dataDxfId="800">
      <calculatedColumnFormula>hts_self_T[[D_hts_self_fy19]:[D_hts_self_fy19]]*hts_self_T[A_hts_self_o50_m_direct]</calculatedColumnFormula>
    </tableColumn>
    <tableColumn id="37" name="hts_self_o50_m_unasst" dataDxfId="799">
      <calculatedColumnFormula>hts_self_T[[D_hts_self_fy19]:[D_hts_self_fy19]]*hts_self_T[A_hts_self_o50_m_unasst]</calculatedColumnFormula>
    </tableColumn>
    <tableColumn id="42" name="hts_self_direct" dataDxfId="798">
      <calculatedColumnFormula>SUMIF($BG$4:$CL$5,"*Directly*",hts_self_T[[#This Row],[hts_self_1014_f_direct]:[hts_self_o50_m_unasst]])</calculatedColumnFormula>
    </tableColumn>
    <tableColumn id="43" name="hts_self_unasst" dataDxfId="797">
      <calculatedColumnFormula>SUMIF($BG$4:$CL$4,"*Unassisted*",hts_self_T[[#This Row],[hts_self_1014_f_direct]:[hts_self_o50_m_unasst]])</calculatedColumnFormula>
    </tableColumn>
    <tableColumn id="44" name="hts_self_unasst_oth" dataDxfId="796">
      <calculatedColumnFormula>hts_self_T[[#This Row],[hts_self_unasst]:[hts_self_unasst]]*hts_self_T[A_hts_self_unasst_oth]</calculatedColumnFormula>
    </tableColumn>
    <tableColumn id="49" name="hts_self_unasst_self" dataDxfId="795">
      <calculatedColumnFormula>hts_self_T[[#This Row],[hts_self_unasst]:[hts_self_unasst]]*hts_self_T[A_hts_self_unasst_self]</calculatedColumnFormula>
    </tableColumn>
    <tableColumn id="3" name="hts_self_unasst_partner" dataDxfId="794">
      <calculatedColumnFormula>hts_self_T[[#This Row],[hts_self_unasst]:[hts_self_unasst]]*hts_self_T[A_hts_self_unasst_partner]</calculatedColumnFormula>
    </tableColumn>
    <tableColumn id="23" name="hts_self_fsw_direct" dataDxfId="793">
      <calculatedColumnFormula>hts_self_T[[D_hts_self_fy19]:[D_hts_self_fy19]]*hts_self_T[A_hts_self_fsw_direct]</calculatedColumnFormula>
    </tableColumn>
    <tableColumn id="24" name="hts_self_fsw_unasst" dataDxfId="792">
      <calculatedColumnFormula>hts_self_T[[D_hts_self_fy19]:[D_hts_self_fy19]]*hts_self_T[A_hts_self_fsw_unasst]</calculatedColumnFormula>
    </tableColumn>
    <tableColumn id="25" name="hts_self_msm_direct" dataDxfId="791">
      <calculatedColumnFormula>hts_self_T[[D_hts_self_fy19]:[D_hts_self_fy19]]*hts_self_T[A_hts_self_msm_direct]</calculatedColumnFormula>
    </tableColumn>
    <tableColumn id="27" name="hts_self_msm_unasst" dataDxfId="790">
      <calculatedColumnFormula>hts_self_T[[D_hts_self_fy19]:[D_hts_self_fy19]]*hts_self_T[A_hts_self_msm_unasst]</calculatedColumnFormula>
    </tableColumn>
    <tableColumn id="45" name="hts_self_prison_direct" dataDxfId="789">
      <calculatedColumnFormula>hts_self_T[[D_hts_self_fy19]:[D_hts_self_fy19]]*hts_self_T[A_hts_self_prison_direct]</calculatedColumnFormula>
    </tableColumn>
    <tableColumn id="46" name="hts_self_prison_unasst" dataDxfId="788">
      <calculatedColumnFormula>hts_self_T[[D_hts_self_fy19]:[D_hts_self_fy19]]*hts_self_T[A_hts_self_prison_unasst]</calculatedColumnFormula>
    </tableColumn>
    <tableColumn id="47" name="hts_self_pwid_direct" dataDxfId="787">
      <calculatedColumnFormula>hts_self_T[[D_hts_self_fy19]:[D_hts_self_fy19]]*hts_self_T[A_hts_self_pwid_direct]</calculatedColumnFormula>
    </tableColumn>
    <tableColumn id="48" name="hts_self_pwid_unasst" dataDxfId="786">
      <calculatedColumnFormula>hts_self_T[[D_hts_self_fy19]:[D_hts_self_fy19]]*hts_self_T[A_hts_self_pwid_unasst]</calculatedColumnFormula>
    </tableColumn>
    <tableColumn id="50" name="hts_self_tg_direct" dataDxfId="785">
      <calculatedColumnFormula>hts_self_T[[D_hts_self_fy19]:[D_hts_self_fy19]]*hts_self_T[A_hts_self_tg_direct]</calculatedColumnFormula>
    </tableColumn>
    <tableColumn id="51" name="hts_self_tg_unasst" dataDxfId="784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8" name="kp_mat_T" displayName="kp_mat_T" ref="C6:O7" totalsRowShown="0" headerRowDxfId="782" dataDxfId="781">
  <autoFilter ref="C6:O7"/>
  <tableColumns count="13">
    <tableColumn id="1" name="psnu" dataDxfId="780"/>
    <tableColumn id="58" name="psnuuid" dataDxfId="779"/>
    <tableColumn id="2" name="priority" dataDxfId="778"/>
    <tableColumn id="56" name="mechid" dataDxfId="777"/>
    <tableColumn id="57" name="mechname" dataDxfId="776"/>
    <tableColumn id="4" name="type" dataDxfId="775"/>
    <tableColumn id="59" name="psnu_type" dataDxfId="774"/>
    <tableColumn id="60" name="A_kp_mat_f" dataDxfId="773"/>
    <tableColumn id="61" name="A_kp_mat_m" dataDxfId="772"/>
    <tableColumn id="38" name="A_check1" dataDxfId="771">
      <calculatedColumnFormula>SUM(kp_mat_T[[A_kp_mat_f]:[A_kp_mat_m]])</calculatedColumnFormula>
    </tableColumn>
    <tableColumn id="55" name="D_kp_mat_fy19" dataDxfId="770"/>
    <tableColumn id="5" name="kp_mat_f" dataDxfId="769">
      <calculatedColumnFormula>kp_mat_T[[#This Row],[D_kp_mat_fy19]:[D_kp_mat_fy19]]*kp_mat_T[A_kp_mat_f]</calculatedColumnFormula>
    </tableColumn>
    <tableColumn id="6" name="kp_mat_m" dataDxfId="768">
      <calculatedColumnFormula>kp_mat_T[[#This Row],[D_kp_mat_fy19]:[D_kp_mat_fy19]]*kp_mat_T[A_kp_mat_m]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5" name="ovc_serv_T" displayName="ovc_serv_T" ref="C6:ER7" totalsRowShown="0" headerRowDxfId="766" dataDxfId="765">
  <autoFilter ref="C6:ER7"/>
  <tableColumns count="146">
    <tableColumn id="1" name="psnu" dataDxfId="764"/>
    <tableColumn id="82" name="psnuuid" dataDxfId="763"/>
    <tableColumn id="2" name="priority" dataDxfId="762"/>
    <tableColumn id="55" name="mechid" dataDxfId="761"/>
    <tableColumn id="69" name="mechname" dataDxfId="760"/>
    <tableColumn id="4" name="type" dataDxfId="759"/>
    <tableColumn id="65" name="psnu_type" dataDxfId="758"/>
    <tableColumn id="66" name="A_ovc_serv_u1_unk" dataDxfId="757"/>
    <tableColumn id="67" name="A_ovc_serv_0109_unk" dataDxfId="756"/>
    <tableColumn id="68" name="A_ovc_serv_1014_f" dataDxfId="755"/>
    <tableColumn id="83" name="A_ovc_serv_1014_m" dataDxfId="754"/>
    <tableColumn id="84" name="A_ovc_serv_1517_f" dataDxfId="753"/>
    <tableColumn id="85" name="A_ovc_serv_1517_m" dataDxfId="752"/>
    <tableColumn id="86" name="A_ovc_serv_1824_f" dataDxfId="751"/>
    <tableColumn id="87" name="A_ovc_serv_1824_m" dataDxfId="750"/>
    <tableColumn id="88" name="A_ovc_serv_o25_f" dataDxfId="749"/>
    <tableColumn id="89" name="A_ovc_serv_o25_m" dataDxfId="748"/>
    <tableColumn id="90" name="A_ovc_serv_u1_unk_econ" dataDxfId="747"/>
    <tableColumn id="91" name="A_ovc_serv_0109_unk_econ" dataDxfId="746"/>
    <tableColumn id="92" name="A_ovc_serv_1014_f_econ" dataDxfId="745"/>
    <tableColumn id="93" name="A_ovc_serv_1014_m_econ" dataDxfId="744"/>
    <tableColumn id="94" name="A_ovc_serv_1517_f_econ" dataDxfId="743"/>
    <tableColumn id="95" name="A_ovc_serv_1517_m_econ" dataDxfId="742"/>
    <tableColumn id="96" name="A_ovc_serv_1824_f_econ" dataDxfId="741"/>
    <tableColumn id="97" name="A_ovc_serv_1824_m_econ" dataDxfId="740"/>
    <tableColumn id="98" name="A_ovc_serv_o25_f_econ" dataDxfId="739"/>
    <tableColumn id="99" name="A_ovc_serv_o25_m_econ" dataDxfId="738"/>
    <tableColumn id="100" name="A_ovc_serv_u1_unk_edu" dataDxfId="737"/>
    <tableColumn id="101" name="A_ovc_serv_0109_unk_edu" dataDxfId="736"/>
    <tableColumn id="102" name="A_ovc_serv_1014_f_edu" dataDxfId="735"/>
    <tableColumn id="103" name="A_ovc_serv_1014_m_edu" dataDxfId="734"/>
    <tableColumn id="104" name="A_ovc_serv_1517_f_edu" dataDxfId="733"/>
    <tableColumn id="105" name="A_ovc_serv_1517_m_edu" dataDxfId="732"/>
    <tableColumn id="106" name="A_ovc_serv_1824_f_edu" dataDxfId="731"/>
    <tableColumn id="107" name="A_ovc_serv_1824_m_edu" dataDxfId="730"/>
    <tableColumn id="108" name="A_ovc_serv_o25_f_edu" dataDxfId="729"/>
    <tableColumn id="109" name="A_ovc_serv_o25_m_edu" dataDxfId="728"/>
    <tableColumn id="110" name="A_ovc_serv_u1_unk_oth" dataDxfId="727"/>
    <tableColumn id="111" name="A_ovc_serv_0109_unk_oth" dataDxfId="726"/>
    <tableColumn id="112" name="A_ovc_serv_1014_f_oth" dataDxfId="725"/>
    <tableColumn id="113" name="A_ovc_serv_1014_m_oth" dataDxfId="724"/>
    <tableColumn id="114" name="A_ovc_serv_1517_f_oth" dataDxfId="723"/>
    <tableColumn id="115" name="A_ovc_serv_1517_m_oth" dataDxfId="722"/>
    <tableColumn id="116" name="A_ovc_serv_1824_f_oth" dataDxfId="721"/>
    <tableColumn id="117" name="A_ovc_serv_1824_m_oth" dataDxfId="720"/>
    <tableColumn id="118" name="A_ovc_serv_o25_f_oth" dataDxfId="719"/>
    <tableColumn id="119" name="A_ovc_serv_o25_m_oth" dataDxfId="718"/>
    <tableColumn id="120" name="A_ovc_serv_u1_unk_care" dataDxfId="717"/>
    <tableColumn id="121" name="A_ovc_serv_0109_unk_care" dataDxfId="716"/>
    <tableColumn id="122" name="A_ovc_serv_1014_f_care" dataDxfId="715"/>
    <tableColumn id="123" name="A_ovc_serv_1014_m_care" dataDxfId="714"/>
    <tableColumn id="124" name="A_ovc_serv_1517_f_care" dataDxfId="713"/>
    <tableColumn id="125" name="A_ovc_serv_1517_m_care" dataDxfId="712"/>
    <tableColumn id="126" name="A_ovc_serv_1824_f_care" dataDxfId="711"/>
    <tableColumn id="127" name="A_ovc_serv_1824_m_care" dataDxfId="710"/>
    <tableColumn id="128" name="A_ovc_serv_o25_f_care" dataDxfId="709"/>
    <tableColumn id="129" name="A_ovc_serv_o25_m_care" dataDxfId="708"/>
    <tableColumn id="130" name="A_ovc_serv_u1_unk_sp" dataDxfId="707"/>
    <tableColumn id="131" name="A_ovc_serv_0109_unk_sp" dataDxfId="706"/>
    <tableColumn id="132" name="A_ovc_serv_1014_f_sp" dataDxfId="705"/>
    <tableColumn id="133" name="A_ovc_serv_1014_m_sp" dataDxfId="704"/>
    <tableColumn id="134" name="A_ovc_serv_1517_f_sp" dataDxfId="703"/>
    <tableColumn id="135" name="A_ovc_serv_1517_m_sp" dataDxfId="702"/>
    <tableColumn id="136" name="A_ovc_serv_1824_f_sp" dataDxfId="701"/>
    <tableColumn id="137" name="A_ovc_serv_1824_m_sp" dataDxfId="700"/>
    <tableColumn id="138" name="A_ovc_serv_o25_f_sp" dataDxfId="699"/>
    <tableColumn id="139" name="A_ovc_serv_o25_m_sp" dataDxfId="698"/>
    <tableColumn id="140" name="A_check1" dataDxfId="697"/>
    <tableColumn id="141" name="A_check2" dataDxfId="696"/>
    <tableColumn id="142" name="A_check3" dataDxfId="695"/>
    <tableColumn id="143" name="A_check4" dataDxfId="694"/>
    <tableColumn id="144" name="A_check5" dataDxfId="693"/>
    <tableColumn id="145" name="A_check6" dataDxfId="692"/>
    <tableColumn id="146" name="A_check7" dataDxfId="691"/>
    <tableColumn id="5" name="D_ovc_serv_fy19" dataDxfId="690"/>
    <tableColumn id="80" name="D_ovc_serv_u18_fy19" dataDxfId="689"/>
    <tableColumn id="81" name="D_ovc_serv_o18_fy19" dataDxfId="688"/>
    <tableColumn id="71" name="D_ovc_serv_edu_fy19" dataDxfId="687"/>
    <tableColumn id="72" name="D_ovc_serv_care_fy19" dataDxfId="686"/>
    <tableColumn id="73" name="D_ovc_serv_sp_fy19" dataDxfId="685"/>
    <tableColumn id="75" name="D_ovc_serv_econ_fy19" dataDxfId="684"/>
    <tableColumn id="76" name="D_ovc_serv_oth_fy19" dataDxfId="683"/>
    <tableColumn id="77" name="D_ovc_serv_grad_fy19" dataDxfId="682"/>
    <tableColumn id="78" name="D_ovc_serv_trans_fy19" dataDxfId="681"/>
    <tableColumn id="79" name="D_ovc_serv_exited_fy19" dataDxfId="680"/>
    <tableColumn id="74" name="D_ovc_serv_active_fy19" dataDxfId="679"/>
    <tableColumn id="70" name="ovc_serv_u1_unk" dataDxfId="678">
      <calculatedColumnFormula>ovc_serv_T[[D_ovc_serv_u18_fy19]:[D_ovc_serv_u18_fy19]]*ovc_serv_T[A_ovc_serv_u1_unk]</calculatedColumnFormula>
    </tableColumn>
    <tableColumn id="11" name="ovc_serv_0109_unk" dataDxfId="677">
      <calculatedColumnFormula>ovc_serv_T[[D_ovc_serv_u18_fy19]:[D_ovc_serv_u18_fy19]]*ovc_serv_T[A_ovc_serv_0109_unk]</calculatedColumnFormula>
    </tableColumn>
    <tableColumn id="6" name="ovc_serv_1014_f" dataDxfId="676">
      <calculatedColumnFormula>ovc_serv_T[[D_ovc_serv_u18_fy19]:[D_ovc_serv_u18_fy19]]*ovc_serv_T[A_ovc_serv_1014_f]</calculatedColumnFormula>
    </tableColumn>
    <tableColumn id="22" name="ovc_serv_1014_m" dataDxfId="675">
      <calculatedColumnFormula>ovc_serv_T[[D_ovc_serv_u18_fy19]:[D_ovc_serv_u18_fy19]]*ovc_serv_T[A_ovc_serv_1014_m]</calculatedColumnFormula>
    </tableColumn>
    <tableColumn id="7" name="ovc_serv_1517_f" dataDxfId="674">
      <calculatedColumnFormula>ovc_serv_T[[D_ovc_serv_u18_fy19]:[D_ovc_serv_u18_fy19]]*ovc_serv_T[A_ovc_serv_1517_f]</calculatedColumnFormula>
    </tableColumn>
    <tableColumn id="8" name="ovc_serv_1517_m" dataDxfId="673">
      <calculatedColumnFormula>ovc_serv_T[[D_ovc_serv_u18_fy19]:[D_ovc_serv_u18_fy19]]*ovc_serv_T[A_ovc_serv_1517_m]</calculatedColumnFormula>
    </tableColumn>
    <tableColumn id="9" name="ovc_serv_1824_f" dataDxfId="672">
      <calculatedColumnFormula>ovc_serv_T[[D_ovc_serv_o18_fy19]:[D_ovc_serv_o18_fy19]]*ovc_serv_T[A_ovc_serv_1824_f]</calculatedColumnFormula>
    </tableColumn>
    <tableColumn id="10" name="ovc_serv_1824_m" dataDxfId="671">
      <calculatedColumnFormula>ovc_serv_T[[D_ovc_serv_o18_fy19]:[D_ovc_serv_o18_fy19]]*ovc_serv_T[A_ovc_serv_1824_m]</calculatedColumnFormula>
    </tableColumn>
    <tableColumn id="12" name="ovc_serv_o25_f" dataDxfId="670">
      <calculatedColumnFormula>ovc_serv_T[[D_ovc_serv_o18_fy19]:[D_ovc_serv_o18_fy19]]*ovc_serv_T[A_ovc_serv_o25_f]</calculatedColumnFormula>
    </tableColumn>
    <tableColumn id="13" name="ovc_serv_o25_m" dataDxfId="669">
      <calculatedColumnFormula>ovc_serv_T[[D_ovc_serv_o18_fy19]:[D_ovc_serv_o18_fy19]]*ovc_serv_T[A_ovc_serv_o25_m]</calculatedColumnFormula>
    </tableColumn>
    <tableColumn id="54" name="ovc_serv_u1_unk_econ" dataDxfId="668">
      <calculatedColumnFormula>ovc_serv_T[[D_ovc_serv_econ_fy19]:[D_ovc_serv_econ_fy19]]*ovc_serv_T[A_ovc_serv_u1_unk_econ]</calculatedColumnFormula>
    </tableColumn>
    <tableColumn id="14" name="ovc_serv_0109_unk_econ" dataDxfId="667">
      <calculatedColumnFormula>ovc_serv_T[[D_ovc_serv_econ_fy19]:[D_ovc_serv_econ_fy19]]*ovc_serv_T[A_ovc_serv_0109_unk_econ]</calculatedColumnFormula>
    </tableColumn>
    <tableColumn id="15" name="ovc_serv_1014_f_econ" dataDxfId="666">
      <calculatedColumnFormula>ovc_serv_T[[D_ovc_serv_econ_fy19]:[D_ovc_serv_econ_fy19]]*ovc_serv_T[A_ovc_serv_1014_f_econ]</calculatedColumnFormula>
    </tableColumn>
    <tableColumn id="16" name="ovc_serv_1014_m_econ" dataDxfId="665">
      <calculatedColumnFormula>ovc_serv_T[[D_ovc_serv_econ_fy19]:[D_ovc_serv_econ_fy19]]*ovc_serv_T[A_ovc_serv_1014_m_econ]</calculatedColumnFormula>
    </tableColumn>
    <tableColumn id="17" name="ovc_serv_1517_f_econ" dataDxfId="664">
      <calculatedColumnFormula>ovc_serv_T[[D_ovc_serv_econ_fy19]:[D_ovc_serv_econ_fy19]]*ovc_serv_T[A_ovc_serv_1517_f_econ]</calculatedColumnFormula>
    </tableColumn>
    <tableColumn id="18" name="ovc_serv_1517_m_econ" dataDxfId="663">
      <calculatedColumnFormula>ovc_serv_T[[D_ovc_serv_econ_fy19]:[D_ovc_serv_econ_fy19]]*ovc_serv_T[A_ovc_serv_1517_m_econ]</calculatedColumnFormula>
    </tableColumn>
    <tableColumn id="19" name="ovc_serv_1824_f_econ" dataDxfId="662">
      <calculatedColumnFormula>ovc_serv_T[[D_ovc_serv_econ_fy19]:[D_ovc_serv_econ_fy19]]*ovc_serv_T[A_ovc_serv_1824_f_econ]</calculatedColumnFormula>
    </tableColumn>
    <tableColumn id="20" name="ovc_serv_1824_m_econ" dataDxfId="661">
      <calculatedColumnFormula>ovc_serv_T[[D_ovc_serv_econ_fy19]:[D_ovc_serv_econ_fy19]]*ovc_serv_T[A_ovc_serv_1824_m_econ]</calculatedColumnFormula>
    </tableColumn>
    <tableColumn id="21" name="ovc_serv_o25_f_econ" dataDxfId="660">
      <calculatedColumnFormula>ovc_serv_T[[D_ovc_serv_econ_fy19]:[D_ovc_serv_econ_fy19]]*ovc_serv_T[A_ovc_serv_o25_f_econ]</calculatedColumnFormula>
    </tableColumn>
    <tableColumn id="26" name="ovc_serv_o25_m_econ" dataDxfId="659">
      <calculatedColumnFormula>ovc_serv_T[[D_ovc_serv_econ_fy19]:[D_ovc_serv_econ_fy19]]*ovc_serv_T[A_ovc_serv_o25_m_econ]</calculatedColumnFormula>
    </tableColumn>
    <tableColumn id="28" name="ovc_serv_u1_unk_edu" dataDxfId="658">
      <calculatedColumnFormula>ovc_serv_T[[D_ovc_serv_edu_fy19]:[D_ovc_serv_edu_fy19]]*ovc_serv_T[A_ovc_serv_u1_unk_edu]</calculatedColumnFormula>
    </tableColumn>
    <tableColumn id="29" name="ovc_serv_0109_unk_edu" dataDxfId="657">
      <calculatedColumnFormula>ovc_serv_T[[D_ovc_serv_edu_fy19]:[D_ovc_serv_edu_fy19]]*ovc_serv_T[A_ovc_serv_0109_unk_edu]</calculatedColumnFormula>
    </tableColumn>
    <tableColumn id="30" name="ovc_serv_1014_f_edu" dataDxfId="656">
      <calculatedColumnFormula>ovc_serv_T[[D_ovc_serv_edu_fy19]:[D_ovc_serv_edu_fy19]]*ovc_serv_T[A_ovc_serv_1014_f_edu]</calculatedColumnFormula>
    </tableColumn>
    <tableColumn id="52" name="ovc_serv_1014_m_edu" dataDxfId="655">
      <calculatedColumnFormula>ovc_serv_T[[D_ovc_serv_edu_fy19]:[D_ovc_serv_edu_fy19]]*ovc_serv_T[A_ovc_serv_1014_m_edu]</calculatedColumnFormula>
    </tableColumn>
    <tableColumn id="31" name="ovc_serv_1517_f_edu" dataDxfId="654">
      <calculatedColumnFormula>ovc_serv_T[[D_ovc_serv_edu_fy19]:[D_ovc_serv_edu_fy19]]*ovc_serv_T[A_ovc_serv_1517_f_edu]</calculatedColumnFormula>
    </tableColumn>
    <tableColumn id="32" name="ovc_serv_1517_m_edu" dataDxfId="653">
      <calculatedColumnFormula>ovc_serv_T[[D_ovc_serv_edu_fy19]:[D_ovc_serv_edu_fy19]]*ovc_serv_T[A_ovc_serv_1517_m_edu]</calculatedColumnFormula>
    </tableColumn>
    <tableColumn id="33" name="ovc_serv_1824_f_edu" dataDxfId="652">
      <calculatedColumnFormula>ovc_serv_T[[D_ovc_serv_edu_fy19]:[D_ovc_serv_edu_fy19]]*ovc_serv_T[A_ovc_serv_1824_f_edu]</calculatedColumnFormula>
    </tableColumn>
    <tableColumn id="34" name="ovc_serv_1824_m_edu" dataDxfId="651">
      <calculatedColumnFormula>ovc_serv_T[[D_ovc_serv_edu_fy19]:[D_ovc_serv_edu_fy19]]*ovc_serv_T[A_ovc_serv_1824_m_edu]</calculatedColumnFormula>
    </tableColumn>
    <tableColumn id="35" name="ovc_serv_o25_f_edu" dataDxfId="650">
      <calculatedColumnFormula>ovc_serv_T[[D_ovc_serv_edu_fy19]:[D_ovc_serv_edu_fy19]]*ovc_serv_T[A_ovc_serv_o25_f_edu]</calculatedColumnFormula>
    </tableColumn>
    <tableColumn id="36" name="ovc_serv_o25_m_edu" dataDxfId="649">
      <calculatedColumnFormula>ovc_serv_T[[D_ovc_serv_edu_fy19]:[D_ovc_serv_edu_fy19]]*ovc_serv_T[A_ovc_serv_o25_m_edu]</calculatedColumnFormula>
    </tableColumn>
    <tableColumn id="53" name="ovc_serv_u1_unk_oth" dataDxfId="648">
      <calculatedColumnFormula>ovc_serv_T[[D_ovc_serv_oth_fy19]:[D_ovc_serv_oth_fy19]]*ovc_serv_T[A_ovc_serv_u1_unk_oth]</calculatedColumnFormula>
    </tableColumn>
    <tableColumn id="37" name="ovc_serv_0109_unk_oth" dataDxfId="647">
      <calculatedColumnFormula>ovc_serv_T[[D_ovc_serv_oth_fy19]:[D_ovc_serv_oth_fy19]]*ovc_serv_T[A_ovc_serv_0109_unk_oth]</calculatedColumnFormula>
    </tableColumn>
    <tableColumn id="38" name="ovc_serv_1014_f_oth" dataDxfId="646">
      <calculatedColumnFormula>ovc_serv_T[[D_ovc_serv_oth_fy19]:[D_ovc_serv_oth_fy19]]*ovc_serv_T[A_ovc_serv_1014_f_oth]</calculatedColumnFormula>
    </tableColumn>
    <tableColumn id="39" name="ovc_serv_1014_m_oth" dataDxfId="645">
      <calculatedColumnFormula>ovc_serv_T[[D_ovc_serv_oth_fy19]:[D_ovc_serv_oth_fy19]]*ovc_serv_T[A_ovc_serv_1014_m_oth]</calculatedColumnFormula>
    </tableColumn>
    <tableColumn id="40" name="ovc_serv_1517_f_oth" dataDxfId="644">
      <calculatedColumnFormula>ovc_serv_T[[D_ovc_serv_oth_fy19]:[D_ovc_serv_oth_fy19]]*ovc_serv_T[A_ovc_serv_1517_f_oth]</calculatedColumnFormula>
    </tableColumn>
    <tableColumn id="41" name="ovc_serv_1517_m_oth" dataDxfId="643">
      <calculatedColumnFormula>ovc_serv_T[[D_ovc_serv_oth_fy19]:[D_ovc_serv_oth_fy19]]*ovc_serv_T[A_ovc_serv_1517_m_oth]</calculatedColumnFormula>
    </tableColumn>
    <tableColumn id="42" name="ovc_serv_1824_f_oth" dataDxfId="642">
      <calculatedColumnFormula>ovc_serv_T[[D_ovc_serv_oth_fy19]:[D_ovc_serv_oth_fy19]]*ovc_serv_T[A_ovc_serv_1824_f_oth]</calculatedColumnFormula>
    </tableColumn>
    <tableColumn id="43" name="ovc_serv_1824_m_oth" dataDxfId="641">
      <calculatedColumnFormula>ovc_serv_T[[D_ovc_serv_oth_fy19]:[D_ovc_serv_oth_fy19]]*ovc_serv_T[A_ovc_serv_1824_m_oth]</calculatedColumnFormula>
    </tableColumn>
    <tableColumn id="44" name="ovc_serv_o25_f_oth" dataDxfId="640">
      <calculatedColumnFormula>ovc_serv_T[[D_ovc_serv_oth_fy19]:[D_ovc_serv_oth_fy19]]*ovc_serv_T[A_ovc_serv_o25_f_oth]</calculatedColumnFormula>
    </tableColumn>
    <tableColumn id="49" name="ovc_serv_o25_m_oth" dataDxfId="639">
      <calculatedColumnFormula>ovc_serv_T[[D_ovc_serv_oth_fy19]:[D_ovc_serv_oth_fy19]]*ovc_serv_T[A_ovc_serv_o25_m_oth]</calculatedColumnFormula>
    </tableColumn>
    <tableColumn id="3" name="ovc_serv_u1_unk_care" dataDxfId="638">
      <calculatedColumnFormula>ovc_serv_T[[D_ovc_serv_care_fy19]:[D_ovc_serv_care_fy19]]*ovc_serv_T[A_ovc_serv_u1_unk_care]</calculatedColumnFormula>
    </tableColumn>
    <tableColumn id="23" name="ovc_serv_0109_unk_care" dataDxfId="637">
      <calculatedColumnFormula>ovc_serv_T[[D_ovc_serv_care_fy19]:[D_ovc_serv_care_fy19]]*ovc_serv_T[A_ovc_serv_0109_unk_care]</calculatedColumnFormula>
    </tableColumn>
    <tableColumn id="24" name="ovc_serv_1014_f_care" dataDxfId="636">
      <calculatedColumnFormula>ovc_serv_T[[D_ovc_serv_care_fy19]:[D_ovc_serv_care_fy19]]*ovc_serv_T[A_ovc_serv_1014_f_care]</calculatedColumnFormula>
    </tableColumn>
    <tableColumn id="25" name="ovc_serv_1014_m_care" dataDxfId="635">
      <calculatedColumnFormula>ovc_serv_T[[D_ovc_serv_care_fy19]:[D_ovc_serv_care_fy19]]*ovc_serv_T[A_ovc_serv_1014_m_care]</calculatedColumnFormula>
    </tableColumn>
    <tableColumn id="27" name="ovc_serv_1517_f_care" dataDxfId="634">
      <calculatedColumnFormula>ovc_serv_T[[D_ovc_serv_care_fy19]:[D_ovc_serv_care_fy19]]*ovc_serv_T[A_ovc_serv_1517_f_care]</calculatedColumnFormula>
    </tableColumn>
    <tableColumn id="45" name="ovc_serv_1517_m_care" dataDxfId="633">
      <calculatedColumnFormula>ovc_serv_T[[D_ovc_serv_care_fy19]:[D_ovc_serv_care_fy19]]*ovc_serv_T[A_ovc_serv_1517_m_care]</calculatedColumnFormula>
    </tableColumn>
    <tableColumn id="46" name="ovc_serv_1824_f_care" dataDxfId="632">
      <calculatedColumnFormula>ovc_serv_T[[D_ovc_serv_care_fy19]:[D_ovc_serv_care_fy19]]*ovc_serv_T[A_ovc_serv_1824_f_care]</calculatedColumnFormula>
    </tableColumn>
    <tableColumn id="47" name="ovc_serv_1824_m_care" dataDxfId="631">
      <calculatedColumnFormula>ovc_serv_T[[D_ovc_serv_care_fy19]:[D_ovc_serv_care_fy19]]*ovc_serv_T[A_ovc_serv_1824_m_care]</calculatedColumnFormula>
    </tableColumn>
    <tableColumn id="48" name="ovc_serv_o25_f_care" dataDxfId="630">
      <calculatedColumnFormula>ovc_serv_T[[D_ovc_serv_care_fy19]:[D_ovc_serv_care_fy19]]*ovc_serv_T[A_ovc_serv_o25_f_care]</calculatedColumnFormula>
    </tableColumn>
    <tableColumn id="50" name="ovc_serv_o25_m_care" dataDxfId="629">
      <calculatedColumnFormula>ovc_serv_T[[D_ovc_serv_care_fy19]:[D_ovc_serv_care_fy19]]*ovc_serv_T[A_ovc_serv_o25_m_care]</calculatedColumnFormula>
    </tableColumn>
    <tableColumn id="51" name="ovc_serv_u1_unk_sp" dataDxfId="628">
      <calculatedColumnFormula>ovc_serv_T[[D_ovc_serv_sp_fy19]:[D_ovc_serv_sp_fy19]]*ovc_serv_T[A_ovc_serv_u1_unk_sp]</calculatedColumnFormula>
    </tableColumn>
    <tableColumn id="56" name="ovc_serv_0109_unk_sp" dataDxfId="627">
      <calculatedColumnFormula>ovc_serv_T[[D_ovc_serv_sp_fy19]:[D_ovc_serv_sp_fy19]]*ovc_serv_T[A_ovc_serv_0109_unk_sp]</calculatedColumnFormula>
    </tableColumn>
    <tableColumn id="57" name="ovc_serv_1014_f_sp" dataDxfId="626">
      <calculatedColumnFormula>ovc_serv_T[[D_ovc_serv_sp_fy19]:[D_ovc_serv_sp_fy19]]*ovc_serv_T[A_ovc_serv_1014_f_sp]</calculatedColumnFormula>
    </tableColumn>
    <tableColumn id="58" name="ovc_serv_1014_m_sp" dataDxfId="625">
      <calculatedColumnFormula>ovc_serv_T[[D_ovc_serv_sp_fy19]:[D_ovc_serv_sp_fy19]]*ovc_serv_T[A_ovc_serv_1014_m_sp]</calculatedColumnFormula>
    </tableColumn>
    <tableColumn id="59" name="ovc_serv_1517_f_sp" dataDxfId="624">
      <calculatedColumnFormula>ovc_serv_T[[D_ovc_serv_sp_fy19]:[D_ovc_serv_sp_fy19]]*ovc_serv_T[A_ovc_serv_1517_f_sp]</calculatedColumnFormula>
    </tableColumn>
    <tableColumn id="60" name="ovc_serv_1517_m_sp" dataDxfId="623">
      <calculatedColumnFormula>ovc_serv_T[[D_ovc_serv_sp_fy19]:[D_ovc_serv_sp_fy19]]*ovc_serv_T[A_ovc_serv_1517_m_sp]</calculatedColumnFormula>
    </tableColumn>
    <tableColumn id="61" name="ovc_serv_1824_f_sp" dataDxfId="622">
      <calculatedColumnFormula>ovc_serv_T[[D_ovc_serv_sp_fy19]:[D_ovc_serv_sp_fy19]]*ovc_serv_T[A_ovc_serv_1824_f_sp]</calculatedColumnFormula>
    </tableColumn>
    <tableColumn id="62" name="ovc_serv_1824_m_sp" dataDxfId="621">
      <calculatedColumnFormula>ovc_serv_T[[D_ovc_serv_sp_fy19]:[D_ovc_serv_sp_fy19]]*ovc_serv_T[A_ovc_serv_1824_m_sp]</calculatedColumnFormula>
    </tableColumn>
    <tableColumn id="63" name="ovc_serv_o25_f_sp" dataDxfId="620">
      <calculatedColumnFormula>ovc_serv_T[[D_ovc_serv_sp_fy19]:[D_ovc_serv_sp_fy19]]*ovc_serv_T[A_ovc_serv_o25_f_sp]</calculatedColumnFormula>
    </tableColumn>
    <tableColumn id="64" name="ovc_serv_o25_m_sp" dataDxfId="619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7" name="pmtct_stat_T" displayName="pmtct_stat_T" ref="C6:CU7" totalsRowShown="0" headerRowDxfId="616" dataDxfId="615">
  <autoFilter ref="C6:CU7"/>
  <tableColumns count="97">
    <tableColumn id="1" name="psnu" dataDxfId="614"/>
    <tableColumn id="62" name="psnuuid" dataDxfId="613"/>
    <tableColumn id="2" name="priority" dataDxfId="612"/>
    <tableColumn id="55" name="mechid" dataDxfId="611"/>
    <tableColumn id="56" name="mechname" dataDxfId="610"/>
    <tableColumn id="4" name="type" dataDxfId="609"/>
    <tableColumn id="5" name="psnu_type" dataDxfId="608"/>
    <tableColumn id="64" name="A_pmtct_stat_D_u10_f" dataDxfId="607"/>
    <tableColumn id="65" name="A_pmtct_stat_D_1014_f" dataDxfId="606"/>
    <tableColumn id="66" name="A_pmtct_stat_D_1519_f" dataDxfId="605"/>
    <tableColumn id="67" name="A_pmtct_stat_D_2024_f" dataDxfId="604"/>
    <tableColumn id="68" name="A_pmtct_stat_D_2529_f" dataDxfId="603"/>
    <tableColumn id="69" name="A_pmtct_stat_D_3034_f" dataDxfId="602"/>
    <tableColumn id="70" name="A_pmtct_stat_D_3539_f" dataDxfId="601"/>
    <tableColumn id="71" name="A_pmtct_stat_D_4049_f" dataDxfId="600"/>
    <tableColumn id="72" name="A_pmtct_stat_D_o50_f" dataDxfId="599"/>
    <tableColumn id="74" name="A_pmtct_stat_u10_f_known" dataDxfId="598"/>
    <tableColumn id="75" name="A_pmtct_stat_1014_f_known" dataDxfId="597"/>
    <tableColumn id="76" name="A_pmtct_stat_1519_f_known" dataDxfId="596"/>
    <tableColumn id="77" name="A_pmtct_stat_2024_f_known" dataDxfId="595"/>
    <tableColumn id="78" name="A_pmtct_stat_2529_f_known" dataDxfId="594"/>
    <tableColumn id="79" name="A_pmtct_stat_3034_f_known" dataDxfId="593"/>
    <tableColumn id="80" name="A_pmtct_stat_3539_f_known" dataDxfId="592"/>
    <tableColumn id="81" name="A_pmtct_stat_4049_f_known" dataDxfId="591"/>
    <tableColumn id="82" name="A_pmtct_stat_o50_f_known" dataDxfId="590"/>
    <tableColumn id="84" name="A_pmtct_stat_u10_f_newneg" dataDxfId="589"/>
    <tableColumn id="85" name="A_pmtct_stat_1014_f_newneg" dataDxfId="588"/>
    <tableColumn id="86" name="A_pmtct_stat_1519_f_newneg" dataDxfId="587"/>
    <tableColumn id="87" name="A_pmtct_stat_2024_f_newneg" dataDxfId="586"/>
    <tableColumn id="88" name="A_pmtct_stat_2529_f_newneg" dataDxfId="585"/>
    <tableColumn id="89" name="A_pmtct_stat_3034_f_newneg" dataDxfId="584"/>
    <tableColumn id="90" name="A_pmtct_stat_3539_f_newneg" dataDxfId="583"/>
    <tableColumn id="91" name="A_pmtct_stat_4049_f_newneg" dataDxfId="582"/>
    <tableColumn id="92" name="A_pmtct_stat_o50_f_newneg" dataDxfId="581"/>
    <tableColumn id="94" name="A_pmtct_stat_u10_f_newpos" dataDxfId="580"/>
    <tableColumn id="95" name="A_pmtct_stat_1014_f_newpos" dataDxfId="579"/>
    <tableColumn id="96" name="A_pmtct_stat_1519_f_newpos" dataDxfId="578"/>
    <tableColumn id="97" name="A_pmtct_stat_2024_f_newpos" dataDxfId="577"/>
    <tableColumn id="98" name="A_pmtct_stat_2529_f_newpos" dataDxfId="576"/>
    <tableColumn id="99" name="A_pmtct_stat_3034_f_newpos" dataDxfId="575"/>
    <tableColumn id="100" name="A_pmtct_stat_3539_f_newpos" dataDxfId="574"/>
    <tableColumn id="101" name="A_pmtct_stat_4049_f_newpos" dataDxfId="573"/>
    <tableColumn id="102" name="A_pmtct_stat_o50_f_newpos" dataDxfId="572"/>
    <tableColumn id="13" name="A_check1" dataDxfId="571"/>
    <tableColumn id="26" name="A_check2" dataDxfId="570"/>
    <tableColumn id="36" name="A_check3" dataDxfId="569"/>
    <tableColumn id="49" name="A_check4" dataDxfId="568"/>
    <tableColumn id="63" name="D_pmtct_stat_D_fy19" dataDxfId="567"/>
    <tableColumn id="57" name="D_pmtct_stat_fy19" dataDxfId="566"/>
    <tableColumn id="58" name="D_pmtct_stat_known_fy19" dataDxfId="565"/>
    <tableColumn id="61" name="D_pmtct_stat_newneg_fy19" dataDxfId="564"/>
    <tableColumn id="59" name="D_pmtct_stat_newpos_fy19" dataDxfId="563"/>
    <tableColumn id="60" name="pmtct_stat_D_u10_f" dataDxfId="562">
      <calculatedColumnFormula>pmtct_stat_T[[D_pmtct_stat_D_fy19]:[D_pmtct_stat_D_fy19]]*pmtct_stat_T[A_pmtct_stat_D_u10_f]</calculatedColumnFormula>
    </tableColumn>
    <tableColumn id="6" name="pmtct_stat_D_1014_f" dataDxfId="561">
      <calculatedColumnFormula>pmtct_stat_T[[D_pmtct_stat_D_fy19]:[D_pmtct_stat_D_fy19]]*pmtct_stat_T[A_pmtct_stat_D_1014_f]</calculatedColumnFormula>
    </tableColumn>
    <tableColumn id="22" name="pmtct_stat_D_1519_f" dataDxfId="560">
      <calculatedColumnFormula>pmtct_stat_T[[D_pmtct_stat_D_fy19]:[D_pmtct_stat_D_fy19]]*pmtct_stat_T[A_pmtct_stat_D_1519_f]</calculatedColumnFormula>
    </tableColumn>
    <tableColumn id="7" name="pmtct_stat_D_2024_f" dataDxfId="559">
      <calculatedColumnFormula>pmtct_stat_T[[D_pmtct_stat_D_fy19]:[D_pmtct_stat_D_fy19]]*pmtct_stat_T[A_pmtct_stat_D_2024_f]</calculatedColumnFormula>
    </tableColumn>
    <tableColumn id="8" name="pmtct_stat_D_2529_f" dataDxfId="558">
      <calculatedColumnFormula>pmtct_stat_T[[D_pmtct_stat_D_fy19]:[D_pmtct_stat_D_fy19]]*pmtct_stat_T[A_pmtct_stat_D_2529_f]</calculatedColumnFormula>
    </tableColumn>
    <tableColumn id="9" name="pmtct_stat_D_3034_f" dataDxfId="557">
      <calculatedColumnFormula>pmtct_stat_T[[D_pmtct_stat_D_fy19]:[D_pmtct_stat_D_fy19]]*pmtct_stat_T[A_pmtct_stat_D_3034_f]</calculatedColumnFormula>
    </tableColumn>
    <tableColumn id="10" name="pmtct_stat_D_3539_f" dataDxfId="556">
      <calculatedColumnFormula>pmtct_stat_T[[D_pmtct_stat_D_fy19]:[D_pmtct_stat_D_fy19]]*pmtct_stat_T[A_pmtct_stat_D_3539_f]</calculatedColumnFormula>
    </tableColumn>
    <tableColumn id="11" name="pmtct_stat_D_4049_f" dataDxfId="555">
      <calculatedColumnFormula>pmtct_stat_T[[D_pmtct_stat_D_fy19]:[D_pmtct_stat_D_fy19]]*pmtct_stat_T[A_pmtct_stat_D_4049_f]</calculatedColumnFormula>
    </tableColumn>
    <tableColumn id="12" name="pmtct_stat_D_o50_f" dataDxfId="554">
      <calculatedColumnFormula>pmtct_stat_T[[D_pmtct_stat_D_fy19]:[D_pmtct_stat_D_fy19]]*pmtct_stat_T[A_pmtct_stat_D_o50_f]</calculatedColumnFormula>
    </tableColumn>
    <tableColumn id="3" name="pmtct_stat_u10_f" dataDxfId="553">
      <calculatedColumnFormula>SUMIF($BU$4:$CU$4,"*&lt;10",$BU7:$CU7)</calculatedColumnFormula>
    </tableColumn>
    <tableColumn id="23" name="pmtct_stat_1014_f" dataDxfId="552">
      <calculatedColumnFormula>SUMIF($BU$4:$CU$4,"*10-14",$BU7:$CU7)</calculatedColumnFormula>
    </tableColumn>
    <tableColumn id="24" name="pmtct_stat_1519_f" dataDxfId="551">
      <calculatedColumnFormula>SUMIF($BU$4:$CU$4,"*15-19",$BU7:$CU7)</calculatedColumnFormula>
    </tableColumn>
    <tableColumn id="25" name="pmtct_stat_2024_f" dataDxfId="550">
      <calculatedColumnFormula>SUMIF($BU$4:$CU$4,"*20-24",$BU7:$CU7)</calculatedColumnFormula>
    </tableColumn>
    <tableColumn id="27" name="pmtct_stat_2529_f" dataDxfId="549">
      <calculatedColumnFormula>SUMIF($BU$4:$CU$4,"*25-29",$BU7:$CU7)</calculatedColumnFormula>
    </tableColumn>
    <tableColumn id="45" name="pmtct_stat_3034_f" dataDxfId="548">
      <calculatedColumnFormula>SUMIF($BU$4:$CU$4,"*30-34",$BU7:$CU7)</calculatedColumnFormula>
    </tableColumn>
    <tableColumn id="46" name="pmtct_stat_3539_f" dataDxfId="547">
      <calculatedColumnFormula>SUMIF($BU$4:$CU$4,"*35-39",$BU7:$CU7)</calculatedColumnFormula>
    </tableColumn>
    <tableColumn id="47" name="pmtct_stat_4049_f" dataDxfId="546">
      <calculatedColumnFormula>SUMIF($BU$4:$CU$4,"*40-49",$BU7:$CU7)</calculatedColumnFormula>
    </tableColumn>
    <tableColumn id="48" name="pmtct_stat_o50_f" dataDxfId="545">
      <calculatedColumnFormula>SUMIF($BU$4:$CU$4,"*50+",$BU7:$CU7)</calculatedColumnFormula>
    </tableColumn>
    <tableColumn id="54" name="pmtct_stat_u10_f_known" dataDxfId="544">
      <calculatedColumnFormula>pmtct_stat_T[[D_pmtct_stat_known_fy19]:[D_pmtct_stat_known_fy19]]*pmtct_stat_T[A_pmtct_stat_u10_f_known]</calculatedColumnFormula>
    </tableColumn>
    <tableColumn id="14" name="pmtct_stat_1014_f_known" dataDxfId="543">
      <calculatedColumnFormula>pmtct_stat_T[[D_pmtct_stat_known_fy19]:[D_pmtct_stat_known_fy19]]*pmtct_stat_T[A_pmtct_stat_1014_f_known]</calculatedColumnFormula>
    </tableColumn>
    <tableColumn id="15" name="pmtct_stat_1519_f_known" dataDxfId="542">
      <calculatedColumnFormula>pmtct_stat_T[[D_pmtct_stat_known_fy19]:[D_pmtct_stat_known_fy19]]*pmtct_stat_T[A_pmtct_stat_1519_f_known]</calculatedColumnFormula>
    </tableColumn>
    <tableColumn id="16" name="pmtct_stat_2024_f_known" dataDxfId="541">
      <calculatedColumnFormula>pmtct_stat_T[[D_pmtct_stat_known_fy19]:[D_pmtct_stat_known_fy19]]*pmtct_stat_T[A_pmtct_stat_2024_f_known]</calculatedColumnFormula>
    </tableColumn>
    <tableColumn id="17" name="pmtct_stat_2529_f_known" dataDxfId="540">
      <calculatedColumnFormula>pmtct_stat_T[[D_pmtct_stat_known_fy19]:[D_pmtct_stat_known_fy19]]*pmtct_stat_T[A_pmtct_stat_2529_f_known]</calculatedColumnFormula>
    </tableColumn>
    <tableColumn id="18" name="pmtct_stat_3034_f_known" dataDxfId="539">
      <calculatedColumnFormula>pmtct_stat_T[[D_pmtct_stat_known_fy19]:[D_pmtct_stat_known_fy19]]*pmtct_stat_T[A_pmtct_stat_3034_f_known]</calculatedColumnFormula>
    </tableColumn>
    <tableColumn id="19" name="pmtct_stat_3539_f_known" dataDxfId="538">
      <calculatedColumnFormula>pmtct_stat_T[[D_pmtct_stat_known_fy19]:[D_pmtct_stat_known_fy19]]*pmtct_stat_T[A_pmtct_stat_3539_f_known]</calculatedColumnFormula>
    </tableColumn>
    <tableColumn id="20" name="pmtct_stat_4049_f_known" dataDxfId="537">
      <calculatedColumnFormula>pmtct_stat_T[[D_pmtct_stat_known_fy19]:[D_pmtct_stat_known_fy19]]*pmtct_stat_T[A_pmtct_stat_4049_f_known]</calculatedColumnFormula>
    </tableColumn>
    <tableColumn id="21" name="pmtct_stat_o50_f_known" dataDxfId="536">
      <calculatedColumnFormula>pmtct_stat_T[[D_pmtct_stat_known_fy19]:[D_pmtct_stat_known_fy19]]*pmtct_stat_T[A_pmtct_stat_o50_f_known]</calculatedColumnFormula>
    </tableColumn>
    <tableColumn id="28" name="pmtct_stat_u10_f_newneg" dataDxfId="535">
      <calculatedColumnFormula>pmtct_stat_T[[D_pmtct_stat_newneg_fy19]:[D_pmtct_stat_newneg_fy19]]*pmtct_stat_T[A_pmtct_stat_u10_f_newneg]</calculatedColumnFormula>
    </tableColumn>
    <tableColumn id="29" name="pmtct_stat_1014_f_newneg" dataDxfId="534">
      <calculatedColumnFormula>pmtct_stat_T[[D_pmtct_stat_newneg_fy19]:[D_pmtct_stat_newneg_fy19]]*pmtct_stat_T[A_pmtct_stat_1014_f_newneg]</calculatedColumnFormula>
    </tableColumn>
    <tableColumn id="30" name="pmtct_stat_1519_f_newneg" dataDxfId="533">
      <calculatedColumnFormula>pmtct_stat_T[[D_pmtct_stat_newneg_fy19]:[D_pmtct_stat_newneg_fy19]]*pmtct_stat_T[A_pmtct_stat_1519_f_newneg]</calculatedColumnFormula>
    </tableColumn>
    <tableColumn id="52" name="pmtct_stat_2024_f_newneg" dataDxfId="532">
      <calculatedColumnFormula>pmtct_stat_T[[D_pmtct_stat_newneg_fy19]:[D_pmtct_stat_newneg_fy19]]*pmtct_stat_T[A_pmtct_stat_2024_f_newneg]</calculatedColumnFormula>
    </tableColumn>
    <tableColumn id="31" name="pmtct_stat_2529_f_newneg" dataDxfId="531">
      <calculatedColumnFormula>pmtct_stat_T[[D_pmtct_stat_newneg_fy19]:[D_pmtct_stat_newneg_fy19]]*pmtct_stat_T[A_pmtct_stat_2529_f_newneg]</calculatedColumnFormula>
    </tableColumn>
    <tableColumn id="32" name="pmtct_stat_3034_f_newneg" dataDxfId="530">
      <calculatedColumnFormula>pmtct_stat_T[[D_pmtct_stat_newneg_fy19]:[D_pmtct_stat_newneg_fy19]]*pmtct_stat_T[A_pmtct_stat_3034_f_newneg]</calculatedColumnFormula>
    </tableColumn>
    <tableColumn id="33" name="pmtct_stat_3539_f_newneg" dataDxfId="529">
      <calculatedColumnFormula>pmtct_stat_T[[D_pmtct_stat_newneg_fy19]:[D_pmtct_stat_newneg_fy19]]*pmtct_stat_T[A_pmtct_stat_3539_f_newneg]</calculatedColumnFormula>
    </tableColumn>
    <tableColumn id="34" name="pmtct_stat_4049_f_newneg" dataDxfId="528">
      <calculatedColumnFormula>pmtct_stat_T[[D_pmtct_stat_newneg_fy19]:[D_pmtct_stat_newneg_fy19]]*pmtct_stat_T[A_pmtct_stat_4049_f_newneg]</calculatedColumnFormula>
    </tableColumn>
    <tableColumn id="35" name="pmtct_stat_o50_f_newneg" dataDxfId="527">
      <calculatedColumnFormula>pmtct_stat_T[[D_pmtct_stat_newneg_fy19]:[D_pmtct_stat_newneg_fy19]]*pmtct_stat_T[A_pmtct_stat_o50_f_newneg]</calculatedColumnFormula>
    </tableColumn>
    <tableColumn id="53" name="pmtct_stat_u10_f_newpos" dataDxfId="526">
      <calculatedColumnFormula>pmtct_stat_T[[D_pmtct_stat_newpos_fy19]:[D_pmtct_stat_newpos_fy19]]*pmtct_stat_T[A_pmtct_stat_u10_f_newpos]</calculatedColumnFormula>
    </tableColumn>
    <tableColumn id="37" name="pmtct_stat_1014_f_newpos" dataDxfId="525">
      <calculatedColumnFormula>pmtct_stat_T[[D_pmtct_stat_newpos_fy19]:[D_pmtct_stat_newpos_fy19]]*pmtct_stat_T[A_pmtct_stat_1014_f_newpos]</calculatedColumnFormula>
    </tableColumn>
    <tableColumn id="38" name="pmtct_stat_1519_f_newpos" dataDxfId="524">
      <calculatedColumnFormula>pmtct_stat_T[[D_pmtct_stat_newpos_fy19]:[D_pmtct_stat_newpos_fy19]]*pmtct_stat_T[A_pmtct_stat_1519_f_newpos]</calculatedColumnFormula>
    </tableColumn>
    <tableColumn id="39" name="pmtct_stat_2024_f_newpos" dataDxfId="523">
      <calculatedColumnFormula>pmtct_stat_T[[D_pmtct_stat_newpos_fy19]:[D_pmtct_stat_newpos_fy19]]*pmtct_stat_T[A_pmtct_stat_2024_f_newpos]</calculatedColumnFormula>
    </tableColumn>
    <tableColumn id="40" name="pmtct_stat_2529_f_newpos" dataDxfId="522">
      <calculatedColumnFormula>pmtct_stat_T[[D_pmtct_stat_newpos_fy19]:[D_pmtct_stat_newpos_fy19]]*pmtct_stat_T[A_pmtct_stat_2529_f_newpos]</calculatedColumnFormula>
    </tableColumn>
    <tableColumn id="41" name="pmtct_stat_3034_f_newpos" dataDxfId="521">
      <calculatedColumnFormula>pmtct_stat_T[[D_pmtct_stat_newpos_fy19]:[D_pmtct_stat_newpos_fy19]]*pmtct_stat_T[A_pmtct_stat_3034_f_newpos]</calculatedColumnFormula>
    </tableColumn>
    <tableColumn id="42" name="pmtct_stat_3539_f_newpos" dataDxfId="520">
      <calculatedColumnFormula>pmtct_stat_T[[D_pmtct_stat_newpos_fy19]:[D_pmtct_stat_newpos_fy19]]*pmtct_stat_T[A_pmtct_stat_3539_f_newpos]</calculatedColumnFormula>
    </tableColumn>
    <tableColumn id="43" name="pmtct_stat_4049_f_newpos" dataDxfId="519">
      <calculatedColumnFormula>pmtct_stat_T[[D_pmtct_stat_newpos_fy19]:[D_pmtct_stat_newpos_fy19]]*pmtct_stat_T[A_pmtct_stat_4049_f_newpos]</calculatedColumnFormula>
    </tableColumn>
    <tableColumn id="44" name="pmtct_stat_o50_f_newpos" dataDxfId="518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8" name="pp_prev_T" displayName="pp_prev_T" ref="C6:AQ7" totalsRowShown="0" headerRowDxfId="517" dataDxfId="516">
  <autoFilter ref="C6:AQ7"/>
  <tableColumns count="41">
    <tableColumn id="1" name="psnu" dataDxfId="515"/>
    <tableColumn id="25" name="psnuuid" dataDxfId="514"/>
    <tableColumn id="2" name="priority" dataDxfId="513"/>
    <tableColumn id="3" name="mechid" dataDxfId="512"/>
    <tableColumn id="19" name="mechname" dataDxfId="511"/>
    <tableColumn id="4" name="type" dataDxfId="510"/>
    <tableColumn id="26" name="psnu_type" dataDxfId="509"/>
    <tableColumn id="27" name="A_pp_prev_1014_f" dataDxfId="508"/>
    <tableColumn id="28" name="A_pp_prev_1014_m" dataDxfId="507"/>
    <tableColumn id="29" name="A_pp_prev_1519_f" dataDxfId="506"/>
    <tableColumn id="30" name="A_pp_prev_1519_m" dataDxfId="505"/>
    <tableColumn id="31" name="A_pp_prev_2024_f" dataDxfId="504"/>
    <tableColumn id="32" name="A_pp_prev_2024_m" dataDxfId="503"/>
    <tableColumn id="33" name="A_pp_prev_2529_f" dataDxfId="502"/>
    <tableColumn id="34" name="A_pp_prev_2529_m" dataDxfId="501"/>
    <tableColumn id="35" name="A_pp_prev_3034_f" dataDxfId="500"/>
    <tableColumn id="36" name="A_pp_prev_3034_m" dataDxfId="499"/>
    <tableColumn id="37" name="A_pp_prev_3539_f" dataDxfId="498"/>
    <tableColumn id="38" name="A_pp_prev_3539_m" dataDxfId="497"/>
    <tableColumn id="39" name="A_pp_prev_4049_f" dataDxfId="496"/>
    <tableColumn id="40" name="A_pp_prev_4049_m" dataDxfId="495"/>
    <tableColumn id="41" name="A_pp_prev_o50_f" dataDxfId="494"/>
    <tableColumn id="42" name="A_pp_prev_o50_m" dataDxfId="493"/>
    <tableColumn id="21" name="A_check1" dataDxfId="492"/>
    <tableColumn id="20" name="D_pp_prev_fy19" dataDxfId="491"/>
    <tableColumn id="5" name="pp_prev_1014_f" dataDxfId="490">
      <calculatedColumnFormula>pp_prev_T[[D_pp_prev_fy19]:[D_pp_prev_fy19]]*pp_prev_T[A_pp_prev_1014_f]</calculatedColumnFormula>
    </tableColumn>
    <tableColumn id="6" name="pp_prev_1014_m" dataDxfId="489">
      <calculatedColumnFormula>pp_prev_T[[D_pp_prev_fy19]:[D_pp_prev_fy19]]*pp_prev_T[A_pp_prev_1014_m]</calculatedColumnFormula>
    </tableColumn>
    <tableColumn id="22" name="pp_prev_1519_f" dataDxfId="488">
      <calculatedColumnFormula>pp_prev_T[[D_pp_prev_fy19]:[D_pp_prev_fy19]]*pp_prev_T[A_pp_prev_1519_f]</calculatedColumnFormula>
    </tableColumn>
    <tableColumn id="7" name="pp_prev_1519_m" dataDxfId="487">
      <calculatedColumnFormula>pp_prev_T[[D_pp_prev_fy19]:[D_pp_prev_fy19]]*pp_prev_T[A_pp_prev_1519_m]</calculatedColumnFormula>
    </tableColumn>
    <tableColumn id="8" name="pp_prev_2024_f" dataDxfId="486">
      <calculatedColumnFormula>pp_prev_T[[D_pp_prev_fy19]:[D_pp_prev_fy19]]*pp_prev_T[A_pp_prev_2024_f]</calculatedColumnFormula>
    </tableColumn>
    <tableColumn id="9" name="pp_prev_2024_m" dataDxfId="485">
      <calculatedColumnFormula>pp_prev_T[[D_pp_prev_fy19]:[D_pp_prev_fy19]]*pp_prev_T[A_pp_prev_2024_m]</calculatedColumnFormula>
    </tableColumn>
    <tableColumn id="10" name="pp_prev_2529_f" dataDxfId="484">
      <calculatedColumnFormula>pp_prev_T[[D_pp_prev_fy19]:[D_pp_prev_fy19]]*pp_prev_T[A_pp_prev_2529_f]</calculatedColumnFormula>
    </tableColumn>
    <tableColumn id="11" name="pp_prev_2529_m" dataDxfId="483">
      <calculatedColumnFormula>pp_prev_T[[D_pp_prev_fy19]:[D_pp_prev_fy19]]*pp_prev_T[A_pp_prev_2529_m]</calculatedColumnFormula>
    </tableColumn>
    <tableColumn id="12" name="pp_prev_3034_f" dataDxfId="482">
      <calculatedColumnFormula>pp_prev_T[[D_pp_prev_fy19]:[D_pp_prev_fy19]]*pp_prev_T[A_pp_prev_3034_f]</calculatedColumnFormula>
    </tableColumn>
    <tableColumn id="13" name="pp_prev_3034_m" dataDxfId="481">
      <calculatedColumnFormula>pp_prev_T[[D_pp_prev_fy19]:[D_pp_prev_fy19]]*pp_prev_T[A_pp_prev_3034_m]</calculatedColumnFormula>
    </tableColumn>
    <tableColumn id="54" name="pp_prev_3539_f" dataDxfId="480">
      <calculatedColumnFormula>pp_prev_T[[D_pp_prev_fy19]:[D_pp_prev_fy19]]*pp_prev_T[A_pp_prev_3539_f]</calculatedColumnFormula>
    </tableColumn>
    <tableColumn id="14" name="pp_prev_3539_m" dataDxfId="479">
      <calculatedColumnFormula>pp_prev_T[[D_pp_prev_fy19]:[D_pp_prev_fy19]]*pp_prev_T[A_pp_prev_3539_m]</calculatedColumnFormula>
    </tableColumn>
    <tableColumn id="15" name="pp_prev_4049_f" dataDxfId="478">
      <calculatedColumnFormula>pp_prev_T[[D_pp_prev_fy19]:[D_pp_prev_fy19]]*pp_prev_T[A_pp_prev_4049_f]</calculatedColumnFormula>
    </tableColumn>
    <tableColumn id="16" name="pp_prev_4049_m" dataDxfId="477">
      <calculatedColumnFormula>pp_prev_T[[D_pp_prev_fy19]:[D_pp_prev_fy19]]*pp_prev_T[A_pp_prev_4049_m]</calculatedColumnFormula>
    </tableColumn>
    <tableColumn id="17" name="pp_prev_o50_f" dataDxfId="476">
      <calculatedColumnFormula>pp_prev_T[[D_pp_prev_fy19]:[D_pp_prev_fy19]]*pp_prev_T[A_pp_prev_o50_f]</calculatedColumnFormula>
    </tableColumn>
    <tableColumn id="18" name="pp_prev_o50_m" dataDxfId="475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29" name="prep_new_T" displayName="prep_new_T" ref="C6:AV7" totalsRowShown="0" headerRowDxfId="473" dataDxfId="472">
  <autoFilter ref="C6:AV7"/>
  <tableColumns count="46">
    <tableColumn id="1" name="psnu" dataDxfId="471"/>
    <tableColumn id="24" name="psnuuid" dataDxfId="470"/>
    <tableColumn id="2" name="priority" dataDxfId="469"/>
    <tableColumn id="21" name="mechid" dataDxfId="468"/>
    <tableColumn id="23" name="mechname" dataDxfId="467"/>
    <tableColumn id="4" name="type" dataDxfId="466"/>
    <tableColumn id="25" name="psnu_type" dataDxfId="465"/>
    <tableColumn id="26" name="A_prep_new_1519_f" dataDxfId="464"/>
    <tableColumn id="27" name="A_prep_new_1519_m" dataDxfId="463"/>
    <tableColumn id="28" name="A_prep_new_2024_f" dataDxfId="462"/>
    <tableColumn id="29" name="A_prep_new_2024_m" dataDxfId="461"/>
    <tableColumn id="30" name="A_prep_new_2529_f" dataDxfId="460"/>
    <tableColumn id="31" name="A_prep_new_2529_m" dataDxfId="459"/>
    <tableColumn id="32" name="A_prep_new_3034_f" dataDxfId="458"/>
    <tableColumn id="33" name="A_prep_new_3034_m" dataDxfId="457"/>
    <tableColumn id="34" name="A_prep_new_3539_f" dataDxfId="456"/>
    <tableColumn id="35" name="A_prep_new_3539_m" dataDxfId="455"/>
    <tableColumn id="36" name="A_prep_new_4049_f" dataDxfId="454"/>
    <tableColumn id="37" name="A_prep_new_4049_m" dataDxfId="453"/>
    <tableColumn id="38" name="A_prep_new_o50_f" dataDxfId="452"/>
    <tableColumn id="39" name="A_prep_new_o50_m" dataDxfId="451"/>
    <tableColumn id="40" name="A_prep_new_fsw" dataDxfId="450"/>
    <tableColumn id="41" name="A_prep_new_msm" dataDxfId="449"/>
    <tableColumn id="42" name="A_prep_new_oth_kp" dataDxfId="448"/>
    <tableColumn id="43" name="A_prep_new_tg" dataDxfId="447"/>
    <tableColumn id="44" name="A_check1" dataDxfId="446"/>
    <tableColumn id="45" name="A_check2" dataDxfId="445"/>
    <tableColumn id="5" name="D_prep_new_fy19" dataDxfId="444"/>
    <tableColumn id="20" name="prep_new_1519_f" dataDxfId="443">
      <calculatedColumnFormula>prep_new_T[[D_prep_new_fy19]:[D_prep_new_fy19]]*prep_new_T[A_prep_new_1519_f]</calculatedColumnFormula>
    </tableColumn>
    <tableColumn id="6" name="prep_new_1519_m" dataDxfId="442">
      <calculatedColumnFormula>prep_new_T[[D_prep_new_fy19]:[D_prep_new_fy19]]*prep_new_T[A_prep_new_1519_m]</calculatedColumnFormula>
    </tableColumn>
    <tableColumn id="22" name="prep_new_2024_f" dataDxfId="441">
      <calculatedColumnFormula>prep_new_T[[D_prep_new_fy19]:[D_prep_new_fy19]]*prep_new_T[A_prep_new_2024_f]</calculatedColumnFormula>
    </tableColumn>
    <tableColumn id="7" name="prep_new_2024_m" dataDxfId="440">
      <calculatedColumnFormula>prep_new_T[[D_prep_new_fy19]:[D_prep_new_fy19]]*prep_new_T[A_prep_new_2024_m]</calculatedColumnFormula>
    </tableColumn>
    <tableColumn id="8" name="prep_new_2529_f" dataDxfId="439">
      <calculatedColumnFormula>prep_new_T[[D_prep_new_fy19]:[D_prep_new_fy19]]*prep_new_T[A_prep_new_2529_f]</calculatedColumnFormula>
    </tableColumn>
    <tableColumn id="9" name="prep_new_2529_m" dataDxfId="438">
      <calculatedColumnFormula>prep_new_T[[D_prep_new_fy19]:[D_prep_new_fy19]]*prep_new_T[A_prep_new_2529_m]</calculatedColumnFormula>
    </tableColumn>
    <tableColumn id="10" name="prep_new_3034_f" dataDxfId="437">
      <calculatedColumnFormula>prep_new_T[[D_prep_new_fy19]:[D_prep_new_fy19]]*prep_new_T[A_prep_new_3034_f]</calculatedColumnFormula>
    </tableColumn>
    <tableColumn id="11" name="prep_new_3034_m" dataDxfId="436">
      <calculatedColumnFormula>prep_new_T[[D_prep_new_fy19]:[D_prep_new_fy19]]*prep_new_T[A_prep_new_3034_m]</calculatedColumnFormula>
    </tableColumn>
    <tableColumn id="12" name="prep_new_3539_f" dataDxfId="435">
      <calculatedColumnFormula>prep_new_T[[D_prep_new_fy19]:[D_prep_new_fy19]]*prep_new_T[A_prep_new_3539_f]</calculatedColumnFormula>
    </tableColumn>
    <tableColumn id="13" name="prep_new_3539_m" dataDxfId="434">
      <calculatedColumnFormula>prep_new_T[[D_prep_new_fy19]:[D_prep_new_fy19]]*prep_new_T[A_prep_new_3539_m]</calculatedColumnFormula>
    </tableColumn>
    <tableColumn id="54" name="prep_new_4049_f" dataDxfId="433">
      <calculatedColumnFormula>prep_new_T[[D_prep_new_fy19]:[D_prep_new_fy19]]*prep_new_T[A_prep_new_4049_f]</calculatedColumnFormula>
    </tableColumn>
    <tableColumn id="14" name="prep_new_4049_m" dataDxfId="432">
      <calculatedColumnFormula>prep_new_T[[D_prep_new_fy19]:[D_prep_new_fy19]]*prep_new_T[A_prep_new_4049_m]</calculatedColumnFormula>
    </tableColumn>
    <tableColumn id="15" name="prep_new_o50_f" dataDxfId="431">
      <calculatedColumnFormula>prep_new_T[[D_prep_new_fy19]:[D_prep_new_fy19]]*prep_new_T[A_prep_new_o50_f]</calculatedColumnFormula>
    </tableColumn>
    <tableColumn id="16" name="prep_new_o50_m" dataDxfId="430">
      <calculatedColumnFormula>prep_new_T[[D_prep_new_fy19]:[D_prep_new_fy19]]*prep_new_T[A_prep_new_o50_m]</calculatedColumnFormula>
    </tableColumn>
    <tableColumn id="3" name="prep_new_fsw" dataDxfId="429">
      <calculatedColumnFormula>prep_new_T[[D_prep_new_fy19]:[D_prep_new_fy19]]*prep_new_T[A_prep_new_fsw]</calculatedColumnFormula>
    </tableColumn>
    <tableColumn id="19" name="prep_new_msm" dataDxfId="428">
      <calculatedColumnFormula>prep_new_T[[D_prep_new_fy19]:[D_prep_new_fy19]]*prep_new_T[A_prep_new_msm]</calculatedColumnFormula>
    </tableColumn>
    <tableColumn id="17" name="prep_new_oth_kp" dataDxfId="427">
      <calculatedColumnFormula>prep_new_T[[D_prep_new_fy19]:[D_prep_new_fy19]]*prep_new_T[A_prep_new_oth_kp]</calculatedColumnFormula>
    </tableColumn>
    <tableColumn id="18" name="prep_new_tg" dataDxfId="426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0" name="tb_stat_T" displayName="tb_stat_T" ref="C6:AC7" totalsRowShown="0" headerRowDxfId="423" dataDxfId="422">
  <autoFilter ref="C6:AC7"/>
  <tableColumns count="27">
    <tableColumn id="1" name="psnu" dataDxfId="421"/>
    <tableColumn id="52" name="psnuuid" dataDxfId="420"/>
    <tableColumn id="2" name="priority" dataDxfId="419"/>
    <tableColumn id="35" name="mechid" dataDxfId="418"/>
    <tableColumn id="36" name="mechname" dataDxfId="417"/>
    <tableColumn id="4" name="type" dataDxfId="416"/>
    <tableColumn id="53" name="psnu_type" dataDxfId="415"/>
    <tableColumn id="61" name="A_tb_stat_D_u15_f" dataDxfId="414"/>
    <tableColumn id="62" name="A_tb_stat_D_u15_m" dataDxfId="413"/>
    <tableColumn id="63" name="A_tb_stat_D_o15_f" dataDxfId="412"/>
    <tableColumn id="64" name="A_tb_stat_D_o15_m" dataDxfId="411"/>
    <tableColumn id="76" name="A_tb_stat_u15_f" dataDxfId="410"/>
    <tableColumn id="77" name="A_tb_stat_u15_m" dataDxfId="409"/>
    <tableColumn id="78" name="A_tb_stat_o15_f" dataDxfId="408"/>
    <tableColumn id="79" name="A_tb_stat_o15_m" dataDxfId="407"/>
    <tableColumn id="3" name="A_check1" dataDxfId="406">
      <calculatedColumnFormula>SUM(tb_stat_T[[#This Row],[A_tb_stat_D_u15_f]:[A_tb_stat_D_o15_m]])</calculatedColumnFormula>
    </tableColumn>
    <tableColumn id="5" name="A_check2" dataDxfId="405"/>
    <tableColumn id="56" name="D_tb_stat_D_fy19" dataDxfId="404"/>
    <tableColumn id="39" name="D_tb_stat_fy19" dataDxfId="403"/>
    <tableColumn id="27" name="tb_stat_D_u15_f" dataDxfId="402">
      <calculatedColumnFormula>tb_stat_T[[D_tb_stat_D_fy19]:[D_tb_stat_D_fy19]]*tb_stat_T[A_tb_stat_D_u15_f]</calculatedColumnFormula>
    </tableColumn>
    <tableColumn id="28" name="tb_stat_D_u15_m" dataDxfId="401">
      <calculatedColumnFormula>tb_stat_T[[D_tb_stat_D_fy19]:[D_tb_stat_D_fy19]]*tb_stat_T[A_tb_stat_D_u15_m]</calculatedColumnFormula>
    </tableColumn>
    <tableColumn id="29" name="tb_stat_D_o15_f" dataDxfId="400">
      <calculatedColumnFormula>tb_stat_T[[D_tb_stat_D_fy19]:[D_tb_stat_D_fy19]]*tb_stat_T[A_tb_stat_D_o15_f]</calculatedColumnFormula>
    </tableColumn>
    <tableColumn id="30" name="tb_stat_D_o15_m" dataDxfId="399">
      <calculatedColumnFormula>tb_stat_T[[D_tb_stat_D_fy19]:[D_tb_stat_D_fy19]]*tb_stat_T[A_tb_stat_D_o15_m]</calculatedColumnFormula>
    </tableColumn>
    <tableColumn id="48" name="tb_stat_u15_f_newneg" dataDxfId="398">
      <calculatedColumnFormula>tb_stat_T[[D_tb_stat_fy19]:[D_tb_stat_fy19]]*tb_stat_T[A_tb_stat_u15_f]</calculatedColumnFormula>
    </tableColumn>
    <tableColumn id="49" name="tb_stat_u15_m_newneg" dataDxfId="397">
      <calculatedColumnFormula>tb_stat_T[[D_tb_stat_fy19]:[D_tb_stat_fy19]]*tb_stat_T[A_tb_stat_u15_m]</calculatedColumnFormula>
    </tableColumn>
    <tableColumn id="50" name="tb_stat_o15_f_newneg" dataDxfId="396">
      <calculatedColumnFormula>tb_stat_T[[D_tb_stat_fy19]:[D_tb_stat_fy19]]*tb_stat_T[A_tb_stat_o15_f]</calculatedColumnFormula>
    </tableColumn>
    <tableColumn id="51" name="tb_stat_o15_m_newneg" dataDxfId="395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3" name="tb_art_T" displayName="tb_art_T" ref="C6:U7" totalsRowShown="0" headerRowDxfId="393" dataDxfId="392">
  <autoFilter ref="C6:U7"/>
  <tableColumns count="19">
    <tableColumn id="1" name="psnu" dataDxfId="391"/>
    <tableColumn id="52" name="psnuuid" dataDxfId="390"/>
    <tableColumn id="2" name="priority" dataDxfId="389"/>
    <tableColumn id="35" name="mechid" dataDxfId="388"/>
    <tableColumn id="36" name="mechname" dataDxfId="387"/>
    <tableColumn id="4" name="type" dataDxfId="386"/>
    <tableColumn id="53" name="psnu_type" dataDxfId="385"/>
    <tableColumn id="86" name="A_tb_art_u15_f_pos" dataDxfId="384"/>
    <tableColumn id="87" name="A_tb_art_u15_m_pos" dataDxfId="383"/>
    <tableColumn id="88" name="A_tb_art_o15_f_pos" dataDxfId="382"/>
    <tableColumn id="89" name="A_tb_art_o15_m_pos" dataDxfId="381"/>
    <tableColumn id="3" name="A_check1" dataDxfId="380"/>
    <tableColumn id="5" name="D_tb_art_fy19" dataDxfId="379"/>
    <tableColumn id="54" name="D_tb_art_new_fy19" dataDxfId="378"/>
    <tableColumn id="55" name="D_tb_art_already_fy19" dataDxfId="377"/>
    <tableColumn id="41" name="tb_art_u15_f_pos" dataDxfId="376">
      <calculatedColumnFormula>tb_art_T[[D_tb_art_fy19]:[D_tb_art_fy19]]*tb_art_T[A_tb_art_u15_f_pos]</calculatedColumnFormula>
    </tableColumn>
    <tableColumn id="6" name="tb_art_u15_m_pos" dataDxfId="375">
      <calculatedColumnFormula>tb_art_T[[D_tb_art_fy19]:[D_tb_art_fy19]]*tb_art_T[A_tb_art_u15_m_pos]</calculatedColumnFormula>
    </tableColumn>
    <tableColumn id="22" name="tb_art_o15_f_pos" dataDxfId="374">
      <calculatedColumnFormula>tb_art_T[[D_tb_art_fy19]:[D_tb_art_fy19]]*tb_art_T[A_tb_art_o15_f_pos]</calculatedColumnFormula>
    </tableColumn>
    <tableColumn id="7" name="tb_art_o15_m_pos" dataDxfId="373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4" name="tb_prev_T" displayName="tb_prev_T" ref="C6:AU7" totalsRowShown="0" headerRowDxfId="370" dataDxfId="369">
  <autoFilter ref="C6:AU7"/>
  <tableColumns count="45">
    <tableColumn id="1" name="psnu" dataDxfId="368"/>
    <tableColumn id="52" name="psnuuid" dataDxfId="367"/>
    <tableColumn id="2" name="priority" dataDxfId="366"/>
    <tableColumn id="35" name="mechid" dataDxfId="365"/>
    <tableColumn id="36" name="mechname" dataDxfId="364"/>
    <tableColumn id="4" name="type" dataDxfId="363"/>
    <tableColumn id="53" name="psnu_type" dataDxfId="362"/>
    <tableColumn id="92" name="A_tb_prev_D_u15_f_pos" dataDxfId="361"/>
    <tableColumn id="93" name="A_tb_prev_D_u15_m_pos" dataDxfId="360"/>
    <tableColumn id="94" name="A_tb_prev_D_o15_f_pos" dataDxfId="359"/>
    <tableColumn id="95" name="A_tb_prev_D_o15_m_pos" dataDxfId="358"/>
    <tableColumn id="96" name="A_tb_prev_D_alt_tpt_life_already_pos" dataDxfId="357"/>
    <tableColumn id="97" name="A_tb_prev_D_ipt_life_already_pos" dataDxfId="356"/>
    <tableColumn id="98" name="A_tb_prev_D_alt_tpt_life_new_pos" dataDxfId="355"/>
    <tableColumn id="99" name="A_tb_prev_D_ipt_life_new_pos" dataDxfId="354"/>
    <tableColumn id="100" name="A_tb_prev_u15_f_pos" dataDxfId="353"/>
    <tableColumn id="101" name="A_tb_prev_u15_m_pos" dataDxfId="352"/>
    <tableColumn id="102" name="A_tb_prev_o15_f_pos" dataDxfId="351"/>
    <tableColumn id="103" name="A_tb_prev_o15_m_pos" dataDxfId="350"/>
    <tableColumn id="104" name="A_tb_prev_alt_tpt_life_already_pos" dataDxfId="349"/>
    <tableColumn id="105" name="A_tb_prev_ipt_life_already_pos" dataDxfId="348"/>
    <tableColumn id="106" name="A_tb_prev_alt_tpt_life_new_pos" dataDxfId="347"/>
    <tableColumn id="107" name="A_tb_prev_ipt_life_new_pos" dataDxfId="346"/>
    <tableColumn id="5" name="A_check1" dataDxfId="345"/>
    <tableColumn id="6" name="A_check2" dataDxfId="344"/>
    <tableColumn id="7" name="A_check3" dataDxfId="343"/>
    <tableColumn id="8" name="A_check4" dataDxfId="342"/>
    <tableColumn id="37" name="D_tb_prev_D_fy19" dataDxfId="341"/>
    <tableColumn id="38" name="D_tb_prev_fy19" dataDxfId="340"/>
    <tableColumn id="3" name="tb_prev_D_u15_f_pos" dataDxfId="339">
      <calculatedColumnFormula>tb_prev_T[[D_tb_prev_D_fy19]:[D_tb_prev_D_fy19]]*tb_prev_T[A_tb_prev_D_u15_f_pos]</calculatedColumnFormula>
    </tableColumn>
    <tableColumn id="9" name="tb_prev_D_u15_m_pos" dataDxfId="338">
      <calculatedColumnFormula>tb_prev_T[[D_tb_prev_D_fy19]:[D_tb_prev_D_fy19]]*tb_prev_T[A_tb_prev_D_u15_m_pos]</calculatedColumnFormula>
    </tableColumn>
    <tableColumn id="10" name="tb_prev_D_o15_f_pos" dataDxfId="337">
      <calculatedColumnFormula>tb_prev_T[[D_tb_prev_D_fy19]:[D_tb_prev_D_fy19]]*tb_prev_T[A_tb_prev_D_o15_f_pos]</calculatedColumnFormula>
    </tableColumn>
    <tableColumn id="11" name="tb_prev_D_o15_m_pos" dataDxfId="336">
      <calculatedColumnFormula>tb_prev_T[[D_tb_prev_D_fy19]:[D_tb_prev_D_fy19]]*tb_prev_T[A_tb_prev_D_o15_m_pos]</calculatedColumnFormula>
    </tableColumn>
    <tableColumn id="13" name="tb_prev_D_alt_tpt_life_already_pos" dataDxfId="335">
      <calculatedColumnFormula>tb_prev_T[[D_tb_prev_D_fy19]:[D_tb_prev_D_fy19]]*tb_prev_T[A_tb_prev_D_alt_tpt_life_already_pos]</calculatedColumnFormula>
    </tableColumn>
    <tableColumn id="15" name="tb_prev_D_ipt_life_already_pos" dataDxfId="334">
      <calculatedColumnFormula>tb_prev_T[[D_tb_prev_D_fy19]:[D_tb_prev_D_fy19]]*tb_prev_T[A_tb_prev_D_ipt_life_already_pos]</calculatedColumnFormula>
    </tableColumn>
    <tableColumn id="14" name="tb_prev_D_alt_tpt_life_new_pos" dataDxfId="333">
      <calculatedColumnFormula>tb_prev_T[[D_tb_prev_D_fy19]:[D_tb_prev_D_fy19]]*tb_prev_T[A_tb_prev_D_alt_tpt_life_new_pos]</calculatedColumnFormula>
    </tableColumn>
    <tableColumn id="16" name="tb_prev_D_ipt_life_new_pos" dataDxfId="332">
      <calculatedColumnFormula>tb_prev_T[[D_tb_prev_D_fy19]:[D_tb_prev_D_fy19]]*tb_prev_T[A_tb_prev_D_ipt_life_new_pos]</calculatedColumnFormula>
    </tableColumn>
    <tableColumn id="17" name="tb_prev_u15_f_pos" dataDxfId="331">
      <calculatedColumnFormula>tb_prev_T[[D_tb_prev_fy19]:[D_tb_prev_fy19]]*tb_prev_T[A_tb_prev_u15_f_pos]</calculatedColumnFormula>
    </tableColumn>
    <tableColumn id="18" name="tb_prev_u15_m_pos" dataDxfId="330">
      <calculatedColumnFormula>tb_prev_T[[D_tb_prev_fy19]:[D_tb_prev_fy19]]*tb_prev_T[A_tb_prev_u15_m_pos]</calculatedColumnFormula>
    </tableColumn>
    <tableColumn id="19" name="tb_prev_o15_f_pos" dataDxfId="329">
      <calculatedColumnFormula>tb_prev_T[[D_tb_prev_fy19]:[D_tb_prev_fy19]]*tb_prev_T[A_tb_prev_o15_f_pos]</calculatedColumnFormula>
    </tableColumn>
    <tableColumn id="20" name="tb_prev_o15_m_pos" dataDxfId="328">
      <calculatedColumnFormula>tb_prev_T[[D_tb_prev_fy19]:[D_tb_prev_fy19]]*tb_prev_T[A_tb_prev_o15_m_pos]</calculatedColumnFormula>
    </tableColumn>
    <tableColumn id="23" name="tb_prev_alt_tpt_life_already_pos" dataDxfId="327">
      <calculatedColumnFormula>tb_prev_T[[D_tb_prev_fy19]:[D_tb_prev_fy19]]*tb_prev_T[A_tb_prev_alt_tpt_life_already_pos]</calculatedColumnFormula>
    </tableColumn>
    <tableColumn id="25" name="tb_prev_ipt_life_already_pos" dataDxfId="326">
      <calculatedColumnFormula>tb_prev_T[[D_tb_prev_fy19]:[D_tb_prev_fy19]]*tb_prev_T[A_tb_prev_ipt_life_already_pos]</calculatedColumnFormula>
    </tableColumn>
    <tableColumn id="24" name="tb_prev_alt_tpt_life_new_pos" dataDxfId="325">
      <calculatedColumnFormula>tb_prev_T[[D_tb_prev_fy19]:[D_tb_prev_fy19]]*tb_prev_T[A_tb_prev_alt_tpt_life_new_pos]</calculatedColumnFormula>
    </tableColumn>
    <tableColumn id="26" name="tb_prev_ipt_life_new_pos" dataDxfId="324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31" name="tx_curr_T" displayName="tx_curr_T" ref="C6:AX7" totalsRowShown="0" headerRowDxfId="322" dataDxfId="321">
  <autoFilter ref="C6:AX7"/>
  <tableColumns count="48">
    <tableColumn id="1" name="psnu" dataDxfId="320"/>
    <tableColumn id="26" name="psnuuid" dataDxfId="319"/>
    <tableColumn id="2" name="priority" dataDxfId="318"/>
    <tableColumn id="3" name="mechid" dataDxfId="317"/>
    <tableColumn id="21" name="mechname" dataDxfId="316"/>
    <tableColumn id="4" name="type" dataDxfId="315"/>
    <tableColumn id="27" name="psnu_type" dataDxfId="314"/>
    <tableColumn id="28" name="A_tx_curr_u1_unk_pos" dataDxfId="313"/>
    <tableColumn id="29" name="A_tx_curr_0109_unk_pos" dataDxfId="312"/>
    <tableColumn id="30" name="A_tx_curr_1014_f_pos" dataDxfId="311"/>
    <tableColumn id="31" name="A_tx_curr_1014_m_pos" dataDxfId="310"/>
    <tableColumn id="32" name="A_tx_curr_1519_f_pos" dataDxfId="309"/>
    <tableColumn id="33" name="A_tx_curr_1519_m_pos" dataDxfId="308"/>
    <tableColumn id="34" name="A_tx_curr_2024_f_pos" dataDxfId="307"/>
    <tableColumn id="35" name="A_tx_curr_2024_m_pos" dataDxfId="306"/>
    <tableColumn id="36" name="A_tx_curr_2529_f_pos" dataDxfId="305"/>
    <tableColumn id="37" name="A_tx_curr_2529_m_pos" dataDxfId="304"/>
    <tableColumn id="38" name="A_tx_curr_3034_f_pos" dataDxfId="303"/>
    <tableColumn id="39" name="A_tx_curr_3034_m_pos" dataDxfId="302"/>
    <tableColumn id="40" name="A_tx_curr_3539_f_pos" dataDxfId="301"/>
    <tableColumn id="41" name="A_tx_curr_3539_m_pos" dataDxfId="300"/>
    <tableColumn id="42" name="A_tx_curr_4049_f_pos" dataDxfId="299"/>
    <tableColumn id="43" name="A_tx_curr_4049_m_pos" dataDxfId="298"/>
    <tableColumn id="44" name="A_tx_curr_o50_f_pos" dataDxfId="297"/>
    <tableColumn id="45" name="A_tx_curr_o50_m_pos" dataDxfId="296"/>
    <tableColumn id="46" name="A_check1" dataDxfId="295"/>
    <tableColumn id="47" name="A_check2" dataDxfId="294"/>
    <tableColumn id="5" name="D_tx_curr_fy19" dataDxfId="293"/>
    <tableColumn id="24" name="D_tx_curr_u15_fy19" dataDxfId="292"/>
    <tableColumn id="25" name="D_tx_curr_o15_fy19" dataDxfId="291"/>
    <tableColumn id="23" name="tx_curr_u1_unk_pos" dataDxfId="290">
      <calculatedColumnFormula>tx_curr_T[[D_tx_curr_u15_fy19]:[D_tx_curr_u15_fy19]]*tx_curr_T[A_tx_curr_u1_unk_pos]</calculatedColumnFormula>
    </tableColumn>
    <tableColumn id="8" name="tx_curr_0109_unk_pos" dataDxfId="289">
      <calculatedColumnFormula>tx_curr_T[[D_tx_curr_u15_fy19]:[D_tx_curr_u15_fy19]]*tx_curr_T[A_tx_curr_0109_unk_pos]</calculatedColumnFormula>
    </tableColumn>
    <tableColumn id="11" name="tx_curr_1014_f_pos" dataDxfId="288">
      <calculatedColumnFormula>tx_curr_T[[D_tx_curr_u15_fy19]:[D_tx_curr_u15_fy19]]*tx_curr_T[A_tx_curr_1014_f_pos]</calculatedColumnFormula>
    </tableColumn>
    <tableColumn id="6" name="tx_curr_1014_m_pos" dataDxfId="287">
      <calculatedColumnFormula>tx_curr_T[[D_tx_curr_u15_fy19]:[D_tx_curr_u15_fy19]]*tx_curr_T[A_tx_curr_1014_m_pos]</calculatedColumnFormula>
    </tableColumn>
    <tableColumn id="22" name="tx_curr_1519_f_pos" dataDxfId="286">
      <calculatedColumnFormula>tx_curr_T[[D_tx_curr_o15_fy19]:[D_tx_curr_o15_fy19]]*tx_curr_T[A_tx_curr_1519_f_pos]</calculatedColumnFormula>
    </tableColumn>
    <tableColumn id="7" name="tx_curr_1519_m_pos" dataDxfId="285">
      <calculatedColumnFormula>tx_curr_T[[D_tx_curr_o15_fy19]:[D_tx_curr_o15_fy19]]*tx_curr_T[A_tx_curr_1519_m_pos]</calculatedColumnFormula>
    </tableColumn>
    <tableColumn id="9" name="tx_curr_2024_f_pos" dataDxfId="284">
      <calculatedColumnFormula>tx_curr_T[[D_tx_curr_o15_fy19]:[D_tx_curr_o15_fy19]]*tx_curr_T[A_tx_curr_2024_f_pos]</calculatedColumnFormula>
    </tableColumn>
    <tableColumn id="10" name="tx_curr_2024_m_pos" dataDxfId="283">
      <calculatedColumnFormula>tx_curr_T[[D_tx_curr_o15_fy19]:[D_tx_curr_o15_fy19]]*tx_curr_T[A_tx_curr_2024_m_pos]</calculatedColumnFormula>
    </tableColumn>
    <tableColumn id="12" name="tx_curr_2529_f_pos" dataDxfId="282">
      <calculatedColumnFormula>tx_curr_T[[D_tx_curr_o15_fy19]:[D_tx_curr_o15_fy19]]*tx_curr_T[A_tx_curr_2529_f_pos]</calculatedColumnFormula>
    </tableColumn>
    <tableColumn id="13" name="tx_curr_2529_m_pos" dataDxfId="281">
      <calculatedColumnFormula>tx_curr_T[[D_tx_curr_o15_fy19]:[D_tx_curr_o15_fy19]]*tx_curr_T[A_tx_curr_2529_m_pos]</calculatedColumnFormula>
    </tableColumn>
    <tableColumn id="54" name="tx_curr_3034_f_pos" dataDxfId="280">
      <calculatedColumnFormula>tx_curr_T[[D_tx_curr_o15_fy19]:[D_tx_curr_o15_fy19]]*tx_curr_T[A_tx_curr_3034_f_pos]</calculatedColumnFormula>
    </tableColumn>
    <tableColumn id="14" name="tx_curr_3034_m_pos" dataDxfId="279">
      <calculatedColumnFormula>tx_curr_T[[D_tx_curr_o15_fy19]:[D_tx_curr_o15_fy19]]*tx_curr_T[A_tx_curr_3034_m_pos]</calculatedColumnFormula>
    </tableColumn>
    <tableColumn id="15" name="tx_curr_3539_f_pos" dataDxfId="278">
      <calculatedColumnFormula>tx_curr_T[[D_tx_curr_o15_fy19]:[D_tx_curr_o15_fy19]]*tx_curr_T[A_tx_curr_3539_f_pos]</calculatedColumnFormula>
    </tableColumn>
    <tableColumn id="16" name="tx_curr_3539_m_pos" dataDxfId="277">
      <calculatedColumnFormula>tx_curr_T[[D_tx_curr_o15_fy19]:[D_tx_curr_o15_fy19]]*tx_curr_T[A_tx_curr_3539_m_pos]</calculatedColumnFormula>
    </tableColumn>
    <tableColumn id="17" name="tx_curr_4049_f_pos" dataDxfId="276">
      <calculatedColumnFormula>tx_curr_T[[D_tx_curr_o15_fy19]:[D_tx_curr_o15_fy19]]*tx_curr_T[A_tx_curr_4049_f_pos]</calculatedColumnFormula>
    </tableColumn>
    <tableColumn id="18" name="tx_curr_4049_m_pos" dataDxfId="275">
      <calculatedColumnFormula>tx_curr_T[[D_tx_curr_o15_fy19]:[D_tx_curr_o15_fy19]]*tx_curr_T[A_tx_curr_4049_m_pos]</calculatedColumnFormula>
    </tableColumn>
    <tableColumn id="19" name="tx_curr_o50_f_pos" dataDxfId="274">
      <calculatedColumnFormula>tx_curr_T[[D_tx_curr_o15_fy19]:[D_tx_curr_o15_fy19]]*tx_curr_T[A_tx_curr_o50_f_pos]</calculatedColumnFormula>
    </tableColumn>
    <tableColumn id="20" name="tx_curr_o50_m_pos" dataDxfId="273">
      <calculatedColumnFormula>tx_curr_T[[D_tx_curr_o15_fy19]:[D_tx_curr_o15_fy19]]*tx_curr_T[A_tx_curr_o50_m_pos]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9" name="tx_new_T" displayName="tx_new_T" ref="C6:BN7" totalsRowShown="0" headerRowDxfId="271" dataDxfId="270">
  <autoFilter ref="C6:BN7"/>
  <tableColumns count="64">
    <tableColumn id="1" name="psnu" dataDxfId="269"/>
    <tableColumn id="26" name="psnuuid" dataDxfId="268"/>
    <tableColumn id="2" name="priority" dataDxfId="267"/>
    <tableColumn id="3" name="mechid" dataDxfId="266"/>
    <tableColumn id="21" name="mechname" dataDxfId="265"/>
    <tableColumn id="4" name="type" dataDxfId="264"/>
    <tableColumn id="27" name="psnu_type" dataDxfId="263"/>
    <tableColumn id="28" name="A_tx_new_u01_unk_pos" dataDxfId="262"/>
    <tableColumn id="29" name="A_tx_new_0109_unk_pos" dataDxfId="261"/>
    <tableColumn id="30" name="A_tx_new_1014_f_pos" dataDxfId="260"/>
    <tableColumn id="31" name="A_tx_new_1014_m_pos" dataDxfId="259"/>
    <tableColumn id="32" name="A_tx_new_1519_f_pos" dataDxfId="258"/>
    <tableColumn id="33" name="A_tx_new_1519_m_pos" dataDxfId="257"/>
    <tableColumn id="34" name="A_tx_new_2024_f_pos" dataDxfId="256"/>
    <tableColumn id="35" name="A_tx_new_2024_m_pos" dataDxfId="255"/>
    <tableColumn id="36" name="A_tx_new_2529_f_pos" dataDxfId="254"/>
    <tableColumn id="37" name="A_tx_new_2529_m_pos" dataDxfId="253"/>
    <tableColumn id="38" name="A_tx_new_3034_f_pos" dataDxfId="252"/>
    <tableColumn id="39" name="A_tx_new_3034_m_pos" dataDxfId="251"/>
    <tableColumn id="40" name="A_tx_new_3539_f_pos" dataDxfId="250"/>
    <tableColumn id="41" name="A_tx_new_3539_m_pos" dataDxfId="249"/>
    <tableColumn id="42" name="A_tx_new_4049_f_pos" dataDxfId="248"/>
    <tableColumn id="43" name="A_tx_new_4049_m_pos" dataDxfId="247"/>
    <tableColumn id="44" name="A_tx_new_o50_f_pos" dataDxfId="246"/>
    <tableColumn id="45" name="A_tx_new_o50_m_pos" dataDxfId="245"/>
    <tableColumn id="46" name="A_tx_new_fsw_pos" dataDxfId="244"/>
    <tableColumn id="47" name="A_tx_new_msm_pos" dataDxfId="243"/>
    <tableColumn id="48" name="A_tx_new_prison_pos" dataDxfId="242"/>
    <tableColumn id="49" name="A_tx_new_pwid_pos" dataDxfId="241"/>
    <tableColumn id="50" name="A_tx_new_tg_pos" dataDxfId="240"/>
    <tableColumn id="51" name="A_tx_new_bf_pos" dataDxfId="239"/>
    <tableColumn id="52" name="A_tx_new_preg_pos" dataDxfId="238"/>
    <tableColumn id="53" name="A_check1" dataDxfId="237"/>
    <tableColumn id="55" name="A_check2" dataDxfId="236"/>
    <tableColumn id="56" name="A_check3" dataDxfId="235"/>
    <tableColumn id="57" name="A_check4" dataDxfId="234"/>
    <tableColumn id="5" name="D_tx_new_fy19" dataDxfId="233"/>
    <tableColumn id="24" name="D_tx_new_u15_fy19" dataDxfId="232"/>
    <tableColumn id="25" name="D_tx_new_o15_fy19" dataDxfId="231"/>
    <tableColumn id="23" name="tx_new_u01_unk_pos" dataDxfId="230">
      <calculatedColumnFormula>tx_new_T[[D_tx_new_u15_fy19]:[D_tx_new_u15_fy19]]*tx_new_T[A_tx_new_u01_unk_pos]</calculatedColumnFormula>
    </tableColumn>
    <tableColumn id="8" name="tx_new_0109_unk_pos" dataDxfId="229">
      <calculatedColumnFormula>tx_new_T[[D_tx_new_u15_fy19]:[D_tx_new_u15_fy19]]*tx_new_T[A_tx_new_0109_unk_pos]</calculatedColumnFormula>
    </tableColumn>
    <tableColumn id="11" name="tx_new_1014_f_pos" dataDxfId="228">
      <calculatedColumnFormula>tx_new_T[[D_tx_new_u15_fy19]:[D_tx_new_u15_fy19]]*tx_new_T[A_tx_new_1014_f_pos]</calculatedColumnFormula>
    </tableColumn>
    <tableColumn id="6" name="tx_new_1014_m_pos" dataDxfId="227">
      <calculatedColumnFormula>tx_new_T[[D_tx_new_u15_fy19]:[D_tx_new_u15_fy19]]*tx_new_T[A_tx_new_1014_m_pos]</calculatedColumnFormula>
    </tableColumn>
    <tableColumn id="22" name="tx_new_1519_f_pos" dataDxfId="226">
      <calculatedColumnFormula>tx_new_T[[D_tx_new_o15_fy19]:[D_tx_new_o15_fy19]]*tx_new_T[A_tx_new_1519_f_pos]</calculatedColumnFormula>
    </tableColumn>
    <tableColumn id="7" name="tx_new_1519_m_pos" dataDxfId="225">
      <calculatedColumnFormula>tx_new_T[[D_tx_new_o15_fy19]:[D_tx_new_o15_fy19]]*tx_new_T[A_tx_new_1519_m_pos]</calculatedColumnFormula>
    </tableColumn>
    <tableColumn id="9" name="tx_new_2024_f_pos" dataDxfId="224">
      <calculatedColumnFormula>tx_new_T[[D_tx_new_o15_fy19]:[D_tx_new_o15_fy19]]*tx_new_T[A_tx_new_2024_f_pos]</calculatedColumnFormula>
    </tableColumn>
    <tableColumn id="10" name="tx_new_2024_m_pos" dataDxfId="223">
      <calculatedColumnFormula>tx_new_T[[D_tx_new_o15_fy19]:[D_tx_new_o15_fy19]]*tx_new_T[A_tx_new_2024_m_pos]</calculatedColumnFormula>
    </tableColumn>
    <tableColumn id="12" name="tx_new_2529_f_pos" dataDxfId="222">
      <calculatedColumnFormula>tx_new_T[[D_tx_new_o15_fy19]:[D_tx_new_o15_fy19]]*tx_new_T[A_tx_new_2529_f_pos]</calculatedColumnFormula>
    </tableColumn>
    <tableColumn id="13" name="tx_new_2529_m_pos" dataDxfId="221">
      <calculatedColumnFormula>tx_new_T[[D_tx_new_o15_fy19]:[D_tx_new_o15_fy19]]*tx_new_T[A_tx_new_2529_m_pos]</calculatedColumnFormula>
    </tableColumn>
    <tableColumn id="54" name="tx_new_3034_f_pos" dataDxfId="220">
      <calculatedColumnFormula>tx_new_T[[D_tx_new_o15_fy19]:[D_tx_new_o15_fy19]]*tx_new_T[A_tx_new_3034_f_pos]</calculatedColumnFormula>
    </tableColumn>
    <tableColumn id="14" name="tx_new_3034_m_pos" dataDxfId="219">
      <calculatedColumnFormula>tx_new_T[[D_tx_new_o15_fy19]:[D_tx_new_o15_fy19]]*tx_new_T[A_tx_new_3034_m_pos]</calculatedColumnFormula>
    </tableColumn>
    <tableColumn id="15" name="tx_new_3539_f_pos" dataDxfId="218">
      <calculatedColumnFormula>tx_new_T[[D_tx_new_o15_fy19]:[D_tx_new_o15_fy19]]*tx_new_T[A_tx_new_3539_f_pos]</calculatedColumnFormula>
    </tableColumn>
    <tableColumn id="16" name="tx_new_3539_m_pos" dataDxfId="217">
      <calculatedColumnFormula>tx_new_T[[D_tx_new_o15_fy19]:[D_tx_new_o15_fy19]]*tx_new_T[A_tx_new_3539_m_pos]</calculatedColumnFormula>
    </tableColumn>
    <tableColumn id="17" name="tx_new_4049_f_pos" dataDxfId="216">
      <calculatedColumnFormula>tx_new_T[[D_tx_new_o15_fy19]:[D_tx_new_o15_fy19]]*tx_new_T[A_tx_new_4049_f_pos]</calculatedColumnFormula>
    </tableColumn>
    <tableColumn id="18" name="tx_new_4049_m_pos" dataDxfId="215">
      <calculatedColumnFormula>tx_new_T[[D_tx_new_o15_fy19]:[D_tx_new_o15_fy19]]*tx_new_T[A_tx_new_4049_m_pos]</calculatedColumnFormula>
    </tableColumn>
    <tableColumn id="19" name="tx_new_o50_f_pos" dataDxfId="214">
      <calculatedColumnFormula>tx_new_T[[D_tx_new_o15_fy19]:[D_tx_new_o15_fy19]]*tx_new_T[A_tx_new_o50_f_pos]</calculatedColumnFormula>
    </tableColumn>
    <tableColumn id="20" name="tx_new_o50_m_pos" dataDxfId="213">
      <calculatedColumnFormula>tx_new_T[[D_tx_new_o15_fy19]:[D_tx_new_o15_fy19]]*tx_new_T[A_tx_new_o50_m_pos]</calculatedColumnFormula>
    </tableColumn>
    <tableColumn id="69" name="tx_new_fsw_pos" dataDxfId="212">
      <calculatedColumnFormula>tx_new_T[[D_tx_new_o15_fy19]:[D_tx_new_o15_fy19]]*tx_new_T[A_tx_new_fsw_pos]</calculatedColumnFormula>
    </tableColumn>
    <tableColumn id="70" name="tx_new_msm_pos" dataDxfId="211">
      <calculatedColumnFormula>tx_new_T[[D_tx_new_o15_fy19]:[D_tx_new_o15_fy19]]*tx_new_T[A_tx_new_msm_pos]</calculatedColumnFormula>
    </tableColumn>
    <tableColumn id="71" name="tx_new_prison_pos" dataDxfId="210">
      <calculatedColumnFormula>tx_new_T[[D_tx_new_o15_fy19]:[D_tx_new_o15_fy19]]*tx_new_T[A_tx_new_prison_pos]</calculatedColumnFormula>
    </tableColumn>
    <tableColumn id="72" name="tx_new_pwid_pos" dataDxfId="209">
      <calculatedColumnFormula>tx_new_T[[D_tx_new_o15_fy19]:[D_tx_new_o15_fy19]]*tx_new_T[A_tx_new_pwid_pos]</calculatedColumnFormula>
    </tableColumn>
    <tableColumn id="73" name="tx_new_tg_pos" dataDxfId="208">
      <calculatedColumnFormula>tx_new_T[[D_tx_new_o15_fy19]:[D_tx_new_o15_fy19]]*tx_new_T[A_tx_new_tg_pos]</calculatedColumnFormula>
    </tableColumn>
    <tableColumn id="74" name="tx_new_bf_pos" dataDxfId="207">
      <calculatedColumnFormula>tx_new_T[[D_tx_new_o15_fy19]:[D_tx_new_o15_fy19]]*tx_new_T[A_tx_new_bf_pos]</calculatedColumnFormula>
    </tableColumn>
    <tableColumn id="75" name="tx_new_preg_pos" dataDxfId="206">
      <calculatedColumnFormula>tx_new_T[[D_tx_new_o15_fy19]:[D_tx_new_o15_fy19]]*tx_new_T[A_tx_new_preg_pos]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5" name="tx_pvls_T" displayName="tx_pvls_T" ref="C6:AP7" totalsRowShown="0" headerRowDxfId="204" dataDxfId="203">
  <autoFilter ref="C6:AP7"/>
  <tableColumns count="40">
    <tableColumn id="1" name="psnu" dataDxfId="202"/>
    <tableColumn id="24" name="psnuuid" dataDxfId="201"/>
    <tableColumn id="2" name="priority" dataDxfId="200"/>
    <tableColumn id="3" name="mechid" dataDxfId="199"/>
    <tableColumn id="21" name="mechname" dataDxfId="198"/>
    <tableColumn id="4" name="type" dataDxfId="197"/>
    <tableColumn id="16" name="psnu_type" dataDxfId="196"/>
    <tableColumn id="17" name="A_tx_pvls_D_u15_f_rtn" dataDxfId="195"/>
    <tableColumn id="18" name="A_tx_pvls_D_u15_f_targeted" dataDxfId="194"/>
    <tableColumn id="19" name="A_tx_pvls_D_u15_f_undoctest" dataDxfId="193"/>
    <tableColumn id="20" name="A_tx_pvls_D_u15_m_rtn" dataDxfId="192"/>
    <tableColumn id="25" name="A_tx_pvls_D_u15_m_targeted" dataDxfId="191"/>
    <tableColumn id="26" name="A_tx_pvls_D_u15_m_undoctest" dataDxfId="190"/>
    <tableColumn id="27" name="A_tx_pvls_D_o15_f_rtn" dataDxfId="189"/>
    <tableColumn id="28" name="A_tx_pvls_D_o15_f_targeted" dataDxfId="188"/>
    <tableColumn id="29" name="A_tx_pvls_D_o15_f_undoctest" dataDxfId="187"/>
    <tableColumn id="30" name="A_tx_pvls_D_o15_m_rtn" dataDxfId="186"/>
    <tableColumn id="31" name="A_tx_pvls_D_o15_m_targeted" dataDxfId="185"/>
    <tableColumn id="32" name="A_tx_pvls_D_o15_m_undoctest" dataDxfId="184"/>
    <tableColumn id="33" name="A_tx_pvls_D_rtn_pos" dataDxfId="183"/>
    <tableColumn id="34" name="A_tx_pvls_D_targeted_pos" dataDxfId="182"/>
    <tableColumn id="35" name="A_tx_pvls_D_undoctest_pos" dataDxfId="181"/>
    <tableColumn id="15" name="A_check1" dataDxfId="180"/>
    <tableColumn id="36" name="A_check2" dataDxfId="179"/>
    <tableColumn id="5" name="D_tx_pvls_D_fy19" dataDxfId="178"/>
    <tableColumn id="23" name="tx_pvls_D_u15_f_rtn" dataDxfId="177">
      <calculatedColumnFormula>tx_pvls_T[[D_tx_pvls_D_fy19]:[D_tx_pvls_D_fy19]]*tx_pvls_T[A_tx_pvls_D_u15_f_rtn]</calculatedColumnFormula>
    </tableColumn>
    <tableColumn id="11" name="tx_pvls_D_u15_f_targeted" dataDxfId="176">
      <calculatedColumnFormula>tx_pvls_T[[D_tx_pvls_D_fy19]:[D_tx_pvls_D_fy19]]*tx_pvls_T[A_tx_pvls_D_u15_f_targeted]</calculatedColumnFormula>
    </tableColumn>
    <tableColumn id="6" name="tx_pvls_D_u15_f_undoctest" dataDxfId="175">
      <calculatedColumnFormula>tx_pvls_T[[D_tx_pvls_D_fy19]:[D_tx_pvls_D_fy19]]*tx_pvls_T[A_tx_pvls_D_u15_f_undoctest]</calculatedColumnFormula>
    </tableColumn>
    <tableColumn id="22" name="tx_pvls_D_u15_m_rtn" dataDxfId="174">
      <calculatedColumnFormula>tx_pvls_T[[D_tx_pvls_D_fy19]:[D_tx_pvls_D_fy19]]*tx_pvls_T[A_tx_pvls_D_u15_m_rtn]</calculatedColumnFormula>
    </tableColumn>
    <tableColumn id="7" name="tx_pvls_D_u15_m_targeted" dataDxfId="173">
      <calculatedColumnFormula>tx_pvls_T[[D_tx_pvls_D_fy19]:[D_tx_pvls_D_fy19]]*tx_pvls_T[A_tx_pvls_D_u15_m_targeted]</calculatedColumnFormula>
    </tableColumn>
    <tableColumn id="8" name="tx_pvls_D_u15_m_undoctest" dataDxfId="172">
      <calculatedColumnFormula>tx_pvls_T[[D_tx_pvls_D_fy19]:[D_tx_pvls_D_fy19]]*tx_pvls_T[A_tx_pvls_D_u15_m_undoctest]</calculatedColumnFormula>
    </tableColumn>
    <tableColumn id="9" name="tx_pvls_D_o15_f_rtn" dataDxfId="171">
      <calculatedColumnFormula>tx_pvls_T[[D_tx_pvls_D_fy19]:[D_tx_pvls_D_fy19]]*tx_pvls_T[A_tx_pvls_D_o15_f_rtn]</calculatedColumnFormula>
    </tableColumn>
    <tableColumn id="10" name="tx_pvls_D_o15_f_targeted" dataDxfId="170">
      <calculatedColumnFormula>tx_pvls_T[[D_tx_pvls_D_fy19]:[D_tx_pvls_D_fy19]]*tx_pvls_T[A_tx_pvls_D_o15_f_targeted]</calculatedColumnFormula>
    </tableColumn>
    <tableColumn id="12" name="tx_pvls_D_o15_f_undoctest" dataDxfId="169">
      <calculatedColumnFormula>tx_pvls_T[[D_tx_pvls_D_fy19]:[D_tx_pvls_D_fy19]]*tx_pvls_T[A_tx_pvls_D_o15_f_undoctest]</calculatedColumnFormula>
    </tableColumn>
    <tableColumn id="13" name="tx_pvls_D_o15_m_rtn" dataDxfId="168">
      <calculatedColumnFormula>tx_pvls_T[[D_tx_pvls_D_fy19]:[D_tx_pvls_D_fy19]]*tx_pvls_T[A_tx_pvls_D_o15_m_rtn]</calculatedColumnFormula>
    </tableColumn>
    <tableColumn id="54" name="tx_pvls_D_o15_m_targeted" dataDxfId="167">
      <calculatedColumnFormula>tx_pvls_T[[D_tx_pvls_D_fy19]:[D_tx_pvls_D_fy19]]*tx_pvls_T[A_tx_pvls_D_o15_m_targeted]</calculatedColumnFormula>
    </tableColumn>
    <tableColumn id="14" name="tx_pvls_D_o15_m_undoctest" dataDxfId="166">
      <calculatedColumnFormula>tx_pvls_T[[D_tx_pvls_D_fy19]:[D_tx_pvls_D_fy19]]*tx_pvls_T[A_tx_pvls_D_o15_m_undoctest]</calculatedColumnFormula>
    </tableColumn>
    <tableColumn id="69" name="tx_pvls_D_rtn_pos" dataDxfId="165">
      <calculatedColumnFormula>SUMIF($AB$4:$AM$4,"*Routine",tx_pvls_T[[#This Row],[tx_pvls_D_u15_f_rtn]:[tx_pvls_D_o15_m_undoctest]])</calculatedColumnFormula>
    </tableColumn>
    <tableColumn id="70" name="tx_pvls_D_targeted_pos" dataDxfId="164">
      <calculatedColumnFormula>SUMIF($AB$4:$AM$4,"*Targeted",tx_pvls_T[[#This Row],[tx_pvls_D_u15_f_rtn]:[tx_pvls_D_o15_m_undoctest]])</calculatedColumnFormula>
    </tableColumn>
    <tableColumn id="71" name="tx_pvls_D_undoctest_pos" dataDxfId="163">
      <calculatedColumnFormula>SUMIF($AB$4:$AM$4,"*Undocumented*",tx_pvls_T[[#This Row],[tx_pvls_D_u15_f_rtn]:[tx_pvls_D_o15_m_undoctest]])</calculatedColumnFormula>
    </tableColumn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16" name="tx_ret_T" displayName="tx_ret_T" ref="C6:AS7" totalsRowShown="0" headerRowDxfId="160" dataDxfId="159">
  <autoFilter ref="C6:AS7"/>
  <tableColumns count="43">
    <tableColumn id="1" name="psnu" dataDxfId="158"/>
    <tableColumn id="5" name="psnuuid" dataDxfId="157"/>
    <tableColumn id="2" name="priority" dataDxfId="156"/>
    <tableColumn id="20" name="mechid" dataDxfId="155"/>
    <tableColumn id="21" name="mechname" dataDxfId="154"/>
    <tableColumn id="4" name="type" dataDxfId="153"/>
    <tableColumn id="10" name="psnu_type" dataDxfId="152"/>
    <tableColumn id="27" name="A_tx_ret_D_u15_f_pos" dataDxfId="151"/>
    <tableColumn id="28" name="A_tx_ret_D_u15_m_pos" dataDxfId="150"/>
    <tableColumn id="29" name="A_tx_ret_D_o15_f_pos" dataDxfId="149"/>
    <tableColumn id="30" name="A_tx_ret_D_o15_m_pos" dataDxfId="148"/>
    <tableColumn id="31" name="A_tx_ret_D_bf_pos" dataDxfId="147"/>
    <tableColumn id="32" name="A_tx_ret_D_preg_pos" dataDxfId="146"/>
    <tableColumn id="33" name="A_tx_ret_u15_f_pos" dataDxfId="145"/>
    <tableColumn id="34" name="A_tx_ret_u15_m_pos" dataDxfId="144"/>
    <tableColumn id="35" name="A_tx_ret_o15_f_pos" dataDxfId="143"/>
    <tableColumn id="36" name="A_tx_ret_o15_m_pos" dataDxfId="142"/>
    <tableColumn id="37" name="A_tx_ret_bf_pos" dataDxfId="141"/>
    <tableColumn id="38" name="A_tx_ret_preg_pos" dataDxfId="140"/>
    <tableColumn id="3" name="A_check1" dataDxfId="139"/>
    <tableColumn id="17" name="A_check2" dataDxfId="138"/>
    <tableColumn id="39" name="A_check3" dataDxfId="137"/>
    <tableColumn id="40" name="A_check4" dataDxfId="136"/>
    <tableColumn id="41" name="A_check5" dataDxfId="135"/>
    <tableColumn id="42" name="A_check6" dataDxfId="134"/>
    <tableColumn id="11" name="D_tx_ret_D_fy19" dataDxfId="133"/>
    <tableColumn id="23" name="D_tx_ret_u15_D_fy19" dataDxfId="132"/>
    <tableColumn id="25" name="D_tx_ret_o15_D_fy19" dataDxfId="131"/>
    <tableColumn id="18" name="D_tx_ret_fy19" dataDxfId="130"/>
    <tableColumn id="24" name="D_tx_ret_u15_fy19" dataDxfId="129"/>
    <tableColumn id="26" name="D_tx_ret_o15_fy19" dataDxfId="128"/>
    <tableColumn id="19" name="tx_ret_D_u15_f_pos" dataDxfId="127">
      <calculatedColumnFormula>tx_ret_T[[D_tx_ret_u15_D_fy19]:[D_tx_ret_u15_D_fy19]]*tx_ret_T[A_tx_ret_D_u15_f_pos]</calculatedColumnFormula>
    </tableColumn>
    <tableColumn id="6" name="tx_ret_D_u15_m_pos" dataDxfId="126">
      <calculatedColumnFormula>tx_ret_T[[D_tx_ret_u15_D_fy19]:[D_tx_ret_u15_D_fy19]]*tx_ret_T[A_tx_ret_D_u15_m_pos]</calculatedColumnFormula>
    </tableColumn>
    <tableColumn id="22" name="tx_ret_D_o15_f_pos" dataDxfId="125">
      <calculatedColumnFormula>tx_ret_T[[D_tx_ret_o15_D_fy19]:[D_tx_ret_o15_D_fy19]]*tx_ret_T[A_tx_ret_D_o15_f_pos]</calculatedColumnFormula>
    </tableColumn>
    <tableColumn id="7" name="tx_ret_D_o15_m_pos" dataDxfId="124">
      <calculatedColumnFormula>tx_ret_T[[D_tx_ret_o15_D_fy19]:[D_tx_ret_o15_D_fy19]]*tx_ret_T[A_tx_ret_D_o15_m_pos]</calculatedColumnFormula>
    </tableColumn>
    <tableColumn id="8" name="tx_ret_D_bf_pos" dataDxfId="123">
      <calculatedColumnFormula>tx_ret_T[[D_tx_ret_D_fy19]:[D_tx_ret_D_fy19]]*tx_ret_T[A_tx_ret_D_bf_pos]</calculatedColumnFormula>
    </tableColumn>
    <tableColumn id="9" name="tx_ret_D_preg_pos" dataDxfId="122">
      <calculatedColumnFormula>tx_ret_T[[D_tx_ret_D_fy19]:[D_tx_ret_D_fy19]]*tx_ret_T[A_tx_ret_D_preg_pos]</calculatedColumnFormula>
    </tableColumn>
    <tableColumn id="12" name="tx_ret_u15_f_pos" dataDxfId="121">
      <calculatedColumnFormula>tx_ret_T[[D_tx_ret_u15_fy19]:[D_tx_ret_u15_fy19]]*tx_ret_T[A_tx_ret_u15_f_pos]</calculatedColumnFormula>
    </tableColumn>
    <tableColumn id="13" name="tx_ret_u15_m_pos" dataDxfId="120">
      <calculatedColumnFormula>tx_ret_T[[D_tx_ret_u15_fy19]:[D_tx_ret_u15_fy19]]*tx_ret_T[A_tx_ret_u15_m_pos]</calculatedColumnFormula>
    </tableColumn>
    <tableColumn id="54" name="tx_ret_o15_f_pos" dataDxfId="119">
      <calculatedColumnFormula>tx_ret_T[[D_tx_ret_o15_fy19]:[D_tx_ret_o15_fy19]]*tx_ret_T[A_tx_ret_o15_f_pos]</calculatedColumnFormula>
    </tableColumn>
    <tableColumn id="14" name="tx_ret_o15_m_pos" dataDxfId="118">
      <calculatedColumnFormula>tx_ret_T[[D_tx_ret_o15_fy19]:[D_tx_ret_o15_fy19]]*tx_ret_T[A_tx_ret_o15_m_pos]</calculatedColumnFormula>
    </tableColumn>
    <tableColumn id="15" name="tx_ret_bf_pos" dataDxfId="117">
      <calculatedColumnFormula>tx_ret_T[[D_tx_ret_fy19]:[D_tx_ret_fy19]]*tx_ret_T[A_tx_ret_bf_pos]</calculatedColumnFormula>
    </tableColumn>
    <tableColumn id="16" name="tx_ret_preg_pos" dataDxfId="116">
      <calculatedColumnFormula>tx_ret_T[[D_tx_ret_fy19]:[D_tx_ret_fy19]]*tx_ret_T[A_tx_ret_preg_pos]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26" name="tx_tb_T" displayName="tx_tb_T" ref="C6:AL7" totalsRowShown="0" headerRowDxfId="114" dataDxfId="113">
  <autoFilter ref="C6:AL7"/>
  <tableColumns count="36">
    <tableColumn id="1" name="psnu" dataDxfId="112"/>
    <tableColumn id="18" name="psnuuid" dataDxfId="111"/>
    <tableColumn id="2" name="priority" dataDxfId="110"/>
    <tableColumn id="3" name="mechid" dataDxfId="109"/>
    <tableColumn id="16" name="mechname" dataDxfId="108"/>
    <tableColumn id="4" name="type" dataDxfId="107"/>
    <tableColumn id="19" name="psnu_type" dataDxfId="106"/>
    <tableColumn id="20" name="A_tx_tb_D_u15_f_pos" dataDxfId="105"/>
    <tableColumn id="21" name="A_tx_tb_D_u15_m_pos" dataDxfId="104"/>
    <tableColumn id="23" name="A_tx_tb_D_o15_f_pos" dataDxfId="103"/>
    <tableColumn id="24" name="A_tx_tb_D_o15_m_pos" dataDxfId="102"/>
    <tableColumn id="33" name="A_tx_tb_D_sent_pos" dataDxfId="101"/>
    <tableColumn id="25" name="A_tx_tb_D_oth_pos2" dataDxfId="100"/>
    <tableColumn id="26" name="A_tx_tb_D_smear_pos" dataDxfId="99"/>
    <tableColumn id="27" name="A_tx_tb_D_xpert_pos" dataDxfId="98"/>
    <tableColumn id="28" name="A_tx_tb_D_life_already_scrn_neg_pos" dataDxfId="97"/>
    <tableColumn id="29" name="A_tx_tb_D_life_already_scrn_pos_pos" dataDxfId="96"/>
    <tableColumn id="30" name="A_tx_tb_D_life_new_scrn_neg_pos" dataDxfId="95"/>
    <tableColumn id="31" name="A_tx_tb_D_life_new_scrn_pos_pos" dataDxfId="94"/>
    <tableColumn id="7" name="A_check1" dataDxfId="93"/>
    <tableColumn id="34" name="A_check2" dataDxfId="92">
      <calculatedColumnFormula>tx_tb_T[A_tx_tb_D_sent_pos]</calculatedColumnFormula>
    </tableColumn>
    <tableColumn id="8" name="A_check3" dataDxfId="91">
      <calculatedColumnFormula>SUM(tx_tb_T[[#This Row],[A_tx_tb_D_oth_pos2]:[A_tx_tb_D_xpert_pos]])</calculatedColumnFormula>
    </tableColumn>
    <tableColumn id="32" name="A_check4" dataDxfId="90"/>
    <tableColumn id="5" name="D_tx_tb_D_fy19" dataDxfId="89"/>
    <tableColumn id="17" name="tx_tb_D_u15_f_pos2" dataDxfId="88">
      <calculatedColumnFormula>tx_tb_T[[D_tx_tb_D_fy19]:[D_tx_tb_D_fy19]]*tx_tb_T[A_tx_tb_D_u15_f_pos]</calculatedColumnFormula>
    </tableColumn>
    <tableColumn id="11" name="tx_tb_D_u15_m_pos" dataDxfId="87">
      <calculatedColumnFormula>tx_tb_T[[D_tx_tb_D_fy19]:[D_tx_tb_D_fy19]]*tx_tb_T[A_tx_tb_D_u15_m_pos]</calculatedColumnFormula>
    </tableColumn>
    <tableColumn id="6" name="tx_tb_D_o15_f_pos" dataDxfId="86">
      <calculatedColumnFormula>tx_tb_T[[D_tx_tb_D_fy19]:[D_tx_tb_D_fy19]]*tx_tb_T[A_tx_tb_D_o15_f_pos]</calculatedColumnFormula>
    </tableColumn>
    <tableColumn id="22" name="tx_tb_D_o15_m_pos" dataDxfId="85">
      <calculatedColumnFormula>tx_tb_T[[D_tx_tb_D_fy19]:[D_tx_tb_D_fy19]]*tx_tb_T[A_tx_tb_D_o15_m_pos]</calculatedColumnFormula>
    </tableColumn>
    <tableColumn id="35" name="tx_tb_D_sent_pos" dataDxfId="84">
      <calculatedColumnFormula>tx_tb_T[[D_tx_tb_D_fy19]:[D_tx_tb_D_fy19]]*tx_tb_T[A_tx_tb_D_sent_pos]</calculatedColumnFormula>
    </tableColumn>
    <tableColumn id="9" name="tx_tb_D_oth_pos" dataDxfId="83">
      <calculatedColumnFormula>tx_tb_T[[tx_tb_D_sent_pos]:[tx_tb_D_sent_pos]]*tx_tb_T[A_tx_tb_D_oth_pos2]</calculatedColumnFormula>
    </tableColumn>
    <tableColumn id="10" name="tx_tb_D_smear_pos" dataDxfId="82">
      <calculatedColumnFormula>tx_tb_T[[tx_tb_D_sent_pos]:[tx_tb_D_sent_pos]]*tx_tb_T[A_tx_tb_D_smear_pos]</calculatedColumnFormula>
    </tableColumn>
    <tableColumn id="12" name="tx_tb_D_xpert_pos" dataDxfId="81">
      <calculatedColumnFormula>tx_tb_T[[tx_tb_D_sent_pos]:[tx_tb_D_sent_pos]]*tx_tb_T[A_tx_tb_D_xpert_pos]</calculatedColumnFormula>
    </tableColumn>
    <tableColumn id="13" name="tx_tb_D_life_already_scrn_neg_pos" dataDxfId="80">
      <calculatedColumnFormula>tx_tb_T[[D_tx_tb_D_fy19]:[D_tx_tb_D_fy19]]*tx_tb_T[A_tx_tb_D_life_already_scrn_neg_pos]</calculatedColumnFormula>
    </tableColumn>
    <tableColumn id="54" name="tx_tb_D_life_already_scrn_pos_pos" dataDxfId="79">
      <calculatedColumnFormula>tx_tb_T[[D_tx_tb_D_fy19]:[D_tx_tb_D_fy19]]*tx_tb_T[A_tx_tb_D_life_already_scrn_pos_pos]</calculatedColumnFormula>
    </tableColumn>
    <tableColumn id="14" name="tx_tb_D_life_new_scrn_neg_pos" dataDxfId="78">
      <calculatedColumnFormula>tx_tb_T[[D_tx_tb_D_fy19]:[D_tx_tb_D_fy19]]*tx_tb_T[A_tx_tb_D_life_new_scrn_neg_pos]</calculatedColumnFormula>
    </tableColumn>
    <tableColumn id="15" name="tx_tb_D_life_new_scrn_pos_pos" dataDxfId="77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33" name="vmmc_circ_T" displayName="vmmc_circ_T" ref="C6:AM7" totalsRowShown="0" headerRowDxfId="75" dataDxfId="74">
  <autoFilter ref="C6:AM7"/>
  <tableColumns count="37">
    <tableColumn id="1" name="psnu" dataDxfId="73"/>
    <tableColumn id="11" name="psnuuid" dataDxfId="72"/>
    <tableColumn id="2" name="priority" dataDxfId="71"/>
    <tableColumn id="3" name="mechid" dataDxfId="70"/>
    <tableColumn id="16" name="mechname" dataDxfId="69"/>
    <tableColumn id="4" name="type" dataDxfId="68"/>
    <tableColumn id="17" name="psnu_type" dataDxfId="67"/>
    <tableColumn id="22" name="A_vmmc_circ_1519_m" dataDxfId="66"/>
    <tableColumn id="24" name="A_vmmc_circ_2024_m" dataDxfId="65"/>
    <tableColumn id="25" name="A_vmmc_circ_2529_m" dataDxfId="64"/>
    <tableColumn id="26" name="A_vmmc_circ_u02mo_m" dataDxfId="63"/>
    <tableColumn id="27" name="A_vmmc_circ_02mo9_m" dataDxfId="62"/>
    <tableColumn id="28" name="A_vmmc_circ_1014_m" dataDxfId="61"/>
    <tableColumn id="29" name="A_vmmc_circ_3034_m" dataDxfId="60"/>
    <tableColumn id="30" name="A_vmmc_circ_3539_m" dataDxfId="59"/>
    <tableColumn id="31" name="A_vmmc_circ_4049_m" dataDxfId="58"/>
    <tableColumn id="32" name="A_vmmc_circ_o50_m" dataDxfId="57"/>
    <tableColumn id="33" name="A_vmmc_circ_device_m" dataDxfId="56"/>
    <tableColumn id="34" name="A_vmmc_circ_surg_m" dataDxfId="55"/>
    <tableColumn id="35" name="A_check1" dataDxfId="54"/>
    <tableColumn id="36" name="A_check2" dataDxfId="53"/>
    <tableColumn id="37" name="A_check3" dataDxfId="52"/>
    <tableColumn id="5" name="D_vmmc_circ_fy19" dataDxfId="51"/>
    <tableColumn id="18" name="D_vmmc_circ_1529_fy19" dataDxfId="50"/>
    <tableColumn id="19" name="D_vmmc_circ_othage_fy19" dataDxfId="49"/>
    <tableColumn id="6" name="vmmc_circ_1519_m" dataDxfId="48">
      <calculatedColumnFormula>vmmc_circ_T[[D_vmmc_circ_1529_fy19]:[D_vmmc_circ_1529_fy19]]*vmmc_circ_T[A_vmmc_circ_1519_m]</calculatedColumnFormula>
    </tableColumn>
    <tableColumn id="7" name="vmmc_circ_2024_m" dataDxfId="47">
      <calculatedColumnFormula>vmmc_circ_T[[D_vmmc_circ_1529_fy19]:[D_vmmc_circ_1529_fy19]]*vmmc_circ_T[A_vmmc_circ_2024_m]</calculatedColumnFormula>
    </tableColumn>
    <tableColumn id="9" name="vmmc_circ_2529_m" dataDxfId="46">
      <calculatedColumnFormula>vmmc_circ_T[[D_vmmc_circ_1529_fy19]:[D_vmmc_circ_1529_fy19]]*vmmc_circ_T[A_vmmc_circ_2529_m]</calculatedColumnFormula>
    </tableColumn>
    <tableColumn id="20" name="vmmc_circ_u02mo_m" dataDxfId="45">
      <calculatedColumnFormula>vmmc_circ_T[[D_vmmc_circ_othage_fy19]:[D_vmmc_circ_othage_fy19]]*vmmc_circ_T[A_vmmc_circ_u02mo_m]</calculatedColumnFormula>
    </tableColumn>
    <tableColumn id="21" name="vmmc_circ_02mo9_m" dataDxfId="44">
      <calculatedColumnFormula>vmmc_circ_T[[D_vmmc_circ_othage_fy19]:[D_vmmc_circ_othage_fy19]]*vmmc_circ_T[A_vmmc_circ_02mo9_m]</calculatedColumnFormula>
    </tableColumn>
    <tableColumn id="23" name="vmmc_circ_1014_m" dataDxfId="43">
      <calculatedColumnFormula>vmmc_circ_T[[D_vmmc_circ_othage_fy19]:[D_vmmc_circ_othage_fy19]]*vmmc_circ_T[A_vmmc_circ_1014_m]</calculatedColumnFormula>
    </tableColumn>
    <tableColumn id="10" name="vmmc_circ_3034_m" dataDxfId="42">
      <calculatedColumnFormula>vmmc_circ_T[[D_vmmc_circ_othage_fy19]:[D_vmmc_circ_othage_fy19]]*vmmc_circ_T[A_vmmc_circ_3034_m]</calculatedColumnFormula>
    </tableColumn>
    <tableColumn id="12" name="vmmc_circ_3539_m" dataDxfId="41">
      <calculatedColumnFormula>vmmc_circ_T[[D_vmmc_circ_othage_fy19]:[D_vmmc_circ_othage_fy19]]*vmmc_circ_T[A_vmmc_circ_3539_m]</calculatedColumnFormula>
    </tableColumn>
    <tableColumn id="8" name="vmmc_circ_4049_m" dataDxfId="40">
      <calculatedColumnFormula>vmmc_circ_T[[D_vmmc_circ_othage_fy19]:[D_vmmc_circ_othage_fy19]]*vmmc_circ_T[A_vmmc_circ_4049_m]</calculatedColumnFormula>
    </tableColumn>
    <tableColumn id="13" name="vmmc_circ_o50_m" dataDxfId="39">
      <calculatedColumnFormula>vmmc_circ_T[[D_vmmc_circ_othage_fy19]:[D_vmmc_circ_othage_fy19]]*vmmc_circ_T[A_vmmc_circ_o50_m]</calculatedColumnFormula>
    </tableColumn>
    <tableColumn id="14" name="vmmc_circ_device_m" dataDxfId="38">
      <calculatedColumnFormula>vmmc_circ_T[[D_vmmc_circ_fy19]:[D_vmmc_circ_fy19]]*vmmc_circ_T[A_vmmc_circ_device_m]</calculatedColumnFormula>
    </tableColumn>
    <tableColumn id="15" name="vmmc_circ_surg_m" dataDxfId="37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7" name="oth_T" displayName="oth_T" ref="C6:X7" totalsRowShown="0" headerRowDxfId="36" dataDxfId="35">
  <autoFilter ref="C6:X7"/>
  <tableColumns count="22">
    <tableColumn id="1" name="psnu" dataDxfId="34"/>
    <tableColumn id="18" name="psnuuid" dataDxfId="33"/>
    <tableColumn id="2" name="priority" dataDxfId="32"/>
    <tableColumn id="14" name="mechid" dataDxfId="31"/>
    <tableColumn id="15" name="mechname" dataDxfId="30"/>
    <tableColumn id="4" name="type" dataDxfId="29"/>
    <tableColumn id="21" name="psnu_type" dataDxfId="28"/>
    <tableColumn id="5" name="kp_prev_f_pwid" dataDxfId="27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6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5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4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3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2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21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20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9">
      <calculatedColumnFormula>kp_mat_T[kp_mat_f]</calculatedColumnFormula>
    </tableColumn>
    <tableColumn id="17" name="kp_mat_m" dataDxfId="18">
      <calculatedColumnFormula>kp_mat_T[kp_mat_m]</calculatedColumnFormula>
    </tableColumn>
    <tableColumn id="3" name="ovc_hivstat" dataDxfId="17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6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5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2mo_fy19 " dataDxfId="14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o2mo_fy19" dataDxfId="13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1" name="impatt" displayName="impatt" ref="C6:F7" totalsRowShown="0" headerRowDxfId="12" dataDxfId="11">
  <autoFilter ref="C6:F7"/>
  <tableColumns count="4">
    <tableColumn id="1" name="psnu" dataDxfId="10"/>
    <tableColumn id="18" name="psnuuid" dataDxfId="9"/>
    <tableColumn id="2" name="snu_priotization_fy19" dataDxfId="8"/>
    <tableColumn id="5" name="plhiv_fy19" dataDxfId="7"/>
  </tableColumns>
  <tableStyleInfo name="DP Table" showFirstColumn="0" showLastColumn="0" showRowStripes="1" showColumnStripes="0"/>
</table>
</file>

<file path=xl/tables/table20.xml><?xml version="1.0" encoding="utf-8"?>
<table xmlns="http://schemas.openxmlformats.org/spreadsheetml/2006/main" id="32" name="mech_followons" displayName="mech_followons" ref="C4:E5" totalsRowShown="0" headerRowDxfId="6" dataDxfId="5">
  <tableColumns count="3">
    <tableColumn id="1" name="Closing Out" dataDxfId="4"/>
    <tableColumn id="2" name="Follow on" dataDxfId="3"/>
    <tableColumn id="4" name="Notes" dataDxfId="2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topLeftCell="A4" zoomScale="80" zoomScaleNormal="80" workbookViewId="0">
      <selection activeCell="N53" sqref="N53:N54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3"/>
  <sheetViews>
    <sheetView zoomScaleNormal="100" workbookViewId="0">
      <pane ySplit="1" topLeftCell="A2" activePane="bottomLeft" state="frozen"/>
      <selection activeCell="F38" sqref="F38"/>
      <selection pane="bottomLeft" activeCell="B20" sqref="B20"/>
    </sheetView>
  </sheetViews>
  <sheetFormatPr defaultRowHeight="15" x14ac:dyDescent="0.25"/>
  <cols>
    <col min="2" max="2" width="37.42578125" bestFit="1" customWidth="1"/>
    <col min="4" max="4" width="9.140625" style="98"/>
    <col min="7" max="7" width="9.140625" style="104"/>
    <col min="9" max="9" width="29.28515625" customWidth="1"/>
    <col min="10" max="10" width="28.140625" style="104" customWidth="1"/>
    <col min="11" max="11" width="37" bestFit="1" customWidth="1"/>
  </cols>
  <sheetData>
    <row r="1" spans="1:11" x14ac:dyDescent="0.25">
      <c r="A1" s="21" t="s">
        <v>52</v>
      </c>
      <c r="B1" s="21" t="s">
        <v>838</v>
      </c>
      <c r="C1" s="21" t="s">
        <v>51</v>
      </c>
      <c r="D1" s="92" t="s">
        <v>50</v>
      </c>
      <c r="E1" s="21" t="s">
        <v>49</v>
      </c>
      <c r="F1" s="21" t="s">
        <v>48</v>
      </c>
      <c r="G1" s="21" t="s">
        <v>834</v>
      </c>
      <c r="H1" s="21" t="s">
        <v>839</v>
      </c>
      <c r="I1" s="4" t="s">
        <v>837</v>
      </c>
      <c r="J1" s="4" t="s">
        <v>835</v>
      </c>
      <c r="K1" s="21" t="s">
        <v>836</v>
      </c>
    </row>
    <row r="2" spans="1:11" x14ac:dyDescent="0.25">
      <c r="A2" s="104" t="s">
        <v>101</v>
      </c>
      <c r="B2" s="20" t="s">
        <v>808</v>
      </c>
      <c r="C2" s="20" t="s">
        <v>13</v>
      </c>
      <c r="D2" s="98" t="s">
        <v>809</v>
      </c>
      <c r="E2" s="20"/>
      <c r="F2" s="20" t="s">
        <v>139</v>
      </c>
      <c r="G2" s="105"/>
      <c r="H2" s="20" t="s">
        <v>38</v>
      </c>
      <c r="I2" s="104" t="s">
        <v>102</v>
      </c>
      <c r="J2" s="104" t="s">
        <v>103</v>
      </c>
      <c r="K2" s="104" t="s">
        <v>1177</v>
      </c>
    </row>
    <row r="3" spans="1:11" x14ac:dyDescent="0.25">
      <c r="A3" s="104" t="s">
        <v>101</v>
      </c>
      <c r="B3" s="20" t="s">
        <v>808</v>
      </c>
      <c r="C3" s="20" t="s">
        <v>13</v>
      </c>
      <c r="D3" s="98" t="s">
        <v>809</v>
      </c>
      <c r="E3" s="20"/>
      <c r="F3" s="20" t="s">
        <v>140</v>
      </c>
      <c r="G3" s="105"/>
      <c r="H3" s="20" t="s">
        <v>38</v>
      </c>
      <c r="I3" s="104" t="s">
        <v>102</v>
      </c>
      <c r="J3" s="104" t="s">
        <v>104</v>
      </c>
      <c r="K3" s="104" t="s">
        <v>1178</v>
      </c>
    </row>
    <row r="4" spans="1:11" x14ac:dyDescent="0.25">
      <c r="A4" s="104" t="s">
        <v>101</v>
      </c>
      <c r="B4" s="20" t="s">
        <v>808</v>
      </c>
      <c r="C4" s="20" t="s">
        <v>14</v>
      </c>
      <c r="D4" s="98" t="s">
        <v>809</v>
      </c>
      <c r="E4" s="20"/>
      <c r="F4" s="20" t="s">
        <v>139</v>
      </c>
      <c r="G4" s="105"/>
      <c r="H4" s="20" t="s">
        <v>38</v>
      </c>
      <c r="I4" s="104" t="s">
        <v>102</v>
      </c>
      <c r="J4" s="104" t="s">
        <v>105</v>
      </c>
      <c r="K4" s="104" t="s">
        <v>1179</v>
      </c>
    </row>
    <row r="5" spans="1:11" x14ac:dyDescent="0.25">
      <c r="A5" s="104" t="s">
        <v>101</v>
      </c>
      <c r="B5" s="20" t="s">
        <v>808</v>
      </c>
      <c r="C5" s="20" t="s">
        <v>14</v>
      </c>
      <c r="D5" s="98" t="s">
        <v>809</v>
      </c>
      <c r="E5" s="20"/>
      <c r="F5" s="20" t="s">
        <v>140</v>
      </c>
      <c r="G5" s="105"/>
      <c r="H5" s="20" t="s">
        <v>38</v>
      </c>
      <c r="I5" s="104" t="s">
        <v>102</v>
      </c>
      <c r="J5" s="104" t="s">
        <v>106</v>
      </c>
      <c r="K5" s="104" t="s">
        <v>1180</v>
      </c>
    </row>
    <row r="6" spans="1:11" x14ac:dyDescent="0.25">
      <c r="A6" s="104" t="s">
        <v>101</v>
      </c>
      <c r="B6" s="20" t="s">
        <v>808</v>
      </c>
      <c r="C6" s="20" t="s">
        <v>13</v>
      </c>
      <c r="D6" s="98" t="s">
        <v>8</v>
      </c>
      <c r="E6" s="20"/>
      <c r="F6" s="20" t="s">
        <v>139</v>
      </c>
      <c r="G6" s="105"/>
      <c r="H6" s="20" t="s">
        <v>38</v>
      </c>
      <c r="I6" s="104" t="s">
        <v>102</v>
      </c>
      <c r="J6" s="104" t="s">
        <v>107</v>
      </c>
      <c r="K6" s="104" t="s">
        <v>1181</v>
      </c>
    </row>
    <row r="7" spans="1:11" x14ac:dyDescent="0.25">
      <c r="A7" s="104" t="s">
        <v>101</v>
      </c>
      <c r="B7" s="20" t="s">
        <v>808</v>
      </c>
      <c r="C7" s="20" t="s">
        <v>13</v>
      </c>
      <c r="D7" s="98" t="s">
        <v>8</v>
      </c>
      <c r="E7" s="20"/>
      <c r="F7" s="20" t="s">
        <v>140</v>
      </c>
      <c r="G7" s="105"/>
      <c r="H7" s="20" t="s">
        <v>38</v>
      </c>
      <c r="I7" s="104" t="s">
        <v>102</v>
      </c>
      <c r="J7" s="104" t="s">
        <v>108</v>
      </c>
      <c r="K7" s="104" t="s">
        <v>1182</v>
      </c>
    </row>
    <row r="8" spans="1:11" x14ac:dyDescent="0.25">
      <c r="A8" s="104" t="s">
        <v>101</v>
      </c>
      <c r="B8" s="20" t="s">
        <v>808</v>
      </c>
      <c r="C8" s="20" t="s">
        <v>14</v>
      </c>
      <c r="D8" s="98" t="s">
        <v>8</v>
      </c>
      <c r="E8" s="20"/>
      <c r="F8" s="20" t="s">
        <v>139</v>
      </c>
      <c r="G8" s="105"/>
      <c r="H8" s="20" t="s">
        <v>38</v>
      </c>
      <c r="I8" s="104" t="s">
        <v>102</v>
      </c>
      <c r="J8" s="104" t="s">
        <v>109</v>
      </c>
      <c r="K8" s="104" t="s">
        <v>1183</v>
      </c>
    </row>
    <row r="9" spans="1:11" x14ac:dyDescent="0.25">
      <c r="A9" s="104" t="s">
        <v>101</v>
      </c>
      <c r="B9" s="20" t="s">
        <v>808</v>
      </c>
      <c r="C9" s="20" t="s">
        <v>14</v>
      </c>
      <c r="D9" s="98" t="s">
        <v>8</v>
      </c>
      <c r="E9" s="20"/>
      <c r="F9" s="20" t="s">
        <v>140</v>
      </c>
      <c r="G9" s="105"/>
      <c r="H9" s="20" t="s">
        <v>38</v>
      </c>
      <c r="I9" s="104" t="s">
        <v>102</v>
      </c>
      <c r="J9" s="104" t="s">
        <v>110</v>
      </c>
      <c r="K9" s="104" t="s">
        <v>1184</v>
      </c>
    </row>
    <row r="10" spans="1:11" x14ac:dyDescent="0.25">
      <c r="A10" s="104" t="s">
        <v>101</v>
      </c>
      <c r="B10" s="20" t="s">
        <v>808</v>
      </c>
      <c r="C10" s="20" t="s">
        <v>13</v>
      </c>
      <c r="D10" s="98" t="s">
        <v>9</v>
      </c>
      <c r="E10" s="20"/>
      <c r="F10" s="20" t="s">
        <v>139</v>
      </c>
      <c r="G10" s="105"/>
      <c r="H10" s="20" t="s">
        <v>38</v>
      </c>
      <c r="I10" s="104" t="s">
        <v>102</v>
      </c>
      <c r="J10" s="104" t="s">
        <v>111</v>
      </c>
      <c r="K10" s="104" t="s">
        <v>1185</v>
      </c>
    </row>
    <row r="11" spans="1:11" x14ac:dyDescent="0.25">
      <c r="A11" s="104" t="s">
        <v>101</v>
      </c>
      <c r="B11" s="20" t="s">
        <v>808</v>
      </c>
      <c r="C11" s="20" t="s">
        <v>13</v>
      </c>
      <c r="D11" s="98" t="s">
        <v>9</v>
      </c>
      <c r="E11" s="20"/>
      <c r="F11" s="20" t="s">
        <v>140</v>
      </c>
      <c r="G11" s="105"/>
      <c r="H11" s="20" t="s">
        <v>38</v>
      </c>
      <c r="I11" s="104" t="s">
        <v>102</v>
      </c>
      <c r="J11" s="104" t="s">
        <v>112</v>
      </c>
      <c r="K11" s="104" t="s">
        <v>1186</v>
      </c>
    </row>
    <row r="12" spans="1:11" x14ac:dyDescent="0.25">
      <c r="A12" s="104" t="s">
        <v>101</v>
      </c>
      <c r="B12" s="20" t="s">
        <v>808</v>
      </c>
      <c r="C12" s="20" t="s">
        <v>14</v>
      </c>
      <c r="D12" s="98" t="s">
        <v>9</v>
      </c>
      <c r="E12" s="20"/>
      <c r="F12" s="20" t="s">
        <v>139</v>
      </c>
      <c r="G12" s="105"/>
      <c r="H12" s="20" t="s">
        <v>38</v>
      </c>
      <c r="I12" s="104" t="s">
        <v>102</v>
      </c>
      <c r="J12" s="104" t="s">
        <v>113</v>
      </c>
      <c r="K12" s="104" t="s">
        <v>1187</v>
      </c>
    </row>
    <row r="13" spans="1:11" x14ac:dyDescent="0.25">
      <c r="A13" s="104" t="s">
        <v>101</v>
      </c>
      <c r="B13" s="20" t="s">
        <v>808</v>
      </c>
      <c r="C13" s="20" t="s">
        <v>14</v>
      </c>
      <c r="D13" s="98" t="s">
        <v>9</v>
      </c>
      <c r="E13" s="20"/>
      <c r="F13" s="20" t="s">
        <v>140</v>
      </c>
      <c r="G13" s="105"/>
      <c r="H13" s="20" t="s">
        <v>38</v>
      </c>
      <c r="I13" s="104" t="s">
        <v>102</v>
      </c>
      <c r="J13" s="104" t="s">
        <v>114</v>
      </c>
      <c r="K13" s="104" t="s">
        <v>1188</v>
      </c>
    </row>
    <row r="14" spans="1:11" x14ac:dyDescent="0.25">
      <c r="A14" s="104" t="s">
        <v>101</v>
      </c>
      <c r="B14" s="20" t="s">
        <v>808</v>
      </c>
      <c r="C14" s="20" t="s">
        <v>13</v>
      </c>
      <c r="D14" s="98" t="s">
        <v>19</v>
      </c>
      <c r="E14" s="20"/>
      <c r="F14" s="20" t="s">
        <v>139</v>
      </c>
      <c r="G14" s="105"/>
      <c r="H14" s="20" t="s">
        <v>38</v>
      </c>
      <c r="I14" s="104" t="s">
        <v>102</v>
      </c>
      <c r="J14" s="104" t="s">
        <v>115</v>
      </c>
      <c r="K14" s="104" t="s">
        <v>1189</v>
      </c>
    </row>
    <row r="15" spans="1:11" x14ac:dyDescent="0.25">
      <c r="A15" s="104" t="s">
        <v>101</v>
      </c>
      <c r="B15" s="20" t="s">
        <v>808</v>
      </c>
      <c r="C15" s="20" t="s">
        <v>13</v>
      </c>
      <c r="D15" s="98" t="s">
        <v>19</v>
      </c>
      <c r="E15" s="20"/>
      <c r="F15" s="20" t="s">
        <v>140</v>
      </c>
      <c r="G15" s="105"/>
      <c r="H15" s="20" t="s">
        <v>38</v>
      </c>
      <c r="I15" s="104" t="s">
        <v>102</v>
      </c>
      <c r="J15" s="104" t="s">
        <v>116</v>
      </c>
      <c r="K15" s="104" t="s">
        <v>1190</v>
      </c>
    </row>
    <row r="16" spans="1:11" x14ac:dyDescent="0.25">
      <c r="A16" s="104" t="s">
        <v>101</v>
      </c>
      <c r="B16" s="20" t="s">
        <v>808</v>
      </c>
      <c r="C16" s="20" t="s">
        <v>14</v>
      </c>
      <c r="D16" s="98" t="s">
        <v>19</v>
      </c>
      <c r="E16" s="20"/>
      <c r="F16" s="20" t="s">
        <v>139</v>
      </c>
      <c r="G16" s="105"/>
      <c r="H16" s="20" t="s">
        <v>38</v>
      </c>
      <c r="I16" s="104" t="s">
        <v>102</v>
      </c>
      <c r="J16" s="104" t="s">
        <v>117</v>
      </c>
      <c r="K16" s="104" t="s">
        <v>1191</v>
      </c>
    </row>
    <row r="17" spans="1:11" x14ac:dyDescent="0.25">
      <c r="A17" s="104" t="s">
        <v>101</v>
      </c>
      <c r="B17" s="20" t="s">
        <v>808</v>
      </c>
      <c r="C17" s="20" t="s">
        <v>14</v>
      </c>
      <c r="D17" s="98" t="s">
        <v>19</v>
      </c>
      <c r="E17" s="20"/>
      <c r="F17" s="20" t="s">
        <v>140</v>
      </c>
      <c r="G17" s="105"/>
      <c r="H17" s="20" t="s">
        <v>38</v>
      </c>
      <c r="I17" s="104" t="s">
        <v>102</v>
      </c>
      <c r="J17" s="104" t="s">
        <v>118</v>
      </c>
      <c r="K17" s="104" t="s">
        <v>1192</v>
      </c>
    </row>
    <row r="18" spans="1:11" x14ac:dyDescent="0.25">
      <c r="A18" s="104" t="s">
        <v>101</v>
      </c>
      <c r="B18" s="20"/>
      <c r="C18" s="20"/>
      <c r="E18" s="20"/>
      <c r="F18" s="20"/>
      <c r="G18" s="105"/>
      <c r="H18" s="20"/>
      <c r="I18" s="104" t="s">
        <v>102</v>
      </c>
      <c r="J18" s="104" t="s">
        <v>119</v>
      </c>
      <c r="K18" s="104" t="s">
        <v>1193</v>
      </c>
    </row>
    <row r="19" spans="1:11" x14ac:dyDescent="0.25">
      <c r="A19" s="104" t="s">
        <v>101</v>
      </c>
      <c r="B19" s="20"/>
      <c r="C19" s="20"/>
      <c r="E19" s="20"/>
      <c r="F19" s="20"/>
      <c r="G19" s="105"/>
      <c r="H19" s="20"/>
      <c r="I19" s="104" t="s">
        <v>102</v>
      </c>
      <c r="J19" s="104" t="s">
        <v>120</v>
      </c>
      <c r="K19" s="104" t="s">
        <v>1194</v>
      </c>
    </row>
    <row r="20" spans="1:11" x14ac:dyDescent="0.25">
      <c r="A20" s="104" t="s">
        <v>101</v>
      </c>
      <c r="B20" s="20"/>
      <c r="C20" s="20"/>
      <c r="E20" s="20"/>
      <c r="F20" s="20"/>
      <c r="G20" s="105"/>
      <c r="H20" s="20"/>
      <c r="I20" s="104" t="s">
        <v>102</v>
      </c>
      <c r="J20" s="104" t="s">
        <v>121</v>
      </c>
      <c r="K20" s="104" t="s">
        <v>1195</v>
      </c>
    </row>
    <row r="21" spans="1:11" x14ac:dyDescent="0.25">
      <c r="A21" s="104" t="s">
        <v>101</v>
      </c>
      <c r="B21" s="20"/>
      <c r="C21" s="20"/>
      <c r="E21" s="20"/>
      <c r="F21" s="20"/>
      <c r="G21" s="105"/>
      <c r="H21" s="20"/>
      <c r="I21" s="104" t="s">
        <v>102</v>
      </c>
      <c r="J21" s="104" t="s">
        <v>122</v>
      </c>
      <c r="K21" s="104" t="s">
        <v>1196</v>
      </c>
    </row>
    <row r="22" spans="1:11" x14ac:dyDescent="0.25">
      <c r="A22" s="104" t="s">
        <v>101</v>
      </c>
      <c r="H22" s="20"/>
      <c r="I22" s="104" t="s">
        <v>102</v>
      </c>
      <c r="J22" s="104" t="s">
        <v>123</v>
      </c>
      <c r="K22" s="104" t="s">
        <v>1197</v>
      </c>
    </row>
    <row r="23" spans="1:11" x14ac:dyDescent="0.25">
      <c r="A23" s="104" t="s">
        <v>101</v>
      </c>
      <c r="H23" s="20"/>
      <c r="I23" s="104" t="s">
        <v>102</v>
      </c>
      <c r="J23" s="104" t="s">
        <v>124</v>
      </c>
      <c r="K23" s="104" t="s">
        <v>1198</v>
      </c>
    </row>
    <row r="24" spans="1:11" x14ac:dyDescent="0.25">
      <c r="A24" s="104" t="s">
        <v>101</v>
      </c>
      <c r="H24" s="20"/>
      <c r="I24" s="104" t="s">
        <v>102</v>
      </c>
      <c r="J24" s="104" t="s">
        <v>125</v>
      </c>
      <c r="K24" s="104" t="s">
        <v>1199</v>
      </c>
    </row>
    <row r="25" spans="1:11" x14ac:dyDescent="0.25">
      <c r="A25" s="104" t="s">
        <v>101</v>
      </c>
      <c r="H25" s="20"/>
      <c r="I25" s="104" t="s">
        <v>102</v>
      </c>
      <c r="J25" s="104" t="s">
        <v>126</v>
      </c>
      <c r="K25" s="104" t="s">
        <v>1200</v>
      </c>
    </row>
    <row r="26" spans="1:11" x14ac:dyDescent="0.25">
      <c r="A26" s="104" t="s">
        <v>101</v>
      </c>
      <c r="H26" s="20"/>
      <c r="I26" s="104" t="s">
        <v>102</v>
      </c>
      <c r="J26" s="104" t="s">
        <v>127</v>
      </c>
      <c r="K26" s="104" t="s">
        <v>1201</v>
      </c>
    </row>
    <row r="27" spans="1:11" x14ac:dyDescent="0.25">
      <c r="A27" s="104" t="s">
        <v>101</v>
      </c>
      <c r="H27" s="20"/>
      <c r="I27" s="104" t="s">
        <v>102</v>
      </c>
      <c r="J27" s="104" t="s">
        <v>128</v>
      </c>
      <c r="K27" s="104" t="s">
        <v>1202</v>
      </c>
    </row>
    <row r="28" spans="1:11" x14ac:dyDescent="0.25">
      <c r="A28" s="104" t="s">
        <v>101</v>
      </c>
      <c r="H28" s="20"/>
      <c r="I28" s="104" t="s">
        <v>102</v>
      </c>
      <c r="J28" s="104" t="s">
        <v>129</v>
      </c>
      <c r="K28" s="104" t="s">
        <v>1203</v>
      </c>
    </row>
    <row r="29" spans="1:11" x14ac:dyDescent="0.25">
      <c r="A29" s="104" t="s">
        <v>101</v>
      </c>
      <c r="H29" s="20"/>
      <c r="I29" s="104" t="s">
        <v>102</v>
      </c>
      <c r="J29" s="104" t="s">
        <v>130</v>
      </c>
      <c r="K29" s="104" t="s">
        <v>1204</v>
      </c>
    </row>
    <row r="30" spans="1:11" x14ac:dyDescent="0.25">
      <c r="A30" s="104" t="s">
        <v>101</v>
      </c>
      <c r="B30" s="20"/>
      <c r="C30" s="20"/>
      <c r="E30" s="20"/>
      <c r="F30" s="20"/>
      <c r="G30" s="105"/>
      <c r="H30" s="20"/>
      <c r="I30" s="104" t="s">
        <v>102</v>
      </c>
      <c r="J30" s="104" t="s">
        <v>131</v>
      </c>
      <c r="K30" s="104" t="s">
        <v>1205</v>
      </c>
    </row>
    <row r="31" spans="1:11" x14ac:dyDescent="0.25">
      <c r="A31" s="104" t="s">
        <v>101</v>
      </c>
      <c r="B31" s="20"/>
      <c r="C31" s="20"/>
      <c r="E31" s="20"/>
      <c r="F31" s="20"/>
      <c r="G31" s="105"/>
      <c r="H31" s="20"/>
      <c r="I31" s="104" t="s">
        <v>102</v>
      </c>
      <c r="J31" s="104" t="s">
        <v>132</v>
      </c>
      <c r="K31" s="104" t="s">
        <v>1206</v>
      </c>
    </row>
    <row r="32" spans="1:11" x14ac:dyDescent="0.25">
      <c r="A32" s="104" t="s">
        <v>101</v>
      </c>
      <c r="B32" s="20"/>
      <c r="C32" s="20"/>
      <c r="E32" s="20"/>
      <c r="F32" s="20"/>
      <c r="G32" s="105"/>
      <c r="H32" s="20"/>
      <c r="I32" s="104" t="s">
        <v>102</v>
      </c>
      <c r="J32" s="104" t="s">
        <v>133</v>
      </c>
      <c r="K32" s="104" t="s">
        <v>1207</v>
      </c>
    </row>
    <row r="33" spans="1:11" x14ac:dyDescent="0.25">
      <c r="A33" s="104" t="s">
        <v>101</v>
      </c>
      <c r="B33" s="20"/>
      <c r="C33" s="20"/>
      <c r="E33" s="20"/>
      <c r="F33" s="20"/>
      <c r="G33" s="105"/>
      <c r="H33" s="20"/>
      <c r="I33" s="104" t="s">
        <v>102</v>
      </c>
      <c r="J33" s="104" t="s">
        <v>134</v>
      </c>
      <c r="K33" s="104" t="s">
        <v>1208</v>
      </c>
    </row>
    <row r="34" spans="1:11" x14ac:dyDescent="0.25">
      <c r="A34" s="104" t="s">
        <v>101</v>
      </c>
      <c r="B34" s="20" t="s">
        <v>808</v>
      </c>
      <c r="C34" s="20" t="s">
        <v>13</v>
      </c>
      <c r="D34" s="98" t="s">
        <v>21</v>
      </c>
      <c r="E34" s="20"/>
      <c r="F34" s="20" t="s">
        <v>139</v>
      </c>
      <c r="G34" s="105"/>
      <c r="H34" s="20" t="s">
        <v>38</v>
      </c>
      <c r="I34" s="104" t="s">
        <v>102</v>
      </c>
      <c r="J34" s="104" t="s">
        <v>135</v>
      </c>
      <c r="K34" s="104" t="s">
        <v>1209</v>
      </c>
    </row>
    <row r="35" spans="1:11" x14ac:dyDescent="0.25">
      <c r="A35" s="104" t="s">
        <v>101</v>
      </c>
      <c r="B35" s="20" t="s">
        <v>808</v>
      </c>
      <c r="C35" s="20" t="s">
        <v>13</v>
      </c>
      <c r="D35" s="98" t="s">
        <v>21</v>
      </c>
      <c r="E35" s="20"/>
      <c r="F35" s="20" t="s">
        <v>140</v>
      </c>
      <c r="G35" s="105"/>
      <c r="H35" s="20" t="s">
        <v>38</v>
      </c>
      <c r="I35" s="104" t="s">
        <v>102</v>
      </c>
      <c r="J35" s="104" t="s">
        <v>136</v>
      </c>
      <c r="K35" s="104" t="s">
        <v>1210</v>
      </c>
    </row>
    <row r="36" spans="1:11" x14ac:dyDescent="0.25">
      <c r="A36" s="104" t="s">
        <v>101</v>
      </c>
      <c r="B36" s="20" t="s">
        <v>808</v>
      </c>
      <c r="C36" s="20" t="s">
        <v>14</v>
      </c>
      <c r="D36" s="98" t="s">
        <v>21</v>
      </c>
      <c r="E36" s="20"/>
      <c r="F36" s="20" t="s">
        <v>139</v>
      </c>
      <c r="G36" s="105"/>
      <c r="H36" s="20" t="s">
        <v>38</v>
      </c>
      <c r="I36" s="104" t="s">
        <v>102</v>
      </c>
      <c r="J36" s="104" t="s">
        <v>137</v>
      </c>
      <c r="K36" s="104" t="s">
        <v>1211</v>
      </c>
    </row>
    <row r="37" spans="1:11" x14ac:dyDescent="0.25">
      <c r="A37" s="104" t="s">
        <v>101</v>
      </c>
      <c r="B37" s="20" t="s">
        <v>808</v>
      </c>
      <c r="C37" s="20" t="s">
        <v>14</v>
      </c>
      <c r="D37" s="98" t="s">
        <v>21</v>
      </c>
      <c r="E37" s="20"/>
      <c r="F37" s="20" t="s">
        <v>140</v>
      </c>
      <c r="G37" s="105"/>
      <c r="H37" s="20" t="s">
        <v>38</v>
      </c>
      <c r="I37" s="104" t="s">
        <v>102</v>
      </c>
      <c r="J37" s="104" t="s">
        <v>138</v>
      </c>
      <c r="K37" s="104" t="s">
        <v>1212</v>
      </c>
    </row>
    <row r="38" spans="1:11" x14ac:dyDescent="0.25">
      <c r="A38" s="165" t="s">
        <v>101</v>
      </c>
      <c r="B38" s="166" t="s">
        <v>431</v>
      </c>
      <c r="C38" s="166"/>
      <c r="D38" s="166"/>
      <c r="E38" s="166"/>
      <c r="F38" s="166"/>
      <c r="G38" s="166"/>
      <c r="H38" s="166" t="s">
        <v>38</v>
      </c>
      <c r="I38" s="165" t="s">
        <v>431</v>
      </c>
      <c r="J38" s="165" t="s">
        <v>431</v>
      </c>
      <c r="K38" s="165" t="s">
        <v>1213</v>
      </c>
    </row>
    <row r="39" spans="1:11" x14ac:dyDescent="0.25">
      <c r="A39" s="104" t="s">
        <v>143</v>
      </c>
      <c r="B39" s="20"/>
      <c r="C39" s="20"/>
      <c r="E39" s="20"/>
      <c r="F39" s="20"/>
      <c r="G39" s="105"/>
      <c r="H39" s="20"/>
      <c r="I39" s="104" t="s">
        <v>144</v>
      </c>
      <c r="J39" s="104" t="s">
        <v>148</v>
      </c>
      <c r="K39" s="104" t="s">
        <v>1214</v>
      </c>
    </row>
    <row r="40" spans="1:11" x14ac:dyDescent="0.25">
      <c r="A40" s="104" t="s">
        <v>143</v>
      </c>
      <c r="B40" s="20"/>
      <c r="C40" s="20"/>
      <c r="E40" s="20"/>
      <c r="F40" s="20"/>
      <c r="G40" s="105"/>
      <c r="H40" s="20"/>
      <c r="I40" s="104" t="s">
        <v>144</v>
      </c>
      <c r="J40" s="104" t="s">
        <v>149</v>
      </c>
      <c r="K40" s="104" t="s">
        <v>1215</v>
      </c>
    </row>
    <row r="41" spans="1:11" x14ac:dyDescent="0.25">
      <c r="A41" s="104" t="s">
        <v>143</v>
      </c>
      <c r="B41" s="20"/>
      <c r="C41" s="20"/>
      <c r="E41" s="20"/>
      <c r="F41" s="20"/>
      <c r="G41" s="105"/>
      <c r="H41" s="20"/>
      <c r="I41" s="104" t="s">
        <v>144</v>
      </c>
      <c r="J41" s="104" t="s">
        <v>150</v>
      </c>
      <c r="K41" s="104" t="s">
        <v>1216</v>
      </c>
    </row>
    <row r="42" spans="1:11" x14ac:dyDescent="0.25">
      <c r="A42" s="104" t="s">
        <v>143</v>
      </c>
      <c r="B42" s="20"/>
      <c r="C42" s="20"/>
      <c r="E42" s="20"/>
      <c r="F42" s="20"/>
      <c r="G42" s="105"/>
      <c r="H42" s="20"/>
      <c r="I42" s="104" t="s">
        <v>144</v>
      </c>
      <c r="J42" s="104" t="s">
        <v>151</v>
      </c>
      <c r="K42" s="104" t="s">
        <v>1217</v>
      </c>
    </row>
    <row r="43" spans="1:11" x14ac:dyDescent="0.25">
      <c r="A43" s="104" t="s">
        <v>143</v>
      </c>
      <c r="B43" s="20"/>
      <c r="C43" s="20"/>
      <c r="E43" s="20"/>
      <c r="F43" s="20"/>
      <c r="G43" s="105"/>
      <c r="H43" s="20"/>
      <c r="I43" s="104" t="s">
        <v>144</v>
      </c>
      <c r="J43" s="104" t="s">
        <v>152</v>
      </c>
      <c r="K43" s="104" t="s">
        <v>1218</v>
      </c>
    </row>
    <row r="44" spans="1:11" x14ac:dyDescent="0.25">
      <c r="A44" s="104" t="s">
        <v>143</v>
      </c>
      <c r="B44" s="20"/>
      <c r="C44" s="20"/>
      <c r="E44" s="20"/>
      <c r="F44" s="20"/>
      <c r="G44" s="105"/>
      <c r="H44" s="20"/>
      <c r="I44" s="104" t="s">
        <v>144</v>
      </c>
      <c r="J44" s="104" t="s">
        <v>153</v>
      </c>
      <c r="K44" s="104" t="s">
        <v>1219</v>
      </c>
    </row>
    <row r="45" spans="1:11" x14ac:dyDescent="0.25">
      <c r="A45" s="104" t="s">
        <v>143</v>
      </c>
      <c r="B45" s="20"/>
      <c r="C45" s="20"/>
      <c r="E45" s="20"/>
      <c r="F45" s="20"/>
      <c r="G45" s="105"/>
      <c r="H45" s="20"/>
      <c r="I45" s="104" t="s">
        <v>144</v>
      </c>
      <c r="J45" s="104" t="s">
        <v>154</v>
      </c>
      <c r="K45" s="104" t="s">
        <v>1220</v>
      </c>
    </row>
    <row r="46" spans="1:11" x14ac:dyDescent="0.25">
      <c r="A46" s="104" t="s">
        <v>143</v>
      </c>
      <c r="B46" s="20"/>
      <c r="C46" s="20"/>
      <c r="E46" s="20"/>
      <c r="F46" s="20"/>
      <c r="G46" s="105"/>
      <c r="H46" s="20"/>
      <c r="I46" s="104" t="s">
        <v>144</v>
      </c>
      <c r="J46" s="104" t="s">
        <v>155</v>
      </c>
      <c r="K46" s="104" t="s">
        <v>1221</v>
      </c>
    </row>
    <row r="47" spans="1:11" x14ac:dyDescent="0.25">
      <c r="A47" s="104" t="s">
        <v>143</v>
      </c>
      <c r="B47" s="20"/>
      <c r="C47" s="20"/>
      <c r="E47" s="20"/>
      <c r="F47" s="20"/>
      <c r="G47" s="105"/>
      <c r="H47" s="20"/>
      <c r="I47" s="104" t="s">
        <v>144</v>
      </c>
      <c r="J47" s="104" t="s">
        <v>156</v>
      </c>
      <c r="K47" s="104" t="s">
        <v>1222</v>
      </c>
    </row>
    <row r="48" spans="1:11" x14ac:dyDescent="0.25">
      <c r="A48" s="104" t="s">
        <v>143</v>
      </c>
      <c r="B48" s="20"/>
      <c r="C48" s="20"/>
      <c r="E48" s="20"/>
      <c r="F48" s="20"/>
      <c r="G48" s="105"/>
      <c r="H48" s="20"/>
      <c r="I48" s="104" t="s">
        <v>144</v>
      </c>
      <c r="J48" s="104" t="s">
        <v>157</v>
      </c>
      <c r="K48" s="104" t="s">
        <v>1223</v>
      </c>
    </row>
    <row r="49" spans="1:11" x14ac:dyDescent="0.25">
      <c r="A49" s="104" t="s">
        <v>143</v>
      </c>
      <c r="B49" s="20"/>
      <c r="C49" s="20"/>
      <c r="E49" s="20"/>
      <c r="F49" s="20"/>
      <c r="G49" s="105"/>
      <c r="H49" s="20"/>
      <c r="I49" s="104" t="s">
        <v>144</v>
      </c>
      <c r="J49" s="104" t="s">
        <v>158</v>
      </c>
      <c r="K49" s="104" t="s">
        <v>1224</v>
      </c>
    </row>
    <row r="50" spans="1:11" x14ac:dyDescent="0.25">
      <c r="A50" s="104" t="s">
        <v>143</v>
      </c>
      <c r="B50" s="20"/>
      <c r="C50" s="20"/>
      <c r="E50" s="20"/>
      <c r="F50" s="20"/>
      <c r="G50" s="105"/>
      <c r="H50" s="20"/>
      <c r="I50" s="104" t="s">
        <v>144</v>
      </c>
      <c r="J50" s="104" t="s">
        <v>159</v>
      </c>
      <c r="K50" s="104" t="s">
        <v>1225</v>
      </c>
    </row>
    <row r="51" spans="1:11" x14ac:dyDescent="0.25">
      <c r="A51" s="104" t="s">
        <v>143</v>
      </c>
      <c r="B51" s="20"/>
      <c r="C51" s="20"/>
      <c r="E51" s="20"/>
      <c r="F51" s="20"/>
      <c r="G51" s="105"/>
      <c r="H51" s="20"/>
      <c r="I51" s="104" t="s">
        <v>144</v>
      </c>
      <c r="J51" s="104" t="s">
        <v>160</v>
      </c>
      <c r="K51" s="104" t="s">
        <v>1226</v>
      </c>
    </row>
    <row r="52" spans="1:11" x14ac:dyDescent="0.25">
      <c r="A52" s="104" t="s">
        <v>143</v>
      </c>
      <c r="B52" s="20"/>
      <c r="C52" s="20"/>
      <c r="E52" s="20"/>
      <c r="F52" s="20"/>
      <c r="G52" s="105"/>
      <c r="H52" s="20"/>
      <c r="I52" s="104" t="s">
        <v>144</v>
      </c>
      <c r="J52" s="104" t="s">
        <v>161</v>
      </c>
      <c r="K52" s="104" t="s">
        <v>1227</v>
      </c>
    </row>
    <row r="53" spans="1:11" x14ac:dyDescent="0.25">
      <c r="A53" s="104" t="s">
        <v>143</v>
      </c>
      <c r="B53" s="20"/>
      <c r="C53" s="20"/>
      <c r="E53" s="20"/>
      <c r="F53" s="20"/>
      <c r="G53" s="105"/>
      <c r="H53" s="20"/>
      <c r="I53" s="104" t="s">
        <v>144</v>
      </c>
      <c r="J53" s="104" t="s">
        <v>162</v>
      </c>
      <c r="K53" s="104" t="s">
        <v>1228</v>
      </c>
    </row>
    <row r="54" spans="1:11" x14ac:dyDescent="0.25">
      <c r="A54" s="104" t="s">
        <v>143</v>
      </c>
      <c r="B54" s="20"/>
      <c r="C54" s="20"/>
      <c r="E54" s="20"/>
      <c r="F54" s="20"/>
      <c r="G54" s="105"/>
      <c r="H54" s="20"/>
      <c r="I54" s="104" t="s">
        <v>144</v>
      </c>
      <c r="J54" s="104" t="s">
        <v>163</v>
      </c>
      <c r="K54" s="104" t="s">
        <v>1229</v>
      </c>
    </row>
    <row r="55" spans="1:11" x14ac:dyDescent="0.25">
      <c r="A55" s="104" t="s">
        <v>143</v>
      </c>
      <c r="B55" s="20"/>
      <c r="C55" s="20"/>
      <c r="E55" s="20"/>
      <c r="F55" s="20"/>
      <c r="G55" s="105"/>
      <c r="H55" s="20"/>
      <c r="I55" s="104" t="s">
        <v>144</v>
      </c>
      <c r="J55" s="104" t="s">
        <v>164</v>
      </c>
      <c r="K55" s="104" t="s">
        <v>1230</v>
      </c>
    </row>
    <row r="56" spans="1:11" x14ac:dyDescent="0.25">
      <c r="A56" s="104" t="s">
        <v>143</v>
      </c>
      <c r="B56" s="20"/>
      <c r="C56" s="20"/>
      <c r="E56" s="20"/>
      <c r="F56" s="20"/>
      <c r="G56" s="105"/>
      <c r="H56" s="20"/>
      <c r="I56" s="104" t="s">
        <v>144</v>
      </c>
      <c r="J56" s="104" t="s">
        <v>165</v>
      </c>
      <c r="K56" s="104" t="s">
        <v>1231</v>
      </c>
    </row>
    <row r="57" spans="1:11" x14ac:dyDescent="0.25">
      <c r="A57" s="104" t="s">
        <v>143</v>
      </c>
      <c r="B57" s="20"/>
      <c r="C57" s="20"/>
      <c r="E57" s="20"/>
      <c r="F57" s="20"/>
      <c r="G57" s="105"/>
      <c r="H57" s="20"/>
      <c r="I57" s="104" t="s">
        <v>144</v>
      </c>
      <c r="J57" s="104" t="s">
        <v>166</v>
      </c>
      <c r="K57" s="104" t="s">
        <v>1232</v>
      </c>
    </row>
    <row r="58" spans="1:11" x14ac:dyDescent="0.25">
      <c r="A58" s="104" t="s">
        <v>143</v>
      </c>
      <c r="B58" s="20"/>
      <c r="C58" s="20"/>
      <c r="E58" s="20"/>
      <c r="F58" s="20"/>
      <c r="G58" s="105"/>
      <c r="H58" s="20"/>
      <c r="I58" s="104" t="s">
        <v>144</v>
      </c>
      <c r="J58" s="104" t="s">
        <v>167</v>
      </c>
      <c r="K58" s="104" t="s">
        <v>1233</v>
      </c>
    </row>
    <row r="59" spans="1:11" x14ac:dyDescent="0.25">
      <c r="A59" s="104" t="s">
        <v>143</v>
      </c>
      <c r="B59" s="20"/>
      <c r="C59" s="20"/>
      <c r="E59" s="20"/>
      <c r="F59" s="20"/>
      <c r="G59" s="105"/>
      <c r="H59" s="20"/>
      <c r="I59" s="104" t="s">
        <v>144</v>
      </c>
      <c r="J59" s="104" t="s">
        <v>168</v>
      </c>
      <c r="K59" s="104" t="s">
        <v>1234</v>
      </c>
    </row>
    <row r="60" spans="1:11" x14ac:dyDescent="0.25">
      <c r="A60" s="104" t="s">
        <v>143</v>
      </c>
      <c r="B60" s="20"/>
      <c r="C60" s="20"/>
      <c r="E60" s="20"/>
      <c r="F60" s="20"/>
      <c r="G60" s="105"/>
      <c r="H60" s="20"/>
      <c r="I60" s="104" t="s">
        <v>144</v>
      </c>
      <c r="J60" s="104" t="s">
        <v>169</v>
      </c>
      <c r="K60" s="104" t="s">
        <v>1235</v>
      </c>
    </row>
    <row r="61" spans="1:11" x14ac:dyDescent="0.25">
      <c r="A61" s="104" t="s">
        <v>143</v>
      </c>
      <c r="B61" s="20"/>
      <c r="C61" s="20"/>
      <c r="E61" s="20"/>
      <c r="F61" s="20"/>
      <c r="G61" s="105"/>
      <c r="H61" s="20"/>
      <c r="I61" s="104" t="s">
        <v>144</v>
      </c>
      <c r="J61" s="104" t="s">
        <v>170</v>
      </c>
      <c r="K61" s="104" t="s">
        <v>1236</v>
      </c>
    </row>
    <row r="62" spans="1:11" x14ac:dyDescent="0.25">
      <c r="A62" s="104" t="s">
        <v>143</v>
      </c>
      <c r="B62" s="20"/>
      <c r="C62" s="20"/>
      <c r="E62" s="20"/>
      <c r="F62" s="20"/>
      <c r="G62" s="105"/>
      <c r="H62" s="20"/>
      <c r="I62" s="104" t="s">
        <v>144</v>
      </c>
      <c r="J62" s="104" t="s">
        <v>171</v>
      </c>
      <c r="K62" s="104" t="s">
        <v>1237</v>
      </c>
    </row>
    <row r="63" spans="1:11" x14ac:dyDescent="0.25">
      <c r="A63" s="104" t="s">
        <v>143</v>
      </c>
      <c r="B63" s="20"/>
      <c r="C63" s="20"/>
      <c r="E63" s="20"/>
      <c r="F63" s="20"/>
      <c r="G63" s="105"/>
      <c r="H63" s="20"/>
      <c r="I63" s="104" t="s">
        <v>144</v>
      </c>
      <c r="J63" s="104" t="s">
        <v>172</v>
      </c>
      <c r="K63" s="104" t="s">
        <v>1238</v>
      </c>
    </row>
    <row r="64" spans="1:11" x14ac:dyDescent="0.25">
      <c r="A64" s="104" t="s">
        <v>143</v>
      </c>
      <c r="B64" s="20"/>
      <c r="C64" s="20"/>
      <c r="E64" s="20"/>
      <c r="F64" s="20"/>
      <c r="G64" s="105"/>
      <c r="H64" s="20"/>
      <c r="I64" s="104" t="s">
        <v>144</v>
      </c>
      <c r="J64" s="104" t="s">
        <v>173</v>
      </c>
      <c r="K64" s="104" t="s">
        <v>1239</v>
      </c>
    </row>
    <row r="65" spans="1:11" x14ac:dyDescent="0.25">
      <c r="A65" s="104" t="s">
        <v>143</v>
      </c>
      <c r="B65" s="20"/>
      <c r="C65" s="20"/>
      <c r="E65" s="20"/>
      <c r="F65" s="20"/>
      <c r="G65" s="105"/>
      <c r="H65" s="20"/>
      <c r="I65" s="104" t="s">
        <v>144</v>
      </c>
      <c r="J65" s="104" t="s">
        <v>174</v>
      </c>
      <c r="K65" s="104" t="s">
        <v>1240</v>
      </c>
    </row>
    <row r="66" spans="1:11" x14ac:dyDescent="0.25">
      <c r="A66" s="104" t="s">
        <v>143</v>
      </c>
      <c r="B66" s="20"/>
      <c r="C66" s="20"/>
      <c r="E66" s="20"/>
      <c r="F66" s="20"/>
      <c r="G66" s="105"/>
      <c r="H66" s="20"/>
      <c r="I66" s="104" t="s">
        <v>144</v>
      </c>
      <c r="J66" s="104" t="s">
        <v>175</v>
      </c>
      <c r="K66" s="104" t="s">
        <v>1241</v>
      </c>
    </row>
    <row r="67" spans="1:11" x14ac:dyDescent="0.25">
      <c r="A67" s="104" t="s">
        <v>143</v>
      </c>
      <c r="B67" s="20"/>
      <c r="C67" s="20"/>
      <c r="E67" s="20"/>
      <c r="F67" s="20"/>
      <c r="G67" s="105"/>
      <c r="H67" s="20"/>
      <c r="I67" s="104" t="s">
        <v>144</v>
      </c>
      <c r="J67" s="104" t="s">
        <v>176</v>
      </c>
      <c r="K67" s="104" t="s">
        <v>1242</v>
      </c>
    </row>
    <row r="68" spans="1:11" x14ac:dyDescent="0.25">
      <c r="A68" s="104" t="s">
        <v>143</v>
      </c>
      <c r="B68" s="20"/>
      <c r="C68" s="20"/>
      <c r="E68" s="20"/>
      <c r="F68" s="20"/>
      <c r="G68" s="105"/>
      <c r="H68" s="20"/>
      <c r="I68" s="104" t="s">
        <v>144</v>
      </c>
      <c r="J68" s="104" t="s">
        <v>177</v>
      </c>
      <c r="K68" s="104" t="s">
        <v>1243</v>
      </c>
    </row>
    <row r="69" spans="1:11" x14ac:dyDescent="0.25">
      <c r="A69" s="104" t="s">
        <v>143</v>
      </c>
      <c r="B69" s="20"/>
      <c r="C69" s="20"/>
      <c r="E69" s="20"/>
      <c r="F69" s="20"/>
      <c r="G69" s="105"/>
      <c r="H69" s="20"/>
      <c r="I69" s="104" t="s">
        <v>144</v>
      </c>
      <c r="J69" s="104" t="s">
        <v>178</v>
      </c>
      <c r="K69" s="104" t="s">
        <v>1244</v>
      </c>
    </row>
    <row r="70" spans="1:11" x14ac:dyDescent="0.25">
      <c r="A70" s="104" t="s">
        <v>143</v>
      </c>
      <c r="B70" s="20"/>
      <c r="C70" s="20"/>
      <c r="E70" s="20"/>
      <c r="F70" s="20"/>
      <c r="G70" s="105"/>
      <c r="H70" s="20"/>
      <c r="I70" s="104" t="s">
        <v>144</v>
      </c>
      <c r="J70" s="104" t="s">
        <v>179</v>
      </c>
      <c r="K70" s="104" t="s">
        <v>1245</v>
      </c>
    </row>
    <row r="71" spans="1:11" x14ac:dyDescent="0.25">
      <c r="A71" s="104" t="s">
        <v>143</v>
      </c>
      <c r="B71" s="20"/>
      <c r="C71" s="20"/>
      <c r="E71" s="20"/>
      <c r="F71" s="20"/>
      <c r="G71" s="105"/>
      <c r="H71" s="20"/>
      <c r="I71" s="104" t="s">
        <v>146</v>
      </c>
      <c r="J71" s="104" t="s">
        <v>182</v>
      </c>
      <c r="K71" s="104" t="s">
        <v>1246</v>
      </c>
    </row>
    <row r="72" spans="1:11" x14ac:dyDescent="0.25">
      <c r="A72" s="104" t="s">
        <v>143</v>
      </c>
      <c r="B72" s="20"/>
      <c r="C72" s="20"/>
      <c r="E72" s="20"/>
      <c r="F72" s="20"/>
      <c r="G72" s="105"/>
      <c r="H72" s="20"/>
      <c r="I72" s="104" t="s">
        <v>146</v>
      </c>
      <c r="J72" s="104" t="s">
        <v>183</v>
      </c>
      <c r="K72" s="104" t="s">
        <v>1247</v>
      </c>
    </row>
    <row r="73" spans="1:11" x14ac:dyDescent="0.25">
      <c r="A73" s="104" t="s">
        <v>143</v>
      </c>
      <c r="B73" s="20"/>
      <c r="C73" s="20"/>
      <c r="E73" s="20"/>
      <c r="F73" s="20"/>
      <c r="G73" s="105"/>
      <c r="H73" s="20"/>
      <c r="I73" s="104" t="s">
        <v>146</v>
      </c>
      <c r="J73" s="104" t="s">
        <v>184</v>
      </c>
      <c r="K73" s="104" t="s">
        <v>1248</v>
      </c>
    </row>
    <row r="74" spans="1:11" x14ac:dyDescent="0.25">
      <c r="A74" s="165" t="s">
        <v>143</v>
      </c>
      <c r="B74" s="166"/>
      <c r="C74" s="166"/>
      <c r="D74" s="166"/>
      <c r="E74" s="166"/>
      <c r="F74" s="166"/>
      <c r="G74" s="166"/>
      <c r="H74" s="166"/>
      <c r="I74" s="165" t="s">
        <v>147</v>
      </c>
      <c r="J74" s="165" t="s">
        <v>185</v>
      </c>
      <c r="K74" s="165" t="s">
        <v>1249</v>
      </c>
    </row>
    <row r="75" spans="1:11" x14ac:dyDescent="0.25">
      <c r="A75" s="165" t="s">
        <v>143</v>
      </c>
      <c r="B75" s="166"/>
      <c r="C75" s="166"/>
      <c r="D75" s="166"/>
      <c r="E75" s="166"/>
      <c r="F75" s="166"/>
      <c r="G75" s="166"/>
      <c r="H75" s="166"/>
      <c r="I75" s="165" t="s">
        <v>147</v>
      </c>
      <c r="J75" s="165" t="s">
        <v>186</v>
      </c>
      <c r="K75" s="165" t="s">
        <v>1250</v>
      </c>
    </row>
    <row r="76" spans="1:11" x14ac:dyDescent="0.25">
      <c r="A76" s="165" t="s">
        <v>143</v>
      </c>
      <c r="B76" s="166"/>
      <c r="C76" s="166"/>
      <c r="D76" s="166"/>
      <c r="E76" s="166"/>
      <c r="F76" s="166"/>
      <c r="G76" s="166"/>
      <c r="H76" s="166"/>
      <c r="I76" s="165" t="s">
        <v>147</v>
      </c>
      <c r="J76" s="165" t="s">
        <v>187</v>
      </c>
      <c r="K76" s="165" t="s">
        <v>1251</v>
      </c>
    </row>
    <row r="77" spans="1:11" x14ac:dyDescent="0.25">
      <c r="A77" s="165" t="s">
        <v>143</v>
      </c>
      <c r="B77" s="166"/>
      <c r="C77" s="166"/>
      <c r="D77" s="166"/>
      <c r="E77" s="166"/>
      <c r="F77" s="166"/>
      <c r="G77" s="166"/>
      <c r="H77" s="166"/>
      <c r="I77" s="165" t="s">
        <v>147</v>
      </c>
      <c r="J77" s="165" t="s">
        <v>188</v>
      </c>
      <c r="K77" s="165" t="s">
        <v>1252</v>
      </c>
    </row>
    <row r="78" spans="1:11" x14ac:dyDescent="0.25">
      <c r="A78" s="165" t="s">
        <v>143</v>
      </c>
      <c r="B78" s="166"/>
      <c r="C78" s="166"/>
      <c r="D78" s="166"/>
      <c r="E78" s="166"/>
      <c r="F78" s="166"/>
      <c r="G78" s="166"/>
      <c r="H78" s="166"/>
      <c r="I78" s="165" t="s">
        <v>147</v>
      </c>
      <c r="J78" s="165" t="s">
        <v>189</v>
      </c>
      <c r="K78" s="165" t="s">
        <v>1253</v>
      </c>
    </row>
    <row r="79" spans="1:11" x14ac:dyDescent="0.25">
      <c r="A79" s="165" t="s">
        <v>143</v>
      </c>
      <c r="B79" s="166"/>
      <c r="C79" s="166"/>
      <c r="D79" s="166"/>
      <c r="E79" s="166"/>
      <c r="F79" s="166"/>
      <c r="G79" s="166"/>
      <c r="H79" s="166"/>
      <c r="I79" s="165" t="s">
        <v>147</v>
      </c>
      <c r="J79" s="165" t="s">
        <v>190</v>
      </c>
      <c r="K79" s="165" t="s">
        <v>1254</v>
      </c>
    </row>
    <row r="80" spans="1:11" x14ac:dyDescent="0.25">
      <c r="A80" s="165" t="s">
        <v>143</v>
      </c>
      <c r="B80" s="166"/>
      <c r="C80" s="166"/>
      <c r="D80" s="166"/>
      <c r="E80" s="166"/>
      <c r="F80" s="166"/>
      <c r="G80" s="166"/>
      <c r="H80" s="166"/>
      <c r="I80" s="165" t="s">
        <v>147</v>
      </c>
      <c r="J80" s="165" t="s">
        <v>191</v>
      </c>
      <c r="K80" s="165" t="s">
        <v>1255</v>
      </c>
    </row>
    <row r="81" spans="1:11" x14ac:dyDescent="0.25">
      <c r="A81" s="165" t="s">
        <v>143</v>
      </c>
      <c r="B81" s="166"/>
      <c r="C81" s="166"/>
      <c r="D81" s="166"/>
      <c r="E81" s="166"/>
      <c r="F81" s="166"/>
      <c r="G81" s="166"/>
      <c r="H81" s="166"/>
      <c r="I81" s="165" t="s">
        <v>147</v>
      </c>
      <c r="J81" s="165" t="s">
        <v>192</v>
      </c>
      <c r="K81" s="165" t="s">
        <v>1256</v>
      </c>
    </row>
    <row r="82" spans="1:11" x14ac:dyDescent="0.25">
      <c r="A82" s="165" t="s">
        <v>143</v>
      </c>
      <c r="B82" s="166"/>
      <c r="C82" s="166"/>
      <c r="D82" s="166"/>
      <c r="E82" s="166"/>
      <c r="F82" s="166"/>
      <c r="G82" s="166"/>
      <c r="H82" s="166"/>
      <c r="I82" s="165" t="s">
        <v>147</v>
      </c>
      <c r="J82" s="165" t="s">
        <v>193</v>
      </c>
      <c r="K82" s="165" t="s">
        <v>1257</v>
      </c>
    </row>
    <row r="83" spans="1:11" x14ac:dyDescent="0.25">
      <c r="A83" s="165" t="s">
        <v>143</v>
      </c>
      <c r="B83" s="166"/>
      <c r="C83" s="166"/>
      <c r="D83" s="166"/>
      <c r="E83" s="166"/>
      <c r="F83" s="166"/>
      <c r="G83" s="166"/>
      <c r="H83" s="166"/>
      <c r="I83" s="165" t="s">
        <v>147</v>
      </c>
      <c r="J83" s="165" t="s">
        <v>194</v>
      </c>
      <c r="K83" s="165" t="s">
        <v>1258</v>
      </c>
    </row>
    <row r="84" spans="1:11" x14ac:dyDescent="0.25">
      <c r="A84" s="104" t="s">
        <v>25</v>
      </c>
      <c r="B84" s="73" t="s">
        <v>810</v>
      </c>
      <c r="C84" s="73"/>
      <c r="D84" s="98" t="s">
        <v>6</v>
      </c>
      <c r="E84" s="20"/>
      <c r="F84" s="20"/>
      <c r="G84" s="105"/>
      <c r="H84" s="20" t="s">
        <v>38</v>
      </c>
      <c r="I84" s="104" t="s">
        <v>758</v>
      </c>
      <c r="J84" s="104" t="s">
        <v>207</v>
      </c>
      <c r="K84" s="104" t="s">
        <v>1259</v>
      </c>
    </row>
    <row r="85" spans="1:11" x14ac:dyDescent="0.25">
      <c r="A85" s="104" t="s">
        <v>25</v>
      </c>
      <c r="B85" s="73" t="s">
        <v>810</v>
      </c>
      <c r="C85" s="73"/>
      <c r="D85" s="98" t="s">
        <v>7</v>
      </c>
      <c r="E85" s="20"/>
      <c r="F85" s="20"/>
      <c r="G85" s="105"/>
      <c r="H85" s="82" t="s">
        <v>38</v>
      </c>
      <c r="I85" s="104" t="s">
        <v>758</v>
      </c>
      <c r="J85" s="104" t="s">
        <v>214</v>
      </c>
      <c r="K85" s="104" t="s">
        <v>1260</v>
      </c>
    </row>
    <row r="86" spans="1:11" x14ac:dyDescent="0.25">
      <c r="A86" s="104" t="s">
        <v>25</v>
      </c>
      <c r="B86" s="20" t="s">
        <v>811</v>
      </c>
      <c r="C86" s="20" t="s">
        <v>13</v>
      </c>
      <c r="D86" s="98" t="s">
        <v>8</v>
      </c>
      <c r="E86" s="20"/>
      <c r="F86" s="20"/>
      <c r="G86" s="105"/>
      <c r="H86" s="82" t="s">
        <v>38</v>
      </c>
      <c r="I86" s="104" t="s">
        <v>758</v>
      </c>
      <c r="J86" s="104" t="s">
        <v>208</v>
      </c>
      <c r="K86" s="104" t="s">
        <v>1261</v>
      </c>
    </row>
    <row r="87" spans="1:11" x14ac:dyDescent="0.25">
      <c r="A87" s="104" t="s">
        <v>25</v>
      </c>
      <c r="B87" s="20" t="s">
        <v>811</v>
      </c>
      <c r="C87" s="20" t="s">
        <v>14</v>
      </c>
      <c r="D87" s="98" t="s">
        <v>8</v>
      </c>
      <c r="E87" s="20"/>
      <c r="F87" s="20"/>
      <c r="G87" s="105"/>
      <c r="H87" s="82" t="s">
        <v>38</v>
      </c>
      <c r="I87" s="104" t="s">
        <v>758</v>
      </c>
      <c r="J87" s="104" t="s">
        <v>209</v>
      </c>
      <c r="K87" s="104" t="s">
        <v>1262</v>
      </c>
    </row>
    <row r="88" spans="1:11" x14ac:dyDescent="0.25">
      <c r="A88" s="104" t="s">
        <v>25</v>
      </c>
      <c r="B88" s="20" t="s">
        <v>811</v>
      </c>
      <c r="C88" s="74" t="s">
        <v>13</v>
      </c>
      <c r="D88" s="98" t="s">
        <v>46</v>
      </c>
      <c r="E88" s="20"/>
      <c r="F88" s="20"/>
      <c r="G88" s="105"/>
      <c r="H88" s="82" t="s">
        <v>38</v>
      </c>
      <c r="I88" s="104" t="s">
        <v>758</v>
      </c>
      <c r="J88" s="104" t="s">
        <v>210</v>
      </c>
      <c r="K88" s="104" t="s">
        <v>1263</v>
      </c>
    </row>
    <row r="89" spans="1:11" x14ac:dyDescent="0.25">
      <c r="A89" s="104" t="s">
        <v>25</v>
      </c>
      <c r="B89" s="20" t="s">
        <v>811</v>
      </c>
      <c r="C89" s="74" t="s">
        <v>14</v>
      </c>
      <c r="D89" s="98" t="s">
        <v>46</v>
      </c>
      <c r="E89" s="20"/>
      <c r="F89" s="20"/>
      <c r="G89" s="105"/>
      <c r="H89" s="82" t="s">
        <v>38</v>
      </c>
      <c r="I89" s="104" t="s">
        <v>758</v>
      </c>
      <c r="J89" s="104" t="s">
        <v>211</v>
      </c>
      <c r="K89" s="104" t="s">
        <v>1264</v>
      </c>
    </row>
    <row r="90" spans="1:11" x14ac:dyDescent="0.25">
      <c r="A90" s="104" t="s">
        <v>25</v>
      </c>
      <c r="B90" s="20" t="s">
        <v>811</v>
      </c>
      <c r="C90" s="74" t="s">
        <v>13</v>
      </c>
      <c r="D90" s="98" t="s">
        <v>45</v>
      </c>
      <c r="E90" s="20"/>
      <c r="F90" s="20"/>
      <c r="G90" s="105"/>
      <c r="H90" s="82" t="s">
        <v>38</v>
      </c>
      <c r="I90" s="104" t="s">
        <v>759</v>
      </c>
      <c r="J90" s="104" t="s">
        <v>212</v>
      </c>
      <c r="K90" s="104" t="s">
        <v>1265</v>
      </c>
    </row>
    <row r="91" spans="1:11" x14ac:dyDescent="0.25">
      <c r="A91" s="104" t="s">
        <v>25</v>
      </c>
      <c r="B91" s="20" t="s">
        <v>811</v>
      </c>
      <c r="C91" s="74" t="s">
        <v>14</v>
      </c>
      <c r="D91" s="98" t="s">
        <v>45</v>
      </c>
      <c r="E91" s="20"/>
      <c r="F91" s="20"/>
      <c r="G91" s="105"/>
      <c r="H91" s="82" t="s">
        <v>38</v>
      </c>
      <c r="I91" s="104" t="s">
        <v>759</v>
      </c>
      <c r="J91" s="104" t="s">
        <v>213</v>
      </c>
      <c r="K91" s="104" t="s">
        <v>1266</v>
      </c>
    </row>
    <row r="92" spans="1:11" x14ac:dyDescent="0.25">
      <c r="A92" s="104" t="s">
        <v>25</v>
      </c>
      <c r="B92" s="20" t="s">
        <v>811</v>
      </c>
      <c r="C92" s="74" t="s">
        <v>13</v>
      </c>
      <c r="D92" s="98" t="s">
        <v>26</v>
      </c>
      <c r="E92" s="20"/>
      <c r="F92" s="20"/>
      <c r="G92" s="105"/>
      <c r="H92" s="82" t="s">
        <v>38</v>
      </c>
      <c r="I92" s="104" t="s">
        <v>759</v>
      </c>
      <c r="J92" s="104" t="s">
        <v>215</v>
      </c>
      <c r="K92" s="104" t="s">
        <v>1267</v>
      </c>
    </row>
    <row r="93" spans="1:11" x14ac:dyDescent="0.25">
      <c r="A93" s="104" t="s">
        <v>25</v>
      </c>
      <c r="B93" s="20" t="s">
        <v>811</v>
      </c>
      <c r="C93" s="74" t="s">
        <v>14</v>
      </c>
      <c r="D93" s="98" t="s">
        <v>26</v>
      </c>
      <c r="E93" s="20"/>
      <c r="F93" s="20"/>
      <c r="G93" s="105"/>
      <c r="H93" s="82" t="s">
        <v>38</v>
      </c>
      <c r="I93" s="104" t="s">
        <v>759</v>
      </c>
      <c r="J93" s="104" t="s">
        <v>216</v>
      </c>
      <c r="K93" s="104" t="s">
        <v>1268</v>
      </c>
    </row>
    <row r="94" spans="1:11" x14ac:dyDescent="0.25">
      <c r="A94" s="104" t="s">
        <v>25</v>
      </c>
      <c r="B94" s="76"/>
      <c r="C94" s="76"/>
      <c r="E94" s="20"/>
      <c r="H94" s="20"/>
      <c r="I94" s="104" t="s">
        <v>760</v>
      </c>
      <c r="J94" s="104" t="s">
        <v>217</v>
      </c>
      <c r="K94" s="104" t="s">
        <v>1269</v>
      </c>
    </row>
    <row r="95" spans="1:11" x14ac:dyDescent="0.25">
      <c r="A95" s="104" t="s">
        <v>25</v>
      </c>
      <c r="B95" s="76"/>
      <c r="C95" s="76"/>
      <c r="E95" s="20"/>
      <c r="F95" s="20"/>
      <c r="G95" s="105"/>
      <c r="H95" s="20"/>
      <c r="I95" s="104" t="s">
        <v>760</v>
      </c>
      <c r="J95" s="104" t="s">
        <v>218</v>
      </c>
      <c r="K95" s="104" t="s">
        <v>1270</v>
      </c>
    </row>
    <row r="96" spans="1:11" x14ac:dyDescent="0.25">
      <c r="A96" s="104" t="s">
        <v>25</v>
      </c>
      <c r="B96" s="77" t="s">
        <v>27</v>
      </c>
      <c r="C96" s="77" t="s">
        <v>13</v>
      </c>
      <c r="D96" s="98" t="s">
        <v>8</v>
      </c>
      <c r="E96" s="20"/>
      <c r="F96" s="75" t="s">
        <v>44</v>
      </c>
      <c r="H96" s="82" t="s">
        <v>38</v>
      </c>
      <c r="I96" s="104" t="s">
        <v>760</v>
      </c>
      <c r="J96" s="104" t="s">
        <v>219</v>
      </c>
      <c r="K96" s="104" t="s">
        <v>1271</v>
      </c>
    </row>
    <row r="97" spans="1:11" x14ac:dyDescent="0.25">
      <c r="A97" s="104" t="s">
        <v>25</v>
      </c>
      <c r="B97" s="77" t="s">
        <v>27</v>
      </c>
      <c r="C97" s="77" t="s">
        <v>14</v>
      </c>
      <c r="D97" s="98" t="s">
        <v>8</v>
      </c>
      <c r="E97" s="20"/>
      <c r="F97" s="76" t="s">
        <v>44</v>
      </c>
      <c r="H97" s="82" t="s">
        <v>38</v>
      </c>
      <c r="I97" s="104" t="s">
        <v>760</v>
      </c>
      <c r="J97" s="104" t="s">
        <v>220</v>
      </c>
      <c r="K97" s="104" t="s">
        <v>1272</v>
      </c>
    </row>
    <row r="98" spans="1:11" x14ac:dyDescent="0.25">
      <c r="A98" s="104" t="s">
        <v>25</v>
      </c>
      <c r="B98" s="77" t="s">
        <v>27</v>
      </c>
      <c r="C98" s="77" t="s">
        <v>13</v>
      </c>
      <c r="D98" s="98" t="s">
        <v>46</v>
      </c>
      <c r="E98" s="20"/>
      <c r="F98" s="76" t="s">
        <v>44</v>
      </c>
      <c r="H98" s="82" t="s">
        <v>38</v>
      </c>
      <c r="I98" s="104" t="s">
        <v>760</v>
      </c>
      <c r="J98" s="104" t="s">
        <v>221</v>
      </c>
      <c r="K98" s="104" t="s">
        <v>1273</v>
      </c>
    </row>
    <row r="99" spans="1:11" x14ac:dyDescent="0.25">
      <c r="A99" s="104" t="s">
        <v>25</v>
      </c>
      <c r="B99" s="77" t="s">
        <v>27</v>
      </c>
      <c r="C99" s="77" t="s">
        <v>14</v>
      </c>
      <c r="D99" s="98" t="s">
        <v>46</v>
      </c>
      <c r="E99" s="20"/>
      <c r="F99" s="76" t="s">
        <v>44</v>
      </c>
      <c r="H99" s="82" t="s">
        <v>38</v>
      </c>
      <c r="I99" s="104" t="s">
        <v>760</v>
      </c>
      <c r="J99" s="104" t="s">
        <v>222</v>
      </c>
      <c r="K99" s="104" t="s">
        <v>1274</v>
      </c>
    </row>
    <row r="100" spans="1:11" x14ac:dyDescent="0.25">
      <c r="A100" s="104" t="s">
        <v>25</v>
      </c>
      <c r="B100" s="77" t="s">
        <v>27</v>
      </c>
      <c r="C100" s="77" t="s">
        <v>13</v>
      </c>
      <c r="D100" s="98" t="s">
        <v>45</v>
      </c>
      <c r="E100" s="20"/>
      <c r="F100" s="76" t="s">
        <v>44</v>
      </c>
      <c r="H100" s="82" t="s">
        <v>38</v>
      </c>
      <c r="I100" s="104" t="s">
        <v>760</v>
      </c>
      <c r="J100" s="104" t="s">
        <v>223</v>
      </c>
      <c r="K100" s="104" t="s">
        <v>1275</v>
      </c>
    </row>
    <row r="101" spans="1:11" x14ac:dyDescent="0.25">
      <c r="A101" s="104" t="s">
        <v>25</v>
      </c>
      <c r="B101" s="77" t="s">
        <v>27</v>
      </c>
      <c r="C101" s="77" t="s">
        <v>14</v>
      </c>
      <c r="D101" s="98" t="s">
        <v>45</v>
      </c>
      <c r="E101" s="20"/>
      <c r="F101" s="76" t="s">
        <v>44</v>
      </c>
      <c r="H101" s="82" t="s">
        <v>38</v>
      </c>
      <c r="I101" s="104" t="s">
        <v>760</v>
      </c>
      <c r="J101" s="104" t="s">
        <v>224</v>
      </c>
      <c r="K101" s="104" t="s">
        <v>1276</v>
      </c>
    </row>
    <row r="102" spans="1:11" x14ac:dyDescent="0.25">
      <c r="A102" s="104" t="s">
        <v>25</v>
      </c>
      <c r="B102" s="77" t="s">
        <v>27</v>
      </c>
      <c r="C102" s="77" t="s">
        <v>13</v>
      </c>
      <c r="D102" s="98" t="s">
        <v>26</v>
      </c>
      <c r="E102" s="20"/>
      <c r="F102" s="76" t="s">
        <v>44</v>
      </c>
      <c r="H102" s="82" t="s">
        <v>38</v>
      </c>
      <c r="I102" s="104" t="s">
        <v>760</v>
      </c>
      <c r="J102" s="104" t="s">
        <v>225</v>
      </c>
      <c r="K102" s="104" t="s">
        <v>1277</v>
      </c>
    </row>
    <row r="103" spans="1:11" x14ac:dyDescent="0.25">
      <c r="A103" s="104" t="s">
        <v>25</v>
      </c>
      <c r="B103" s="77" t="s">
        <v>27</v>
      </c>
      <c r="C103" s="77" t="s">
        <v>14</v>
      </c>
      <c r="D103" s="98" t="s">
        <v>26</v>
      </c>
      <c r="E103" s="20"/>
      <c r="F103" s="76" t="s">
        <v>44</v>
      </c>
      <c r="H103" s="82" t="s">
        <v>38</v>
      </c>
      <c r="I103" s="104" t="s">
        <v>760</v>
      </c>
      <c r="J103" s="104" t="s">
        <v>226</v>
      </c>
      <c r="K103" s="104" t="s">
        <v>1278</v>
      </c>
    </row>
    <row r="104" spans="1:11" x14ac:dyDescent="0.25">
      <c r="A104" s="104" t="s">
        <v>25</v>
      </c>
      <c r="B104" s="20"/>
      <c r="C104" s="20"/>
      <c r="E104" s="20"/>
      <c r="F104" s="20"/>
      <c r="G104" s="105"/>
      <c r="H104" s="20"/>
      <c r="I104" s="104" t="s">
        <v>761</v>
      </c>
      <c r="J104" s="104" t="s">
        <v>227</v>
      </c>
      <c r="K104" s="104" t="s">
        <v>1279</v>
      </c>
    </row>
    <row r="105" spans="1:11" x14ac:dyDescent="0.25">
      <c r="A105" s="104" t="s">
        <v>25</v>
      </c>
      <c r="B105" s="20"/>
      <c r="C105" s="20"/>
      <c r="E105" s="20"/>
      <c r="F105" s="20"/>
      <c r="G105" s="105"/>
      <c r="H105" s="20"/>
      <c r="I105" s="104" t="s">
        <v>761</v>
      </c>
      <c r="J105" s="104" t="s">
        <v>228</v>
      </c>
      <c r="K105" s="104" t="s">
        <v>1280</v>
      </c>
    </row>
    <row r="106" spans="1:11" x14ac:dyDescent="0.25">
      <c r="A106" s="104" t="s">
        <v>25</v>
      </c>
      <c r="B106" s="77" t="s">
        <v>27</v>
      </c>
      <c r="C106" s="77" t="s">
        <v>13</v>
      </c>
      <c r="D106" s="98" t="s">
        <v>8</v>
      </c>
      <c r="E106" s="20"/>
      <c r="F106" s="78" t="s">
        <v>43</v>
      </c>
      <c r="H106" s="82" t="s">
        <v>38</v>
      </c>
      <c r="I106" s="104" t="s">
        <v>761</v>
      </c>
      <c r="J106" s="104" t="s">
        <v>229</v>
      </c>
      <c r="K106" s="104" t="s">
        <v>1281</v>
      </c>
    </row>
    <row r="107" spans="1:11" x14ac:dyDescent="0.25">
      <c r="A107" s="104" t="s">
        <v>25</v>
      </c>
      <c r="B107" s="77" t="s">
        <v>27</v>
      </c>
      <c r="C107" s="77" t="s">
        <v>14</v>
      </c>
      <c r="D107" s="98" t="s">
        <v>8</v>
      </c>
      <c r="E107" s="20"/>
      <c r="F107" s="78" t="s">
        <v>43</v>
      </c>
      <c r="H107" s="82" t="s">
        <v>38</v>
      </c>
      <c r="I107" s="104" t="s">
        <v>761</v>
      </c>
      <c r="J107" s="104" t="s">
        <v>230</v>
      </c>
      <c r="K107" s="104" t="s">
        <v>1282</v>
      </c>
    </row>
    <row r="108" spans="1:11" x14ac:dyDescent="0.25">
      <c r="A108" s="104" t="s">
        <v>25</v>
      </c>
      <c r="B108" s="77" t="s">
        <v>27</v>
      </c>
      <c r="C108" s="77" t="s">
        <v>13</v>
      </c>
      <c r="D108" s="98" t="s">
        <v>46</v>
      </c>
      <c r="E108" s="20"/>
      <c r="F108" s="78" t="s">
        <v>43</v>
      </c>
      <c r="H108" s="82" t="s">
        <v>38</v>
      </c>
      <c r="I108" s="104" t="s">
        <v>761</v>
      </c>
      <c r="J108" s="104" t="s">
        <v>231</v>
      </c>
      <c r="K108" s="104" t="s">
        <v>1283</v>
      </c>
    </row>
    <row r="109" spans="1:11" x14ac:dyDescent="0.25">
      <c r="A109" s="104" t="s">
        <v>25</v>
      </c>
      <c r="B109" s="77" t="s">
        <v>27</v>
      </c>
      <c r="C109" s="77" t="s">
        <v>14</v>
      </c>
      <c r="D109" s="98" t="s">
        <v>46</v>
      </c>
      <c r="E109" s="20"/>
      <c r="F109" s="78" t="s">
        <v>43</v>
      </c>
      <c r="H109" s="82" t="s">
        <v>38</v>
      </c>
      <c r="I109" s="104" t="s">
        <v>761</v>
      </c>
      <c r="J109" s="104" t="s">
        <v>232</v>
      </c>
      <c r="K109" s="104" t="s">
        <v>1284</v>
      </c>
    </row>
    <row r="110" spans="1:11" x14ac:dyDescent="0.25">
      <c r="A110" s="104" t="s">
        <v>25</v>
      </c>
      <c r="B110" s="77" t="s">
        <v>27</v>
      </c>
      <c r="C110" s="77" t="s">
        <v>13</v>
      </c>
      <c r="D110" s="98" t="s">
        <v>45</v>
      </c>
      <c r="E110" s="20"/>
      <c r="F110" s="78" t="s">
        <v>43</v>
      </c>
      <c r="H110" s="82" t="s">
        <v>38</v>
      </c>
      <c r="I110" s="104" t="s">
        <v>761</v>
      </c>
      <c r="J110" s="104" t="s">
        <v>233</v>
      </c>
      <c r="K110" s="104" t="s">
        <v>1285</v>
      </c>
    </row>
    <row r="111" spans="1:11" x14ac:dyDescent="0.25">
      <c r="A111" s="104" t="s">
        <v>25</v>
      </c>
      <c r="B111" s="77" t="s">
        <v>27</v>
      </c>
      <c r="C111" s="77" t="s">
        <v>14</v>
      </c>
      <c r="D111" s="98" t="s">
        <v>45</v>
      </c>
      <c r="E111" s="20"/>
      <c r="F111" s="78" t="s">
        <v>43</v>
      </c>
      <c r="H111" s="82" t="s">
        <v>38</v>
      </c>
      <c r="I111" s="104" t="s">
        <v>761</v>
      </c>
      <c r="J111" s="104" t="s">
        <v>234</v>
      </c>
      <c r="K111" s="104" t="s">
        <v>1286</v>
      </c>
    </row>
    <row r="112" spans="1:11" x14ac:dyDescent="0.25">
      <c r="A112" s="104" t="s">
        <v>25</v>
      </c>
      <c r="B112" s="77" t="s">
        <v>27</v>
      </c>
      <c r="C112" s="77" t="s">
        <v>13</v>
      </c>
      <c r="D112" s="98" t="s">
        <v>26</v>
      </c>
      <c r="E112" s="20"/>
      <c r="F112" s="78" t="s">
        <v>43</v>
      </c>
      <c r="H112" s="82" t="s">
        <v>38</v>
      </c>
      <c r="I112" s="104" t="s">
        <v>761</v>
      </c>
      <c r="J112" s="104" t="s">
        <v>235</v>
      </c>
      <c r="K112" s="104" t="s">
        <v>1287</v>
      </c>
    </row>
    <row r="113" spans="1:11" x14ac:dyDescent="0.25">
      <c r="A113" s="104" t="s">
        <v>25</v>
      </c>
      <c r="B113" s="77" t="s">
        <v>27</v>
      </c>
      <c r="C113" s="77" t="s">
        <v>14</v>
      </c>
      <c r="D113" s="98" t="s">
        <v>26</v>
      </c>
      <c r="E113" s="20"/>
      <c r="F113" s="78" t="s">
        <v>43</v>
      </c>
      <c r="H113" s="82" t="s">
        <v>38</v>
      </c>
      <c r="I113" s="104" t="s">
        <v>761</v>
      </c>
      <c r="J113" s="104" t="s">
        <v>236</v>
      </c>
      <c r="K113" s="104" t="s">
        <v>1288</v>
      </c>
    </row>
    <row r="114" spans="1:11" x14ac:dyDescent="0.25">
      <c r="A114" s="104" t="s">
        <v>25</v>
      </c>
      <c r="B114" s="20"/>
      <c r="C114" s="20"/>
      <c r="E114" s="20"/>
      <c r="F114" s="20"/>
      <c r="G114" s="105"/>
      <c r="H114" s="20"/>
      <c r="I114" s="104" t="s">
        <v>762</v>
      </c>
      <c r="J114" s="104" t="s">
        <v>237</v>
      </c>
      <c r="K114" s="104" t="s">
        <v>1289</v>
      </c>
    </row>
    <row r="115" spans="1:11" x14ac:dyDescent="0.25">
      <c r="A115" s="104" t="s">
        <v>25</v>
      </c>
      <c r="B115" s="20"/>
      <c r="C115" s="20"/>
      <c r="E115" s="20"/>
      <c r="F115" s="20"/>
      <c r="G115" s="105"/>
      <c r="H115" s="20"/>
      <c r="I115" s="104" t="s">
        <v>762</v>
      </c>
      <c r="J115" s="104" t="s">
        <v>238</v>
      </c>
      <c r="K115" s="104" t="s">
        <v>1290</v>
      </c>
    </row>
    <row r="116" spans="1:11" x14ac:dyDescent="0.25">
      <c r="A116" s="104" t="s">
        <v>25</v>
      </c>
      <c r="B116" s="77" t="s">
        <v>27</v>
      </c>
      <c r="C116" s="77" t="s">
        <v>13</v>
      </c>
      <c r="D116" s="98" t="s">
        <v>8</v>
      </c>
      <c r="E116" s="20"/>
      <c r="F116" s="79" t="s">
        <v>42</v>
      </c>
      <c r="H116" s="82" t="s">
        <v>38</v>
      </c>
      <c r="I116" s="104" t="s">
        <v>762</v>
      </c>
      <c r="J116" s="104" t="s">
        <v>239</v>
      </c>
      <c r="K116" s="104" t="s">
        <v>1291</v>
      </c>
    </row>
    <row r="117" spans="1:11" x14ac:dyDescent="0.25">
      <c r="A117" s="104" t="s">
        <v>25</v>
      </c>
      <c r="B117" s="77" t="s">
        <v>27</v>
      </c>
      <c r="C117" s="77" t="s">
        <v>14</v>
      </c>
      <c r="D117" s="98" t="s">
        <v>8</v>
      </c>
      <c r="E117" s="20"/>
      <c r="F117" s="79" t="s">
        <v>42</v>
      </c>
      <c r="H117" s="82" t="s">
        <v>38</v>
      </c>
      <c r="I117" s="104" t="s">
        <v>762</v>
      </c>
      <c r="J117" s="104" t="s">
        <v>240</v>
      </c>
      <c r="K117" s="104" t="s">
        <v>1292</v>
      </c>
    </row>
    <row r="118" spans="1:11" x14ac:dyDescent="0.25">
      <c r="A118" s="104" t="s">
        <v>25</v>
      </c>
      <c r="B118" s="77" t="s">
        <v>27</v>
      </c>
      <c r="C118" s="77" t="s">
        <v>13</v>
      </c>
      <c r="D118" s="98" t="s">
        <v>46</v>
      </c>
      <c r="E118" s="20"/>
      <c r="F118" s="79" t="s">
        <v>42</v>
      </c>
      <c r="H118" s="82" t="s">
        <v>38</v>
      </c>
      <c r="I118" s="104" t="s">
        <v>762</v>
      </c>
      <c r="J118" s="104" t="s">
        <v>241</v>
      </c>
      <c r="K118" s="104" t="s">
        <v>1293</v>
      </c>
    </row>
    <row r="119" spans="1:11" x14ac:dyDescent="0.25">
      <c r="A119" s="104" t="s">
        <v>25</v>
      </c>
      <c r="B119" s="77" t="s">
        <v>27</v>
      </c>
      <c r="C119" s="77" t="s">
        <v>14</v>
      </c>
      <c r="D119" s="98" t="s">
        <v>46</v>
      </c>
      <c r="E119" s="20"/>
      <c r="F119" s="79" t="s">
        <v>42</v>
      </c>
      <c r="H119" s="82" t="s">
        <v>38</v>
      </c>
      <c r="I119" s="104" t="s">
        <v>762</v>
      </c>
      <c r="J119" s="104" t="s">
        <v>242</v>
      </c>
      <c r="K119" s="104" t="s">
        <v>1294</v>
      </c>
    </row>
    <row r="120" spans="1:11" x14ac:dyDescent="0.25">
      <c r="A120" s="104" t="s">
        <v>25</v>
      </c>
      <c r="B120" s="77" t="s">
        <v>27</v>
      </c>
      <c r="C120" s="77" t="s">
        <v>13</v>
      </c>
      <c r="D120" s="98" t="s">
        <v>45</v>
      </c>
      <c r="E120" s="20"/>
      <c r="F120" s="79" t="s">
        <v>42</v>
      </c>
      <c r="H120" s="82" t="s">
        <v>38</v>
      </c>
      <c r="I120" s="104" t="s">
        <v>762</v>
      </c>
      <c r="J120" s="104" t="s">
        <v>243</v>
      </c>
      <c r="K120" s="104" t="s">
        <v>1295</v>
      </c>
    </row>
    <row r="121" spans="1:11" x14ac:dyDescent="0.25">
      <c r="A121" s="104" t="s">
        <v>25</v>
      </c>
      <c r="B121" s="77" t="s">
        <v>27</v>
      </c>
      <c r="C121" s="77" t="s">
        <v>14</v>
      </c>
      <c r="D121" s="98" t="s">
        <v>45</v>
      </c>
      <c r="E121" s="20"/>
      <c r="F121" s="79" t="s">
        <v>42</v>
      </c>
      <c r="H121" s="82" t="s">
        <v>38</v>
      </c>
      <c r="I121" s="104" t="s">
        <v>762</v>
      </c>
      <c r="J121" s="104" t="s">
        <v>244</v>
      </c>
      <c r="K121" s="104" t="s">
        <v>1296</v>
      </c>
    </row>
    <row r="122" spans="1:11" x14ac:dyDescent="0.25">
      <c r="A122" s="104" t="s">
        <v>25</v>
      </c>
      <c r="B122" s="77" t="s">
        <v>27</v>
      </c>
      <c r="C122" s="77" t="s">
        <v>13</v>
      </c>
      <c r="D122" s="98" t="s">
        <v>26</v>
      </c>
      <c r="E122" s="20"/>
      <c r="F122" s="79" t="s">
        <v>42</v>
      </c>
      <c r="H122" s="82" t="s">
        <v>38</v>
      </c>
      <c r="I122" s="104" t="s">
        <v>762</v>
      </c>
      <c r="J122" s="104" t="s">
        <v>245</v>
      </c>
      <c r="K122" s="104" t="s">
        <v>1297</v>
      </c>
    </row>
    <row r="123" spans="1:11" x14ac:dyDescent="0.25">
      <c r="A123" s="104" t="s">
        <v>25</v>
      </c>
      <c r="B123" s="77" t="s">
        <v>27</v>
      </c>
      <c r="C123" s="77" t="s">
        <v>14</v>
      </c>
      <c r="D123" s="98" t="s">
        <v>26</v>
      </c>
      <c r="E123" s="20"/>
      <c r="F123" s="79" t="s">
        <v>42</v>
      </c>
      <c r="H123" s="82" t="s">
        <v>38</v>
      </c>
      <c r="I123" s="104" t="s">
        <v>762</v>
      </c>
      <c r="J123" s="104" t="s">
        <v>246</v>
      </c>
      <c r="K123" s="104" t="s">
        <v>1298</v>
      </c>
    </row>
    <row r="124" spans="1:11" x14ac:dyDescent="0.25">
      <c r="A124" s="104" t="s">
        <v>25</v>
      </c>
      <c r="B124" s="20"/>
      <c r="C124" s="20"/>
      <c r="E124" s="20"/>
      <c r="F124" s="20"/>
      <c r="G124" s="105"/>
      <c r="H124" s="20"/>
      <c r="I124" s="104" t="s">
        <v>763</v>
      </c>
      <c r="J124" s="104" t="s">
        <v>247</v>
      </c>
      <c r="K124" s="104" t="s">
        <v>1299</v>
      </c>
    </row>
    <row r="125" spans="1:11" x14ac:dyDescent="0.25">
      <c r="A125" s="104" t="s">
        <v>25</v>
      </c>
      <c r="B125" s="20"/>
      <c r="C125" s="20"/>
      <c r="E125" s="20"/>
      <c r="F125" s="20"/>
      <c r="G125" s="105"/>
      <c r="H125" s="20"/>
      <c r="I125" s="104" t="s">
        <v>763</v>
      </c>
      <c r="J125" s="104" t="s">
        <v>248</v>
      </c>
      <c r="K125" s="104" t="s">
        <v>1300</v>
      </c>
    </row>
    <row r="126" spans="1:11" x14ac:dyDescent="0.25">
      <c r="A126" s="104" t="s">
        <v>25</v>
      </c>
      <c r="B126" s="80" t="s">
        <v>27</v>
      </c>
      <c r="C126" s="80" t="s">
        <v>13</v>
      </c>
      <c r="D126" s="98" t="s">
        <v>8</v>
      </c>
      <c r="E126" s="20"/>
      <c r="F126" s="81" t="s">
        <v>41</v>
      </c>
      <c r="H126" s="82" t="s">
        <v>38</v>
      </c>
      <c r="I126" s="104" t="s">
        <v>763</v>
      </c>
      <c r="J126" s="104" t="s">
        <v>249</v>
      </c>
      <c r="K126" s="104" t="s">
        <v>1301</v>
      </c>
    </row>
    <row r="127" spans="1:11" x14ac:dyDescent="0.25">
      <c r="A127" s="104" t="s">
        <v>25</v>
      </c>
      <c r="B127" s="80" t="s">
        <v>27</v>
      </c>
      <c r="C127" s="80" t="s">
        <v>14</v>
      </c>
      <c r="D127" s="98" t="s">
        <v>8</v>
      </c>
      <c r="E127" s="20"/>
      <c r="F127" s="81" t="s">
        <v>41</v>
      </c>
      <c r="H127" s="82" t="s">
        <v>38</v>
      </c>
      <c r="I127" s="104" t="s">
        <v>763</v>
      </c>
      <c r="J127" s="104" t="s">
        <v>250</v>
      </c>
      <c r="K127" s="104" t="s">
        <v>1302</v>
      </c>
    </row>
    <row r="128" spans="1:11" x14ac:dyDescent="0.25">
      <c r="A128" s="104" t="s">
        <v>25</v>
      </c>
      <c r="B128" s="80" t="s">
        <v>27</v>
      </c>
      <c r="C128" s="80" t="s">
        <v>13</v>
      </c>
      <c r="D128" s="98" t="s">
        <v>46</v>
      </c>
      <c r="E128" s="20"/>
      <c r="F128" s="81" t="s">
        <v>41</v>
      </c>
      <c r="H128" s="82" t="s">
        <v>38</v>
      </c>
      <c r="I128" s="104" t="s">
        <v>763</v>
      </c>
      <c r="J128" s="104" t="s">
        <v>251</v>
      </c>
      <c r="K128" s="104" t="s">
        <v>1303</v>
      </c>
    </row>
    <row r="129" spans="1:11" x14ac:dyDescent="0.25">
      <c r="A129" s="104" t="s">
        <v>25</v>
      </c>
      <c r="B129" s="80" t="s">
        <v>27</v>
      </c>
      <c r="C129" s="80" t="s">
        <v>14</v>
      </c>
      <c r="D129" s="98" t="s">
        <v>46</v>
      </c>
      <c r="E129" s="20"/>
      <c r="F129" s="81" t="s">
        <v>41</v>
      </c>
      <c r="H129" s="82" t="s">
        <v>38</v>
      </c>
      <c r="I129" s="104" t="s">
        <v>763</v>
      </c>
      <c r="J129" s="104" t="s">
        <v>252</v>
      </c>
      <c r="K129" s="104" t="s">
        <v>1304</v>
      </c>
    </row>
    <row r="130" spans="1:11" x14ac:dyDescent="0.25">
      <c r="A130" s="104" t="s">
        <v>25</v>
      </c>
      <c r="B130" s="80" t="s">
        <v>27</v>
      </c>
      <c r="C130" s="80" t="s">
        <v>13</v>
      </c>
      <c r="D130" s="98" t="s">
        <v>45</v>
      </c>
      <c r="E130" s="20"/>
      <c r="F130" s="81" t="s">
        <v>41</v>
      </c>
      <c r="H130" s="82" t="s">
        <v>38</v>
      </c>
      <c r="I130" s="104" t="s">
        <v>763</v>
      </c>
      <c r="J130" s="104" t="s">
        <v>253</v>
      </c>
      <c r="K130" s="104" t="s">
        <v>1305</v>
      </c>
    </row>
    <row r="131" spans="1:11" x14ac:dyDescent="0.25">
      <c r="A131" s="104" t="s">
        <v>25</v>
      </c>
      <c r="B131" s="80" t="s">
        <v>27</v>
      </c>
      <c r="C131" s="80" t="s">
        <v>14</v>
      </c>
      <c r="D131" s="98" t="s">
        <v>45</v>
      </c>
      <c r="E131" s="20"/>
      <c r="F131" s="81" t="s">
        <v>41</v>
      </c>
      <c r="H131" s="82" t="s">
        <v>38</v>
      </c>
      <c r="I131" s="104" t="s">
        <v>763</v>
      </c>
      <c r="J131" s="104" t="s">
        <v>254</v>
      </c>
      <c r="K131" s="104" t="s">
        <v>1306</v>
      </c>
    </row>
    <row r="132" spans="1:11" x14ac:dyDescent="0.25">
      <c r="A132" s="104" t="s">
        <v>25</v>
      </c>
      <c r="B132" s="80" t="s">
        <v>27</v>
      </c>
      <c r="C132" s="80" t="s">
        <v>13</v>
      </c>
      <c r="D132" s="98" t="s">
        <v>26</v>
      </c>
      <c r="E132" s="20"/>
      <c r="F132" s="81" t="s">
        <v>41</v>
      </c>
      <c r="H132" s="82" t="s">
        <v>38</v>
      </c>
      <c r="I132" s="104" t="s">
        <v>763</v>
      </c>
      <c r="J132" s="104" t="s">
        <v>255</v>
      </c>
      <c r="K132" s="104" t="s">
        <v>1307</v>
      </c>
    </row>
    <row r="133" spans="1:11" x14ac:dyDescent="0.25">
      <c r="A133" s="104" t="s">
        <v>25</v>
      </c>
      <c r="B133" s="80" t="s">
        <v>27</v>
      </c>
      <c r="C133" s="80" t="s">
        <v>14</v>
      </c>
      <c r="D133" s="98" t="s">
        <v>26</v>
      </c>
      <c r="E133" s="20"/>
      <c r="F133" s="81" t="s">
        <v>41</v>
      </c>
      <c r="H133" s="82" t="s">
        <v>38</v>
      </c>
      <c r="I133" s="104" t="s">
        <v>763</v>
      </c>
      <c r="J133" s="104" t="s">
        <v>256</v>
      </c>
      <c r="K133" s="104" t="s">
        <v>1308</v>
      </c>
    </row>
    <row r="134" spans="1:11" x14ac:dyDescent="0.25">
      <c r="A134" s="104" t="s">
        <v>25</v>
      </c>
      <c r="B134" s="20"/>
      <c r="C134" s="20"/>
      <c r="E134" s="20"/>
      <c r="F134" s="20"/>
      <c r="G134" s="105"/>
      <c r="H134" s="20"/>
      <c r="I134" s="104" t="s">
        <v>764</v>
      </c>
      <c r="J134" s="104" t="s">
        <v>257</v>
      </c>
      <c r="K134" s="104" t="s">
        <v>1309</v>
      </c>
    </row>
    <row r="135" spans="1:11" x14ac:dyDescent="0.25">
      <c r="A135" s="104" t="s">
        <v>25</v>
      </c>
      <c r="B135" s="20"/>
      <c r="C135" s="20"/>
      <c r="E135" s="20"/>
      <c r="F135" s="20"/>
      <c r="G135" s="105"/>
      <c r="H135" s="20"/>
      <c r="I135" s="104" t="s">
        <v>764</v>
      </c>
      <c r="J135" s="104" t="s">
        <v>258</v>
      </c>
      <c r="K135" s="104" t="s">
        <v>1310</v>
      </c>
    </row>
    <row r="136" spans="1:11" x14ac:dyDescent="0.25">
      <c r="A136" s="104" t="s">
        <v>25</v>
      </c>
      <c r="B136" s="82" t="s">
        <v>27</v>
      </c>
      <c r="C136" s="82" t="s">
        <v>13</v>
      </c>
      <c r="D136" s="98" t="s">
        <v>8</v>
      </c>
      <c r="E136" s="82"/>
      <c r="F136" s="83" t="s">
        <v>40</v>
      </c>
      <c r="H136" s="82" t="s">
        <v>38</v>
      </c>
      <c r="I136" s="104" t="s">
        <v>764</v>
      </c>
      <c r="J136" s="104" t="s">
        <v>259</v>
      </c>
      <c r="K136" s="104" t="s">
        <v>1311</v>
      </c>
    </row>
    <row r="137" spans="1:11" x14ac:dyDescent="0.25">
      <c r="A137" s="104" t="s">
        <v>25</v>
      </c>
      <c r="B137" s="82" t="s">
        <v>27</v>
      </c>
      <c r="C137" s="82" t="s">
        <v>14</v>
      </c>
      <c r="D137" s="98" t="s">
        <v>8</v>
      </c>
      <c r="E137" s="82"/>
      <c r="F137" s="83" t="s">
        <v>40</v>
      </c>
      <c r="H137" s="82" t="s">
        <v>38</v>
      </c>
      <c r="I137" s="104" t="s">
        <v>764</v>
      </c>
      <c r="J137" s="104" t="s">
        <v>260</v>
      </c>
      <c r="K137" s="104" t="s">
        <v>1312</v>
      </c>
    </row>
    <row r="138" spans="1:11" x14ac:dyDescent="0.25">
      <c r="A138" s="104" t="s">
        <v>25</v>
      </c>
      <c r="B138" s="82" t="s">
        <v>27</v>
      </c>
      <c r="C138" s="82" t="s">
        <v>13</v>
      </c>
      <c r="D138" s="98" t="s">
        <v>46</v>
      </c>
      <c r="E138" s="82"/>
      <c r="F138" s="83" t="s">
        <v>40</v>
      </c>
      <c r="H138" s="82" t="s">
        <v>38</v>
      </c>
      <c r="I138" s="104" t="s">
        <v>764</v>
      </c>
      <c r="J138" s="104" t="s">
        <v>261</v>
      </c>
      <c r="K138" s="104" t="s">
        <v>1313</v>
      </c>
    </row>
    <row r="139" spans="1:11" x14ac:dyDescent="0.25">
      <c r="A139" s="104" t="s">
        <v>25</v>
      </c>
      <c r="B139" s="82" t="s">
        <v>27</v>
      </c>
      <c r="C139" s="82" t="s">
        <v>14</v>
      </c>
      <c r="D139" s="98" t="s">
        <v>46</v>
      </c>
      <c r="E139" s="82"/>
      <c r="F139" s="83" t="s">
        <v>40</v>
      </c>
      <c r="H139" s="82" t="s">
        <v>38</v>
      </c>
      <c r="I139" s="104" t="s">
        <v>764</v>
      </c>
      <c r="J139" s="104" t="s">
        <v>262</v>
      </c>
      <c r="K139" s="104" t="s">
        <v>1314</v>
      </c>
    </row>
    <row r="140" spans="1:11" x14ac:dyDescent="0.25">
      <c r="A140" s="104" t="s">
        <v>25</v>
      </c>
      <c r="B140" s="82" t="s">
        <v>27</v>
      </c>
      <c r="C140" s="82" t="s">
        <v>13</v>
      </c>
      <c r="D140" s="98" t="s">
        <v>45</v>
      </c>
      <c r="E140" s="82"/>
      <c r="F140" s="83" t="s">
        <v>40</v>
      </c>
      <c r="H140" s="82" t="s">
        <v>38</v>
      </c>
      <c r="I140" s="104" t="s">
        <v>764</v>
      </c>
      <c r="J140" s="104" t="s">
        <v>263</v>
      </c>
      <c r="K140" s="104" t="s">
        <v>1315</v>
      </c>
    </row>
    <row r="141" spans="1:11" x14ac:dyDescent="0.25">
      <c r="A141" s="104" t="s">
        <v>25</v>
      </c>
      <c r="B141" s="82" t="s">
        <v>27</v>
      </c>
      <c r="C141" s="82" t="s">
        <v>14</v>
      </c>
      <c r="D141" s="98" t="s">
        <v>45</v>
      </c>
      <c r="E141" s="82"/>
      <c r="F141" s="83" t="s">
        <v>40</v>
      </c>
      <c r="H141" s="82" t="s">
        <v>38</v>
      </c>
      <c r="I141" s="104" t="s">
        <v>764</v>
      </c>
      <c r="J141" s="104" t="s">
        <v>264</v>
      </c>
      <c r="K141" s="104" t="s">
        <v>1316</v>
      </c>
    </row>
    <row r="142" spans="1:11" x14ac:dyDescent="0.25">
      <c r="A142" s="104" t="s">
        <v>25</v>
      </c>
      <c r="B142" s="82" t="s">
        <v>27</v>
      </c>
      <c r="C142" s="82" t="s">
        <v>13</v>
      </c>
      <c r="D142" s="98" t="s">
        <v>26</v>
      </c>
      <c r="E142" s="82"/>
      <c r="F142" s="83" t="s">
        <v>40</v>
      </c>
      <c r="H142" s="82" t="s">
        <v>38</v>
      </c>
      <c r="I142" s="104" t="s">
        <v>764</v>
      </c>
      <c r="J142" s="104" t="s">
        <v>265</v>
      </c>
      <c r="K142" s="104" t="s">
        <v>1317</v>
      </c>
    </row>
    <row r="143" spans="1:11" x14ac:dyDescent="0.25">
      <c r="A143" s="104" t="s">
        <v>25</v>
      </c>
      <c r="B143" s="82" t="s">
        <v>27</v>
      </c>
      <c r="C143" s="82" t="s">
        <v>14</v>
      </c>
      <c r="D143" s="98" t="s">
        <v>26</v>
      </c>
      <c r="E143" s="82"/>
      <c r="F143" s="83" t="s">
        <v>40</v>
      </c>
      <c r="H143" s="82" t="s">
        <v>38</v>
      </c>
      <c r="I143" s="104" t="s">
        <v>764</v>
      </c>
      <c r="J143" s="104" t="s">
        <v>266</v>
      </c>
      <c r="K143" s="104" t="s">
        <v>1318</v>
      </c>
    </row>
    <row r="144" spans="1:11" x14ac:dyDescent="0.25">
      <c r="A144" s="104" t="s">
        <v>37</v>
      </c>
      <c r="B144" s="20" t="s">
        <v>812</v>
      </c>
      <c r="C144" s="20"/>
      <c r="D144" s="105" t="s">
        <v>1137</v>
      </c>
      <c r="E144" s="20" t="s">
        <v>814</v>
      </c>
      <c r="G144" s="105"/>
      <c r="H144" s="84" t="s">
        <v>38</v>
      </c>
      <c r="I144" s="104" t="s">
        <v>15</v>
      </c>
      <c r="J144" s="104" t="s">
        <v>803</v>
      </c>
      <c r="K144" s="104" t="s">
        <v>1603</v>
      </c>
    </row>
    <row r="145" spans="1:11" x14ac:dyDescent="0.25">
      <c r="A145" s="104" t="s">
        <v>37</v>
      </c>
      <c r="B145" s="20" t="s">
        <v>812</v>
      </c>
      <c r="C145" s="20"/>
      <c r="D145" s="105" t="s">
        <v>1137</v>
      </c>
      <c r="E145" s="20" t="s">
        <v>325</v>
      </c>
      <c r="G145" s="105"/>
      <c r="H145" s="84" t="s">
        <v>38</v>
      </c>
      <c r="I145" s="104" t="s">
        <v>15</v>
      </c>
      <c r="J145" s="104" t="s">
        <v>803</v>
      </c>
      <c r="K145" s="104" t="s">
        <v>1603</v>
      </c>
    </row>
    <row r="146" spans="1:11" s="104" customFormat="1" x14ac:dyDescent="0.25">
      <c r="A146" s="104" t="s">
        <v>37</v>
      </c>
      <c r="B146" s="105" t="s">
        <v>812</v>
      </c>
      <c r="C146" s="105"/>
      <c r="D146" s="105" t="s">
        <v>1137</v>
      </c>
      <c r="E146" s="105" t="s">
        <v>840</v>
      </c>
      <c r="G146" s="105"/>
      <c r="H146" s="105" t="s">
        <v>38</v>
      </c>
      <c r="I146" s="104" t="s">
        <v>15</v>
      </c>
      <c r="J146" s="104" t="s">
        <v>803</v>
      </c>
      <c r="K146" s="104" t="s">
        <v>1603</v>
      </c>
    </row>
    <row r="147" spans="1:11" s="104" customFormat="1" x14ac:dyDescent="0.25">
      <c r="A147" s="104" t="s">
        <v>37</v>
      </c>
      <c r="B147" s="105" t="s">
        <v>812</v>
      </c>
      <c r="C147" s="105"/>
      <c r="D147" s="98" t="s">
        <v>11</v>
      </c>
      <c r="E147" s="105" t="s">
        <v>814</v>
      </c>
      <c r="G147" s="105"/>
      <c r="H147" s="105" t="s">
        <v>38</v>
      </c>
      <c r="I147" s="104" t="s">
        <v>15</v>
      </c>
      <c r="J147" s="104" t="s">
        <v>272</v>
      </c>
      <c r="K147" s="104" t="s">
        <v>1604</v>
      </c>
    </row>
    <row r="148" spans="1:11" s="104" customFormat="1" x14ac:dyDescent="0.25">
      <c r="A148" s="104" t="s">
        <v>37</v>
      </c>
      <c r="B148" s="105" t="s">
        <v>812</v>
      </c>
      <c r="C148" s="105"/>
      <c r="D148" s="105" t="s">
        <v>11</v>
      </c>
      <c r="E148" s="105" t="s">
        <v>325</v>
      </c>
      <c r="G148" s="105"/>
      <c r="H148" s="105" t="s">
        <v>38</v>
      </c>
      <c r="I148" s="104" t="s">
        <v>15</v>
      </c>
      <c r="J148" s="104" t="s">
        <v>272</v>
      </c>
      <c r="K148" s="104" t="s">
        <v>1604</v>
      </c>
    </row>
    <row r="149" spans="1:11" s="104" customFormat="1" x14ac:dyDescent="0.25">
      <c r="A149" s="104" t="s">
        <v>37</v>
      </c>
      <c r="B149" s="105" t="s">
        <v>812</v>
      </c>
      <c r="C149" s="105"/>
      <c r="D149" s="105" t="s">
        <v>11</v>
      </c>
      <c r="E149" s="105" t="s">
        <v>840</v>
      </c>
      <c r="G149" s="105"/>
      <c r="H149" s="105" t="s">
        <v>38</v>
      </c>
      <c r="I149" s="104" t="s">
        <v>15</v>
      </c>
      <c r="J149" s="104" t="s">
        <v>272</v>
      </c>
      <c r="K149" s="104" t="s">
        <v>1604</v>
      </c>
    </row>
    <row r="150" spans="1:11" x14ac:dyDescent="0.25">
      <c r="A150" s="104" t="s">
        <v>30</v>
      </c>
      <c r="B150" s="20" t="s">
        <v>15</v>
      </c>
      <c r="C150" s="20"/>
      <c r="D150" s="98" t="s">
        <v>809</v>
      </c>
      <c r="E150" s="20"/>
      <c r="F150" s="20"/>
      <c r="G150" s="105"/>
      <c r="H150" s="20" t="s">
        <v>88</v>
      </c>
      <c r="I150" s="104" t="s">
        <v>316</v>
      </c>
      <c r="J150" s="104" t="s">
        <v>273</v>
      </c>
      <c r="K150" s="104" t="s">
        <v>1319</v>
      </c>
    </row>
    <row r="151" spans="1:11" x14ac:dyDescent="0.25">
      <c r="A151" s="104" t="s">
        <v>30</v>
      </c>
      <c r="B151" s="20" t="s">
        <v>15</v>
      </c>
      <c r="C151" s="20"/>
      <c r="D151" s="98" t="s">
        <v>8</v>
      </c>
      <c r="E151" s="20"/>
      <c r="F151" s="20"/>
      <c r="G151" s="105"/>
      <c r="H151" s="84" t="s">
        <v>88</v>
      </c>
      <c r="I151" s="104" t="s">
        <v>316</v>
      </c>
      <c r="J151" s="104" t="s">
        <v>208</v>
      </c>
      <c r="K151" s="104" t="s">
        <v>1320</v>
      </c>
    </row>
    <row r="152" spans="1:11" x14ac:dyDescent="0.25">
      <c r="A152" s="104" t="s">
        <v>30</v>
      </c>
      <c r="B152" s="20" t="s">
        <v>15</v>
      </c>
      <c r="C152" s="20"/>
      <c r="D152" s="98" t="s">
        <v>9</v>
      </c>
      <c r="E152" s="20"/>
      <c r="F152" s="20"/>
      <c r="G152" s="105"/>
      <c r="H152" s="84" t="s">
        <v>88</v>
      </c>
      <c r="I152" s="104" t="s">
        <v>316</v>
      </c>
      <c r="J152" s="104" t="s">
        <v>274</v>
      </c>
      <c r="K152" s="104" t="s">
        <v>1321</v>
      </c>
    </row>
    <row r="153" spans="1:11" x14ac:dyDescent="0.25">
      <c r="A153" s="104" t="s">
        <v>30</v>
      </c>
      <c r="B153" s="20" t="s">
        <v>15</v>
      </c>
      <c r="C153" s="20"/>
      <c r="D153" s="98" t="s">
        <v>19</v>
      </c>
      <c r="E153" s="20"/>
      <c r="F153" s="20"/>
      <c r="G153" s="105"/>
      <c r="H153" s="84" t="s">
        <v>88</v>
      </c>
      <c r="I153" s="104" t="s">
        <v>316</v>
      </c>
      <c r="J153" s="104" t="s">
        <v>275</v>
      </c>
      <c r="K153" s="104" t="s">
        <v>1322</v>
      </c>
    </row>
    <row r="154" spans="1:11" x14ac:dyDescent="0.25">
      <c r="A154" s="104" t="s">
        <v>30</v>
      </c>
      <c r="B154" s="20"/>
      <c r="C154" s="20"/>
      <c r="E154" s="20"/>
      <c r="F154" s="20"/>
      <c r="G154" s="105"/>
      <c r="H154" s="20"/>
      <c r="I154" s="104" t="s">
        <v>316</v>
      </c>
      <c r="J154" s="104" t="s">
        <v>276</v>
      </c>
      <c r="K154" s="104" t="s">
        <v>1323</v>
      </c>
    </row>
    <row r="155" spans="1:11" x14ac:dyDescent="0.25">
      <c r="A155" s="104" t="s">
        <v>30</v>
      </c>
      <c r="E155" s="20"/>
      <c r="F155" s="20"/>
      <c r="G155" s="105"/>
      <c r="H155" s="20"/>
      <c r="I155" s="104" t="s">
        <v>316</v>
      </c>
      <c r="J155" s="104" t="s">
        <v>277</v>
      </c>
      <c r="K155" s="104" t="s">
        <v>1324</v>
      </c>
    </row>
    <row r="156" spans="1:11" x14ac:dyDescent="0.25">
      <c r="A156" s="104" t="s">
        <v>30</v>
      </c>
      <c r="E156" s="20"/>
      <c r="F156" s="20"/>
      <c r="G156" s="105"/>
      <c r="H156" s="20"/>
      <c r="I156" s="104" t="s">
        <v>316</v>
      </c>
      <c r="J156" s="104" t="s">
        <v>278</v>
      </c>
      <c r="K156" s="104" t="s">
        <v>1325</v>
      </c>
    </row>
    <row r="157" spans="1:11" x14ac:dyDescent="0.25">
      <c r="A157" s="104" t="s">
        <v>30</v>
      </c>
      <c r="B157" s="20"/>
      <c r="C157" s="20"/>
      <c r="E157" s="20"/>
      <c r="F157" s="20"/>
      <c r="G157" s="105"/>
      <c r="H157" s="20"/>
      <c r="I157" s="104" t="s">
        <v>316</v>
      </c>
      <c r="J157" s="104" t="s">
        <v>279</v>
      </c>
      <c r="K157" s="104" t="s">
        <v>1326</v>
      </c>
    </row>
    <row r="158" spans="1:11" x14ac:dyDescent="0.25">
      <c r="A158" s="104" t="s">
        <v>30</v>
      </c>
      <c r="B158" s="20" t="s">
        <v>15</v>
      </c>
      <c r="C158" s="20"/>
      <c r="D158" s="98" t="s">
        <v>21</v>
      </c>
      <c r="E158" s="20"/>
      <c r="F158" s="20"/>
      <c r="G158" s="105"/>
      <c r="H158" s="84" t="s">
        <v>88</v>
      </c>
      <c r="I158" s="104" t="s">
        <v>316</v>
      </c>
      <c r="J158" s="104" t="s">
        <v>280</v>
      </c>
      <c r="K158" s="104" t="s">
        <v>1327</v>
      </c>
    </row>
    <row r="159" spans="1:11" x14ac:dyDescent="0.25">
      <c r="A159" s="104" t="s">
        <v>30</v>
      </c>
      <c r="B159" s="20" t="s">
        <v>813</v>
      </c>
      <c r="C159" s="20"/>
      <c r="D159" s="98" t="s">
        <v>809</v>
      </c>
      <c r="E159" s="20" t="s">
        <v>325</v>
      </c>
      <c r="F159" s="20" t="s">
        <v>32</v>
      </c>
      <c r="G159" s="105"/>
      <c r="H159" s="20" t="s">
        <v>38</v>
      </c>
      <c r="I159" s="104" t="s">
        <v>804</v>
      </c>
      <c r="J159" s="104" t="s">
        <v>281</v>
      </c>
      <c r="K159" s="104" t="s">
        <v>1328</v>
      </c>
    </row>
    <row r="160" spans="1:11" x14ac:dyDescent="0.25">
      <c r="A160" s="104" t="s">
        <v>30</v>
      </c>
      <c r="B160" s="20" t="s">
        <v>813</v>
      </c>
      <c r="C160" s="20"/>
      <c r="D160" s="98" t="s">
        <v>8</v>
      </c>
      <c r="E160" s="20" t="s">
        <v>325</v>
      </c>
      <c r="F160" s="105" t="s">
        <v>32</v>
      </c>
      <c r="G160" s="105"/>
      <c r="H160" s="86" t="s">
        <v>38</v>
      </c>
      <c r="I160" s="104" t="s">
        <v>804</v>
      </c>
      <c r="J160" s="104" t="s">
        <v>282</v>
      </c>
      <c r="K160" s="104" t="s">
        <v>1329</v>
      </c>
    </row>
    <row r="161" spans="1:11" x14ac:dyDescent="0.25">
      <c r="A161" s="104" t="s">
        <v>30</v>
      </c>
      <c r="B161" s="20" t="s">
        <v>813</v>
      </c>
      <c r="C161" s="20"/>
      <c r="D161" s="98" t="s">
        <v>9</v>
      </c>
      <c r="E161" s="20" t="s">
        <v>325</v>
      </c>
      <c r="F161" s="105" t="s">
        <v>32</v>
      </c>
      <c r="G161" s="105"/>
      <c r="H161" s="86" t="s">
        <v>38</v>
      </c>
      <c r="I161" s="104" t="s">
        <v>804</v>
      </c>
      <c r="J161" s="104" t="s">
        <v>283</v>
      </c>
      <c r="K161" s="104" t="s">
        <v>1330</v>
      </c>
    </row>
    <row r="162" spans="1:11" x14ac:dyDescent="0.25">
      <c r="A162" s="104" t="s">
        <v>30</v>
      </c>
      <c r="B162" s="20" t="s">
        <v>813</v>
      </c>
      <c r="C162" s="20"/>
      <c r="D162" s="98" t="s">
        <v>19</v>
      </c>
      <c r="E162" s="20" t="s">
        <v>325</v>
      </c>
      <c r="F162" s="105" t="s">
        <v>32</v>
      </c>
      <c r="G162" s="105"/>
      <c r="H162" s="86" t="s">
        <v>38</v>
      </c>
      <c r="I162" s="104" t="s">
        <v>804</v>
      </c>
      <c r="J162" s="104" t="s">
        <v>284</v>
      </c>
      <c r="K162" s="104" t="s">
        <v>1331</v>
      </c>
    </row>
    <row r="163" spans="1:11" x14ac:dyDescent="0.25">
      <c r="A163" s="104" t="s">
        <v>30</v>
      </c>
      <c r="B163" s="20"/>
      <c r="C163" s="20"/>
      <c r="E163" s="20"/>
      <c r="F163" s="20"/>
      <c r="G163" s="105"/>
      <c r="H163" s="20"/>
      <c r="I163" s="104" t="s">
        <v>804</v>
      </c>
      <c r="J163" s="104" t="s">
        <v>285</v>
      </c>
      <c r="K163" s="104" t="s">
        <v>1332</v>
      </c>
    </row>
    <row r="164" spans="1:11" x14ac:dyDescent="0.25">
      <c r="A164" s="104" t="s">
        <v>30</v>
      </c>
      <c r="B164" s="20"/>
      <c r="C164" s="20"/>
      <c r="E164" s="20"/>
      <c r="F164" s="20"/>
      <c r="G164" s="105"/>
      <c r="H164" s="20"/>
      <c r="I164" s="104" t="s">
        <v>804</v>
      </c>
      <c r="J164" s="104" t="s">
        <v>286</v>
      </c>
      <c r="K164" s="104" t="s">
        <v>1333</v>
      </c>
    </row>
    <row r="165" spans="1:11" x14ac:dyDescent="0.25">
      <c r="A165" s="104" t="s">
        <v>30</v>
      </c>
      <c r="B165" s="86"/>
      <c r="C165" s="86"/>
      <c r="E165" s="86"/>
      <c r="F165" s="86"/>
      <c r="G165" s="105"/>
      <c r="H165" s="86"/>
      <c r="I165" s="104" t="s">
        <v>804</v>
      </c>
      <c r="J165" s="104" t="s">
        <v>287</v>
      </c>
      <c r="K165" s="104" t="s">
        <v>1334</v>
      </c>
    </row>
    <row r="166" spans="1:11" x14ac:dyDescent="0.25">
      <c r="A166" s="104" t="s">
        <v>30</v>
      </c>
      <c r="B166" s="20"/>
      <c r="C166" s="20"/>
      <c r="E166" s="20"/>
      <c r="F166" s="20"/>
      <c r="G166" s="105"/>
      <c r="H166" s="20"/>
      <c r="I166" s="104" t="s">
        <v>804</v>
      </c>
      <c r="J166" s="104" t="s">
        <v>288</v>
      </c>
      <c r="K166" s="104" t="s">
        <v>1335</v>
      </c>
    </row>
    <row r="167" spans="1:11" x14ac:dyDescent="0.25">
      <c r="A167" s="104" t="s">
        <v>30</v>
      </c>
      <c r="B167" s="85" t="s">
        <v>813</v>
      </c>
      <c r="C167" s="85"/>
      <c r="D167" s="98" t="s">
        <v>21</v>
      </c>
      <c r="E167" s="85" t="s">
        <v>325</v>
      </c>
      <c r="F167" s="105" t="s">
        <v>32</v>
      </c>
      <c r="G167" s="105"/>
      <c r="H167" s="86" t="s">
        <v>38</v>
      </c>
      <c r="I167" s="104" t="s">
        <v>804</v>
      </c>
      <c r="J167" s="104" t="s">
        <v>289</v>
      </c>
      <c r="K167" s="104" t="s">
        <v>1336</v>
      </c>
    </row>
    <row r="168" spans="1:11" x14ac:dyDescent="0.25">
      <c r="A168" s="104" t="s">
        <v>30</v>
      </c>
      <c r="B168" s="20" t="s">
        <v>813</v>
      </c>
      <c r="C168" s="20"/>
      <c r="D168" s="98" t="s">
        <v>809</v>
      </c>
      <c r="E168" s="20" t="s">
        <v>814</v>
      </c>
      <c r="F168" s="20" t="s">
        <v>33</v>
      </c>
      <c r="G168" s="105"/>
      <c r="H168" s="86" t="s">
        <v>38</v>
      </c>
      <c r="I168" s="104" t="s">
        <v>805</v>
      </c>
      <c r="J168" s="104" t="s">
        <v>290</v>
      </c>
      <c r="K168" s="104" t="s">
        <v>1337</v>
      </c>
    </row>
    <row r="169" spans="1:11" x14ac:dyDescent="0.25">
      <c r="A169" s="104" t="s">
        <v>30</v>
      </c>
      <c r="B169" s="20" t="s">
        <v>813</v>
      </c>
      <c r="C169" s="20"/>
      <c r="D169" s="98" t="s">
        <v>8</v>
      </c>
      <c r="E169" s="20" t="s">
        <v>814</v>
      </c>
      <c r="F169" s="20" t="s">
        <v>33</v>
      </c>
      <c r="G169" s="105"/>
      <c r="H169" s="86" t="s">
        <v>38</v>
      </c>
      <c r="I169" s="104" t="s">
        <v>805</v>
      </c>
      <c r="J169" s="104" t="s">
        <v>291</v>
      </c>
      <c r="K169" s="104" t="s">
        <v>1338</v>
      </c>
    </row>
    <row r="170" spans="1:11" x14ac:dyDescent="0.25">
      <c r="A170" s="104" t="s">
        <v>30</v>
      </c>
      <c r="B170" s="20" t="s">
        <v>813</v>
      </c>
      <c r="C170" s="20"/>
      <c r="D170" s="98" t="s">
        <v>9</v>
      </c>
      <c r="E170" s="20" t="s">
        <v>814</v>
      </c>
      <c r="F170" s="20" t="s">
        <v>33</v>
      </c>
      <c r="G170" s="105"/>
      <c r="H170" s="86" t="s">
        <v>38</v>
      </c>
      <c r="I170" s="104" t="s">
        <v>805</v>
      </c>
      <c r="J170" s="104" t="s">
        <v>292</v>
      </c>
      <c r="K170" s="104" t="s">
        <v>1339</v>
      </c>
    </row>
    <row r="171" spans="1:11" x14ac:dyDescent="0.25">
      <c r="A171" s="104" t="s">
        <v>30</v>
      </c>
      <c r="B171" s="20" t="s">
        <v>813</v>
      </c>
      <c r="C171" s="20"/>
      <c r="D171" s="98" t="s">
        <v>19</v>
      </c>
      <c r="E171" s="20" t="s">
        <v>814</v>
      </c>
      <c r="F171" s="20" t="s">
        <v>33</v>
      </c>
      <c r="G171" s="105"/>
      <c r="H171" s="86" t="s">
        <v>38</v>
      </c>
      <c r="I171" s="104" t="s">
        <v>805</v>
      </c>
      <c r="J171" s="104" t="s">
        <v>293</v>
      </c>
      <c r="K171" s="104" t="s">
        <v>1340</v>
      </c>
    </row>
    <row r="172" spans="1:11" x14ac:dyDescent="0.25">
      <c r="A172" s="104" t="s">
        <v>30</v>
      </c>
      <c r="B172" s="20" t="s">
        <v>813</v>
      </c>
      <c r="C172" s="20"/>
      <c r="D172" s="98" t="s">
        <v>29</v>
      </c>
      <c r="E172" s="20" t="s">
        <v>814</v>
      </c>
      <c r="F172" s="20" t="s">
        <v>33</v>
      </c>
      <c r="G172" s="105"/>
      <c r="H172" s="86" t="s">
        <v>38</v>
      </c>
      <c r="I172" s="104" t="s">
        <v>805</v>
      </c>
      <c r="J172" s="104" t="s">
        <v>294</v>
      </c>
      <c r="K172" s="104" t="s">
        <v>1341</v>
      </c>
    </row>
    <row r="173" spans="1:11" x14ac:dyDescent="0.25">
      <c r="A173" s="104" t="s">
        <v>30</v>
      </c>
      <c r="I173" s="104" t="s">
        <v>805</v>
      </c>
      <c r="J173" s="104" t="s">
        <v>295</v>
      </c>
      <c r="K173" s="104" t="s">
        <v>1342</v>
      </c>
    </row>
    <row r="174" spans="1:11" x14ac:dyDescent="0.25">
      <c r="A174" s="104" t="s">
        <v>30</v>
      </c>
      <c r="I174" s="104" t="s">
        <v>805</v>
      </c>
      <c r="J174" s="104" t="s">
        <v>296</v>
      </c>
      <c r="K174" s="104" t="s">
        <v>1343</v>
      </c>
    </row>
    <row r="175" spans="1:11" x14ac:dyDescent="0.25">
      <c r="A175" s="104" t="s">
        <v>30</v>
      </c>
      <c r="B175" s="20"/>
      <c r="C175" s="20"/>
      <c r="E175" s="20"/>
      <c r="F175" s="20"/>
      <c r="G175" s="105"/>
      <c r="H175" s="20"/>
      <c r="I175" s="104" t="s">
        <v>805</v>
      </c>
      <c r="J175" s="104" t="s">
        <v>297</v>
      </c>
      <c r="K175" s="104" t="s">
        <v>1344</v>
      </c>
    </row>
    <row r="176" spans="1:11" x14ac:dyDescent="0.25">
      <c r="A176" s="104" t="s">
        <v>30</v>
      </c>
      <c r="B176" s="20" t="s">
        <v>813</v>
      </c>
      <c r="C176" s="20"/>
      <c r="D176" s="98" t="s">
        <v>21</v>
      </c>
      <c r="E176" s="20" t="s">
        <v>814</v>
      </c>
      <c r="F176" s="20" t="s">
        <v>33</v>
      </c>
      <c r="G176" s="105"/>
      <c r="H176" s="86" t="s">
        <v>38</v>
      </c>
      <c r="I176" s="104" t="s">
        <v>805</v>
      </c>
      <c r="J176" s="104" t="s">
        <v>298</v>
      </c>
      <c r="K176" s="104" t="s">
        <v>1345</v>
      </c>
    </row>
    <row r="177" spans="1:11" x14ac:dyDescent="0.25">
      <c r="A177" s="104" t="s">
        <v>30</v>
      </c>
      <c r="B177" s="86" t="s">
        <v>813</v>
      </c>
      <c r="C177" s="86"/>
      <c r="D177" s="98" t="s">
        <v>809</v>
      </c>
      <c r="E177" s="86" t="s">
        <v>325</v>
      </c>
      <c r="F177" s="86" t="s">
        <v>33</v>
      </c>
      <c r="G177" s="105"/>
      <c r="H177" s="86" t="s">
        <v>38</v>
      </c>
      <c r="I177" s="104" t="s">
        <v>806</v>
      </c>
      <c r="J177" s="104" t="s">
        <v>299</v>
      </c>
      <c r="K177" s="104" t="s">
        <v>1346</v>
      </c>
    </row>
    <row r="178" spans="1:11" x14ac:dyDescent="0.25">
      <c r="A178" s="104" t="s">
        <v>30</v>
      </c>
      <c r="B178" s="86" t="s">
        <v>813</v>
      </c>
      <c r="C178" s="86"/>
      <c r="D178" s="98" t="s">
        <v>8</v>
      </c>
      <c r="E178" s="86" t="s">
        <v>325</v>
      </c>
      <c r="F178" s="86" t="s">
        <v>33</v>
      </c>
      <c r="G178" s="105"/>
      <c r="H178" s="86" t="s">
        <v>38</v>
      </c>
      <c r="I178" s="104" t="s">
        <v>806</v>
      </c>
      <c r="J178" s="104" t="s">
        <v>300</v>
      </c>
      <c r="K178" s="104" t="s">
        <v>1347</v>
      </c>
    </row>
    <row r="179" spans="1:11" x14ac:dyDescent="0.25">
      <c r="A179" s="104" t="s">
        <v>30</v>
      </c>
      <c r="B179" s="86" t="s">
        <v>813</v>
      </c>
      <c r="C179" s="86"/>
      <c r="D179" s="98" t="s">
        <v>9</v>
      </c>
      <c r="E179" s="86" t="s">
        <v>325</v>
      </c>
      <c r="F179" s="86" t="s">
        <v>33</v>
      </c>
      <c r="G179" s="105"/>
      <c r="H179" s="86" t="s">
        <v>38</v>
      </c>
      <c r="I179" s="104" t="s">
        <v>806</v>
      </c>
      <c r="J179" s="104" t="s">
        <v>301</v>
      </c>
      <c r="K179" s="104" t="s">
        <v>1348</v>
      </c>
    </row>
    <row r="180" spans="1:11" x14ac:dyDescent="0.25">
      <c r="A180" s="104" t="s">
        <v>30</v>
      </c>
      <c r="B180" s="86" t="s">
        <v>813</v>
      </c>
      <c r="C180" s="86"/>
      <c r="D180" s="98" t="s">
        <v>19</v>
      </c>
      <c r="E180" s="86" t="s">
        <v>325</v>
      </c>
      <c r="F180" s="86" t="s">
        <v>33</v>
      </c>
      <c r="G180" s="105"/>
      <c r="H180" s="86" t="s">
        <v>38</v>
      </c>
      <c r="I180" s="104" t="s">
        <v>806</v>
      </c>
      <c r="J180" s="104" t="s">
        <v>302</v>
      </c>
      <c r="K180" s="104" t="s">
        <v>1349</v>
      </c>
    </row>
    <row r="181" spans="1:11" x14ac:dyDescent="0.25">
      <c r="A181" s="104" t="s">
        <v>30</v>
      </c>
      <c r="B181" s="86" t="s">
        <v>813</v>
      </c>
      <c r="C181" s="86"/>
      <c r="D181" s="98" t="s">
        <v>29</v>
      </c>
      <c r="E181" s="86" t="s">
        <v>325</v>
      </c>
      <c r="F181" s="86" t="s">
        <v>33</v>
      </c>
      <c r="G181" s="105"/>
      <c r="H181" s="86" t="s">
        <v>38</v>
      </c>
      <c r="I181" s="104" t="s">
        <v>806</v>
      </c>
      <c r="J181" s="104" t="s">
        <v>303</v>
      </c>
      <c r="K181" s="104" t="s">
        <v>1350</v>
      </c>
    </row>
    <row r="182" spans="1:11" x14ac:dyDescent="0.25">
      <c r="A182" s="104" t="s">
        <v>30</v>
      </c>
      <c r="B182" s="85"/>
      <c r="C182" s="85"/>
      <c r="E182" s="85"/>
      <c r="F182" s="85"/>
      <c r="H182" s="85"/>
      <c r="I182" s="104" t="s">
        <v>806</v>
      </c>
      <c r="J182" s="104" t="s">
        <v>304</v>
      </c>
      <c r="K182" s="104" t="s">
        <v>1351</v>
      </c>
    </row>
    <row r="183" spans="1:11" x14ac:dyDescent="0.25">
      <c r="A183" s="104" t="s">
        <v>30</v>
      </c>
      <c r="B183" s="85"/>
      <c r="C183" s="85"/>
      <c r="E183" s="85"/>
      <c r="F183" s="85"/>
      <c r="H183" s="85"/>
      <c r="I183" s="104" t="s">
        <v>806</v>
      </c>
      <c r="J183" s="104" t="s">
        <v>305</v>
      </c>
      <c r="K183" s="104" t="s">
        <v>1352</v>
      </c>
    </row>
    <row r="184" spans="1:11" x14ac:dyDescent="0.25">
      <c r="A184" s="104" t="s">
        <v>30</v>
      </c>
      <c r="B184" s="86"/>
      <c r="C184" s="86"/>
      <c r="E184" s="86"/>
      <c r="F184" s="86"/>
      <c r="G184" s="105"/>
      <c r="H184" s="86"/>
      <c r="I184" s="104" t="s">
        <v>806</v>
      </c>
      <c r="J184" s="104" t="s">
        <v>306</v>
      </c>
      <c r="K184" s="104" t="s">
        <v>1353</v>
      </c>
    </row>
    <row r="185" spans="1:11" x14ac:dyDescent="0.25">
      <c r="A185" s="104" t="s">
        <v>30</v>
      </c>
      <c r="B185" s="86" t="s">
        <v>813</v>
      </c>
      <c r="C185" s="86"/>
      <c r="D185" s="98" t="s">
        <v>21</v>
      </c>
      <c r="E185" s="86" t="s">
        <v>325</v>
      </c>
      <c r="F185" s="86" t="s">
        <v>33</v>
      </c>
      <c r="G185" s="105"/>
      <c r="H185" s="86" t="s">
        <v>38</v>
      </c>
      <c r="I185" s="104" t="s">
        <v>806</v>
      </c>
      <c r="J185" s="104" t="s">
        <v>307</v>
      </c>
      <c r="K185" s="104" t="s">
        <v>1354</v>
      </c>
    </row>
    <row r="186" spans="1:11" x14ac:dyDescent="0.25">
      <c r="A186" s="104" t="s">
        <v>28</v>
      </c>
      <c r="B186" s="87" t="s">
        <v>5</v>
      </c>
      <c r="C186" s="87" t="s">
        <v>13</v>
      </c>
      <c r="D186" s="98" t="s">
        <v>8</v>
      </c>
      <c r="E186" s="20"/>
      <c r="F186" s="20"/>
      <c r="G186" s="105"/>
      <c r="H186" s="88" t="s">
        <v>38</v>
      </c>
      <c r="I186" s="104" t="s">
        <v>5</v>
      </c>
      <c r="J186" s="104" t="s">
        <v>208</v>
      </c>
      <c r="K186" s="104" t="s">
        <v>1370</v>
      </c>
    </row>
    <row r="187" spans="1:11" x14ac:dyDescent="0.25">
      <c r="A187" s="104" t="s">
        <v>28</v>
      </c>
      <c r="B187" s="87" t="s">
        <v>5</v>
      </c>
      <c r="C187" s="20" t="s">
        <v>14</v>
      </c>
      <c r="D187" s="98" t="s">
        <v>8</v>
      </c>
      <c r="E187" s="20"/>
      <c r="F187" s="20"/>
      <c r="G187" s="105"/>
      <c r="H187" s="88" t="s">
        <v>38</v>
      </c>
      <c r="I187" s="104" t="s">
        <v>5</v>
      </c>
      <c r="J187" s="104" t="s">
        <v>209</v>
      </c>
      <c r="K187" s="104" t="s">
        <v>1355</v>
      </c>
    </row>
    <row r="188" spans="1:11" x14ac:dyDescent="0.25">
      <c r="A188" s="104" t="s">
        <v>28</v>
      </c>
      <c r="B188" s="87" t="s">
        <v>5</v>
      </c>
      <c r="C188" s="87" t="s">
        <v>13</v>
      </c>
      <c r="D188" s="98" t="s">
        <v>9</v>
      </c>
      <c r="E188" s="20"/>
      <c r="F188" s="20"/>
      <c r="G188" s="105"/>
      <c r="H188" s="88" t="s">
        <v>38</v>
      </c>
      <c r="I188" s="104" t="s">
        <v>5</v>
      </c>
      <c r="J188" s="104" t="s">
        <v>274</v>
      </c>
      <c r="K188" s="104" t="s">
        <v>1356</v>
      </c>
    </row>
    <row r="189" spans="1:11" x14ac:dyDescent="0.25">
      <c r="A189" s="104" t="s">
        <v>28</v>
      </c>
      <c r="B189" s="87" t="s">
        <v>5</v>
      </c>
      <c r="C189" s="88" t="s">
        <v>14</v>
      </c>
      <c r="D189" s="105" t="s">
        <v>9</v>
      </c>
      <c r="E189" s="20"/>
      <c r="F189" s="20"/>
      <c r="G189" s="105"/>
      <c r="H189" s="88" t="s">
        <v>38</v>
      </c>
      <c r="I189" s="104" t="s">
        <v>5</v>
      </c>
      <c r="J189" s="104" t="s">
        <v>308</v>
      </c>
      <c r="K189" s="104" t="s">
        <v>1357</v>
      </c>
    </row>
    <row r="190" spans="1:11" x14ac:dyDescent="0.25">
      <c r="A190" s="104" t="s">
        <v>28</v>
      </c>
      <c r="B190" s="87" t="s">
        <v>5</v>
      </c>
      <c r="C190" s="87" t="s">
        <v>13</v>
      </c>
      <c r="D190" s="98" t="s">
        <v>19</v>
      </c>
      <c r="E190" s="20"/>
      <c r="F190" s="20"/>
      <c r="G190" s="105"/>
      <c r="H190" s="88" t="s">
        <v>38</v>
      </c>
      <c r="I190" s="104" t="s">
        <v>5</v>
      </c>
      <c r="J190" s="104" t="s">
        <v>275</v>
      </c>
      <c r="K190" s="104" t="s">
        <v>1358</v>
      </c>
    </row>
    <row r="191" spans="1:11" x14ac:dyDescent="0.25">
      <c r="A191" s="104" t="s">
        <v>28</v>
      </c>
      <c r="B191" s="87" t="s">
        <v>5</v>
      </c>
      <c r="C191" s="88" t="s">
        <v>14</v>
      </c>
      <c r="D191" s="98" t="s">
        <v>19</v>
      </c>
      <c r="E191" s="20"/>
      <c r="F191" s="20"/>
      <c r="G191" s="105"/>
      <c r="H191" s="88" t="s">
        <v>38</v>
      </c>
      <c r="I191" s="104" t="s">
        <v>5</v>
      </c>
      <c r="J191" s="104" t="s">
        <v>309</v>
      </c>
      <c r="K191" s="104" t="s">
        <v>1359</v>
      </c>
    </row>
    <row r="192" spans="1:11" x14ac:dyDescent="0.25">
      <c r="A192" s="104" t="s">
        <v>28</v>
      </c>
      <c r="B192" s="20"/>
      <c r="C192" s="20"/>
      <c r="E192" s="20"/>
      <c r="F192" s="20"/>
      <c r="G192" s="105"/>
      <c r="H192" s="20"/>
      <c r="I192" s="104" t="s">
        <v>5</v>
      </c>
      <c r="J192" s="104" t="s">
        <v>276</v>
      </c>
      <c r="K192" s="104" t="s">
        <v>1360</v>
      </c>
    </row>
    <row r="193" spans="1:11" x14ac:dyDescent="0.25">
      <c r="A193" s="104" t="s">
        <v>28</v>
      </c>
      <c r="B193" s="20"/>
      <c r="C193" s="20"/>
      <c r="E193" s="20"/>
      <c r="F193" s="20"/>
      <c r="G193" s="105"/>
      <c r="H193" s="20"/>
      <c r="I193" s="104" t="s">
        <v>5</v>
      </c>
      <c r="J193" s="104" t="s">
        <v>310</v>
      </c>
      <c r="K193" s="104" t="s">
        <v>1361</v>
      </c>
    </row>
    <row r="194" spans="1:11" x14ac:dyDescent="0.25">
      <c r="A194" s="104" t="s">
        <v>28</v>
      </c>
      <c r="B194" s="20"/>
      <c r="C194" s="20"/>
      <c r="E194" s="20"/>
      <c r="F194" s="20"/>
      <c r="G194" s="105"/>
      <c r="H194" s="20"/>
      <c r="I194" s="104" t="s">
        <v>5</v>
      </c>
      <c r="J194" s="104" t="s">
        <v>277</v>
      </c>
      <c r="K194" s="104" t="s">
        <v>1362</v>
      </c>
    </row>
    <row r="195" spans="1:11" x14ac:dyDescent="0.25">
      <c r="A195" s="104" t="s">
        <v>28</v>
      </c>
      <c r="B195" s="20"/>
      <c r="C195" s="20"/>
      <c r="E195" s="20"/>
      <c r="F195" s="20"/>
      <c r="G195" s="105"/>
      <c r="H195" s="20"/>
      <c r="I195" s="104" t="s">
        <v>5</v>
      </c>
      <c r="J195" s="104" t="s">
        <v>311</v>
      </c>
      <c r="K195" s="104" t="s">
        <v>1363</v>
      </c>
    </row>
    <row r="196" spans="1:11" x14ac:dyDescent="0.25">
      <c r="A196" s="104" t="s">
        <v>28</v>
      </c>
      <c r="B196" s="20"/>
      <c r="C196" s="20"/>
      <c r="E196" s="20"/>
      <c r="F196" s="20"/>
      <c r="G196" s="105"/>
      <c r="H196" s="20"/>
      <c r="I196" s="104" t="s">
        <v>5</v>
      </c>
      <c r="J196" s="104" t="s">
        <v>278</v>
      </c>
      <c r="K196" s="104" t="s">
        <v>1364</v>
      </c>
    </row>
    <row r="197" spans="1:11" x14ac:dyDescent="0.25">
      <c r="A197" s="104" t="s">
        <v>28</v>
      </c>
      <c r="B197" s="20"/>
      <c r="C197" s="20"/>
      <c r="E197" s="20"/>
      <c r="F197" s="20"/>
      <c r="G197" s="105"/>
      <c r="H197" s="20"/>
      <c r="I197" s="104" t="s">
        <v>5</v>
      </c>
      <c r="J197" s="104" t="s">
        <v>312</v>
      </c>
      <c r="K197" s="104" t="s">
        <v>1365</v>
      </c>
    </row>
    <row r="198" spans="1:11" x14ac:dyDescent="0.25">
      <c r="A198" s="104" t="s">
        <v>28</v>
      </c>
      <c r="B198" s="20"/>
      <c r="C198" s="20"/>
      <c r="E198" s="20"/>
      <c r="F198" s="20"/>
      <c r="G198" s="105"/>
      <c r="H198" s="20"/>
      <c r="I198" s="104" t="s">
        <v>5</v>
      </c>
      <c r="J198" s="104" t="s">
        <v>279</v>
      </c>
      <c r="K198" s="104" t="s">
        <v>1366</v>
      </c>
    </row>
    <row r="199" spans="1:11" x14ac:dyDescent="0.25">
      <c r="A199" s="104" t="s">
        <v>28</v>
      </c>
      <c r="B199" s="20"/>
      <c r="C199" s="20"/>
      <c r="E199" s="20"/>
      <c r="F199" s="20"/>
      <c r="G199" s="105"/>
      <c r="H199" s="20"/>
      <c r="I199" s="104" t="s">
        <v>5</v>
      </c>
      <c r="J199" s="104" t="s">
        <v>313</v>
      </c>
      <c r="K199" s="104" t="s">
        <v>1367</v>
      </c>
    </row>
    <row r="200" spans="1:11" x14ac:dyDescent="0.25">
      <c r="A200" s="104" t="s">
        <v>28</v>
      </c>
      <c r="B200" s="87" t="s">
        <v>5</v>
      </c>
      <c r="C200" s="87" t="s">
        <v>13</v>
      </c>
      <c r="D200" s="98" t="s">
        <v>21</v>
      </c>
      <c r="E200" s="20"/>
      <c r="F200" s="20"/>
      <c r="G200" s="105"/>
      <c r="H200" s="88" t="s">
        <v>38</v>
      </c>
      <c r="I200" s="104" t="s">
        <v>5</v>
      </c>
      <c r="J200" s="104" t="s">
        <v>280</v>
      </c>
      <c r="K200" s="104" t="s">
        <v>1368</v>
      </c>
    </row>
    <row r="201" spans="1:11" x14ac:dyDescent="0.25">
      <c r="A201" s="104" t="s">
        <v>28</v>
      </c>
      <c r="B201" s="87" t="s">
        <v>5</v>
      </c>
      <c r="C201" s="88" t="s">
        <v>14</v>
      </c>
      <c r="D201" s="98" t="s">
        <v>21</v>
      </c>
      <c r="E201" s="20"/>
      <c r="F201" s="20"/>
      <c r="G201" s="105"/>
      <c r="H201" s="88" t="s">
        <v>38</v>
      </c>
      <c r="I201" s="104" t="s">
        <v>5</v>
      </c>
      <c r="J201" s="104" t="s">
        <v>314</v>
      </c>
      <c r="K201" s="104" t="s">
        <v>1369</v>
      </c>
    </row>
    <row r="202" spans="1:11" x14ac:dyDescent="0.25">
      <c r="A202" s="104" t="s">
        <v>315</v>
      </c>
      <c r="B202" s="20" t="s">
        <v>5</v>
      </c>
      <c r="C202" s="20" t="s">
        <v>13</v>
      </c>
      <c r="D202" s="98" t="s">
        <v>9</v>
      </c>
      <c r="E202" s="20"/>
      <c r="F202" s="20"/>
      <c r="G202" s="105"/>
      <c r="H202" s="89" t="s">
        <v>38</v>
      </c>
      <c r="I202" s="104" t="s">
        <v>5</v>
      </c>
      <c r="J202" s="104" t="s">
        <v>274</v>
      </c>
      <c r="K202" s="104" t="s">
        <v>1372</v>
      </c>
    </row>
    <row r="203" spans="1:11" x14ac:dyDescent="0.25">
      <c r="A203" s="104" t="s">
        <v>315</v>
      </c>
      <c r="B203" s="20" t="s">
        <v>5</v>
      </c>
      <c r="C203" s="20" t="s">
        <v>14</v>
      </c>
      <c r="D203" s="98" t="s">
        <v>9</v>
      </c>
      <c r="E203" s="20"/>
      <c r="F203" s="20"/>
      <c r="G203" s="105"/>
      <c r="H203" s="89" t="s">
        <v>38</v>
      </c>
      <c r="I203" s="104" t="s">
        <v>5</v>
      </c>
      <c r="J203" s="104" t="s">
        <v>308</v>
      </c>
      <c r="K203" s="104" t="s">
        <v>1373</v>
      </c>
    </row>
    <row r="204" spans="1:11" x14ac:dyDescent="0.25">
      <c r="A204" s="104" t="s">
        <v>315</v>
      </c>
      <c r="B204" s="20" t="s">
        <v>5</v>
      </c>
      <c r="C204" s="89" t="s">
        <v>13</v>
      </c>
      <c r="D204" s="98" t="s">
        <v>19</v>
      </c>
      <c r="E204" s="20"/>
      <c r="F204" s="20"/>
      <c r="G204" s="105"/>
      <c r="H204" s="89" t="s">
        <v>38</v>
      </c>
      <c r="I204" s="104" t="s">
        <v>5</v>
      </c>
      <c r="J204" s="104" t="s">
        <v>275</v>
      </c>
      <c r="K204" s="104" t="s">
        <v>1374</v>
      </c>
    </row>
    <row r="205" spans="1:11" x14ac:dyDescent="0.25">
      <c r="A205" s="104" t="s">
        <v>315</v>
      </c>
      <c r="B205" s="20" t="s">
        <v>5</v>
      </c>
      <c r="C205" s="89" t="s">
        <v>14</v>
      </c>
      <c r="D205" s="98" t="s">
        <v>19</v>
      </c>
      <c r="E205" s="20"/>
      <c r="F205" s="20"/>
      <c r="G205" s="105"/>
      <c r="H205" s="89" t="s">
        <v>38</v>
      </c>
      <c r="I205" s="104" t="s">
        <v>5</v>
      </c>
      <c r="J205" s="104" t="s">
        <v>309</v>
      </c>
      <c r="K205" s="104" t="s">
        <v>1375</v>
      </c>
    </row>
    <row r="206" spans="1:11" x14ac:dyDescent="0.25">
      <c r="A206" s="104" t="s">
        <v>315</v>
      </c>
      <c r="B206" s="20" t="s">
        <v>5</v>
      </c>
      <c r="C206" s="89" t="s">
        <v>13</v>
      </c>
      <c r="D206" s="98" t="s">
        <v>29</v>
      </c>
      <c r="E206" s="20"/>
      <c r="F206" s="20"/>
      <c r="G206" s="105"/>
      <c r="H206" s="89" t="s">
        <v>38</v>
      </c>
      <c r="I206" s="104" t="s">
        <v>5</v>
      </c>
      <c r="J206" s="104" t="s">
        <v>276</v>
      </c>
      <c r="K206" s="104" t="s">
        <v>1376</v>
      </c>
    </row>
    <row r="207" spans="1:11" x14ac:dyDescent="0.25">
      <c r="A207" s="104" t="s">
        <v>315</v>
      </c>
      <c r="B207" s="20" t="s">
        <v>5</v>
      </c>
      <c r="C207" s="89" t="s">
        <v>14</v>
      </c>
      <c r="D207" s="98" t="s">
        <v>29</v>
      </c>
      <c r="E207" s="20"/>
      <c r="F207" s="20"/>
      <c r="G207" s="105"/>
      <c r="H207" s="89" t="s">
        <v>38</v>
      </c>
      <c r="I207" s="104" t="s">
        <v>5</v>
      </c>
      <c r="J207" s="104" t="s">
        <v>310</v>
      </c>
      <c r="K207" s="104" t="s">
        <v>1377</v>
      </c>
    </row>
    <row r="208" spans="1:11" x14ac:dyDescent="0.25">
      <c r="A208" s="104" t="s">
        <v>315</v>
      </c>
      <c r="E208" s="20"/>
      <c r="F208" s="20"/>
      <c r="G208" s="105"/>
      <c r="H208" s="20"/>
      <c r="I208" s="104" t="s">
        <v>5</v>
      </c>
      <c r="J208" s="104" t="s">
        <v>277</v>
      </c>
      <c r="K208" s="104" t="s">
        <v>1378</v>
      </c>
    </row>
    <row r="209" spans="1:11" x14ac:dyDescent="0.25">
      <c r="A209" s="104" t="s">
        <v>315</v>
      </c>
      <c r="E209" s="20"/>
      <c r="F209" s="20"/>
      <c r="G209" s="105"/>
      <c r="H209" s="20"/>
      <c r="I209" s="104" t="s">
        <v>5</v>
      </c>
      <c r="J209" s="104" t="s">
        <v>311</v>
      </c>
      <c r="K209" s="104" t="s">
        <v>1379</v>
      </c>
    </row>
    <row r="210" spans="1:11" x14ac:dyDescent="0.25">
      <c r="A210" s="104" t="s">
        <v>315</v>
      </c>
      <c r="B210" s="20"/>
      <c r="C210" s="20"/>
      <c r="E210" s="20"/>
      <c r="F210" s="20"/>
      <c r="G210" s="105"/>
      <c r="H210" s="20"/>
      <c r="I210" s="104" t="s">
        <v>5</v>
      </c>
      <c r="J210" s="104" t="s">
        <v>278</v>
      </c>
      <c r="K210" s="104" t="s">
        <v>1380</v>
      </c>
    </row>
    <row r="211" spans="1:11" x14ac:dyDescent="0.25">
      <c r="A211" s="104" t="s">
        <v>315</v>
      </c>
      <c r="B211" s="20"/>
      <c r="C211" s="20"/>
      <c r="E211" s="20"/>
      <c r="F211" s="20"/>
      <c r="G211" s="105"/>
      <c r="H211" s="20"/>
      <c r="I211" s="104" t="s">
        <v>5</v>
      </c>
      <c r="J211" s="104" t="s">
        <v>312</v>
      </c>
      <c r="K211" s="104" t="s">
        <v>1381</v>
      </c>
    </row>
    <row r="212" spans="1:11" x14ac:dyDescent="0.25">
      <c r="A212" s="104" t="s">
        <v>315</v>
      </c>
      <c r="B212" s="20"/>
      <c r="C212" s="20"/>
      <c r="E212" s="20"/>
      <c r="F212" s="20"/>
      <c r="G212" s="105"/>
      <c r="H212" s="20"/>
      <c r="I212" s="104" t="s">
        <v>5</v>
      </c>
      <c r="J212" s="104" t="s">
        <v>279</v>
      </c>
      <c r="K212" s="104" t="s">
        <v>1382</v>
      </c>
    </row>
    <row r="213" spans="1:11" x14ac:dyDescent="0.25">
      <c r="A213" s="104" t="s">
        <v>315</v>
      </c>
      <c r="B213" s="20"/>
      <c r="C213" s="20"/>
      <c r="E213" s="20"/>
      <c r="F213" s="20"/>
      <c r="G213" s="105"/>
      <c r="H213" s="20"/>
      <c r="I213" s="104" t="s">
        <v>5</v>
      </c>
      <c r="J213" s="104" t="s">
        <v>313</v>
      </c>
      <c r="K213" s="104" t="s">
        <v>1383</v>
      </c>
    </row>
    <row r="214" spans="1:11" x14ac:dyDescent="0.25">
      <c r="A214" s="104" t="s">
        <v>315</v>
      </c>
      <c r="B214" s="20" t="s">
        <v>5</v>
      </c>
      <c r="C214" s="20" t="s">
        <v>13</v>
      </c>
      <c r="D214" s="98" t="s">
        <v>21</v>
      </c>
      <c r="E214" s="20"/>
      <c r="F214" s="20"/>
      <c r="G214" s="105"/>
      <c r="H214" s="89" t="s">
        <v>38</v>
      </c>
      <c r="I214" s="104" t="s">
        <v>5</v>
      </c>
      <c r="J214" s="104" t="s">
        <v>280</v>
      </c>
      <c r="K214" s="104" t="s">
        <v>1384</v>
      </c>
    </row>
    <row r="215" spans="1:11" x14ac:dyDescent="0.25">
      <c r="A215" s="104" t="s">
        <v>315</v>
      </c>
      <c r="B215" s="20" t="s">
        <v>5</v>
      </c>
      <c r="C215" s="20" t="s">
        <v>14</v>
      </c>
      <c r="D215" s="98" t="s">
        <v>21</v>
      </c>
      <c r="E215" s="20"/>
      <c r="F215" s="20"/>
      <c r="G215" s="105"/>
      <c r="H215" s="89" t="s">
        <v>38</v>
      </c>
      <c r="I215" s="104" t="s">
        <v>5</v>
      </c>
      <c r="J215" s="104" t="s">
        <v>314</v>
      </c>
      <c r="K215" s="104" t="s">
        <v>1385</v>
      </c>
    </row>
    <row r="216" spans="1:11" x14ac:dyDescent="0.25">
      <c r="A216" s="165" t="s">
        <v>315</v>
      </c>
      <c r="B216" s="165" t="s">
        <v>815</v>
      </c>
      <c r="C216" s="166"/>
      <c r="D216" s="166"/>
      <c r="E216" s="166"/>
      <c r="F216" s="166" t="s">
        <v>199</v>
      </c>
      <c r="G216" s="166"/>
      <c r="H216" s="166" t="s">
        <v>38</v>
      </c>
      <c r="I216" s="165" t="s">
        <v>197</v>
      </c>
      <c r="J216" s="165" t="s">
        <v>199</v>
      </c>
      <c r="K216" s="165" t="s">
        <v>1386</v>
      </c>
    </row>
    <row r="217" spans="1:11" x14ac:dyDescent="0.25">
      <c r="A217" s="165" t="s">
        <v>315</v>
      </c>
      <c r="B217" s="165" t="s">
        <v>815</v>
      </c>
      <c r="C217" s="166"/>
      <c r="D217" s="166"/>
      <c r="E217" s="166"/>
      <c r="F217" s="166" t="s">
        <v>317</v>
      </c>
      <c r="G217" s="166"/>
      <c r="H217" s="166" t="s">
        <v>38</v>
      </c>
      <c r="I217" s="165" t="s">
        <v>197</v>
      </c>
      <c r="J217" s="165" t="s">
        <v>317</v>
      </c>
      <c r="K217" s="165" t="s">
        <v>1387</v>
      </c>
    </row>
    <row r="218" spans="1:11" x14ac:dyDescent="0.25">
      <c r="A218" s="165" t="s">
        <v>315</v>
      </c>
      <c r="B218" s="165"/>
      <c r="C218" s="165"/>
      <c r="D218" s="166"/>
      <c r="E218" s="165"/>
      <c r="F218" s="165"/>
      <c r="G218" s="165"/>
      <c r="H218" s="165"/>
      <c r="I218" s="165" t="s">
        <v>197</v>
      </c>
      <c r="J218" s="165" t="s">
        <v>318</v>
      </c>
      <c r="K218" s="165" t="s">
        <v>1388</v>
      </c>
    </row>
    <row r="219" spans="1:11" x14ac:dyDescent="0.25">
      <c r="A219" s="165" t="s">
        <v>315</v>
      </c>
      <c r="B219" s="165" t="s">
        <v>815</v>
      </c>
      <c r="C219" s="166"/>
      <c r="D219" s="166"/>
      <c r="E219" s="166"/>
      <c r="F219" s="166" t="s">
        <v>319</v>
      </c>
      <c r="G219" s="166"/>
      <c r="H219" s="166" t="s">
        <v>38</v>
      </c>
      <c r="I219" s="165" t="s">
        <v>197</v>
      </c>
      <c r="J219" s="165" t="s">
        <v>319</v>
      </c>
      <c r="K219" s="165" t="s">
        <v>1389</v>
      </c>
    </row>
    <row r="220" spans="1:11" s="104" customFormat="1" x14ac:dyDescent="0.25">
      <c r="A220" s="104" t="s">
        <v>16</v>
      </c>
      <c r="B220" s="104" t="s">
        <v>1672</v>
      </c>
      <c r="C220" s="148" t="s">
        <v>13</v>
      </c>
      <c r="D220" s="105" t="s">
        <v>31</v>
      </c>
      <c r="E220" s="105"/>
      <c r="F220" s="105"/>
      <c r="G220" s="105"/>
      <c r="H220" s="105" t="s">
        <v>88</v>
      </c>
      <c r="I220" s="105" t="s">
        <v>5</v>
      </c>
      <c r="J220" s="19" t="s">
        <v>1620</v>
      </c>
      <c r="K220" s="104" t="s">
        <v>1390</v>
      </c>
    </row>
    <row r="221" spans="1:11" s="104" customFormat="1" x14ac:dyDescent="0.25">
      <c r="A221" s="104" t="s">
        <v>16</v>
      </c>
      <c r="B221" s="104" t="s">
        <v>1672</v>
      </c>
      <c r="C221" s="148" t="s">
        <v>14</v>
      </c>
      <c r="D221" s="105" t="s">
        <v>31</v>
      </c>
      <c r="E221" s="105"/>
      <c r="F221" s="105"/>
      <c r="G221" s="105"/>
      <c r="H221" s="105" t="s">
        <v>88</v>
      </c>
      <c r="I221" s="105" t="s">
        <v>5</v>
      </c>
      <c r="J221" s="19" t="s">
        <v>1621</v>
      </c>
      <c r="K221" s="104" t="s">
        <v>1391</v>
      </c>
    </row>
    <row r="222" spans="1:11" s="104" customFormat="1" x14ac:dyDescent="0.25">
      <c r="A222" s="104" t="s">
        <v>16</v>
      </c>
      <c r="B222" s="104" t="s">
        <v>1672</v>
      </c>
      <c r="C222" s="105" t="s">
        <v>13</v>
      </c>
      <c r="D222" s="105" t="s">
        <v>47</v>
      </c>
      <c r="E222" s="105"/>
      <c r="F222" s="105"/>
      <c r="G222" s="105"/>
      <c r="H222" s="105" t="s">
        <v>88</v>
      </c>
      <c r="I222" s="105" t="s">
        <v>5</v>
      </c>
      <c r="J222" s="19" t="s">
        <v>1622</v>
      </c>
      <c r="K222" s="104" t="s">
        <v>1392</v>
      </c>
    </row>
    <row r="223" spans="1:11" s="104" customFormat="1" x14ac:dyDescent="0.25">
      <c r="A223" s="104" t="s">
        <v>16</v>
      </c>
      <c r="B223" s="104" t="s">
        <v>1672</v>
      </c>
      <c r="C223" s="105" t="s">
        <v>14</v>
      </c>
      <c r="D223" s="105" t="s">
        <v>47</v>
      </c>
      <c r="E223" s="105"/>
      <c r="F223" s="105"/>
      <c r="G223" s="105"/>
      <c r="H223" s="105" t="s">
        <v>88</v>
      </c>
      <c r="I223" s="105" t="s">
        <v>5</v>
      </c>
      <c r="J223" s="19" t="s">
        <v>1623</v>
      </c>
      <c r="K223" s="104" t="s">
        <v>1393</v>
      </c>
    </row>
    <row r="224" spans="1:11" s="104" customFormat="1" x14ac:dyDescent="0.25">
      <c r="A224" s="104" t="s">
        <v>16</v>
      </c>
      <c r="B224" s="105" t="s">
        <v>1677</v>
      </c>
      <c r="C224" s="105" t="s">
        <v>13</v>
      </c>
      <c r="D224" s="105" t="s">
        <v>31</v>
      </c>
      <c r="E224" s="105" t="s">
        <v>325</v>
      </c>
      <c r="F224" s="105" t="s">
        <v>32</v>
      </c>
      <c r="G224" s="105"/>
      <c r="H224" s="105" t="s">
        <v>38</v>
      </c>
      <c r="I224" s="105" t="s">
        <v>5</v>
      </c>
      <c r="J224" s="19" t="s">
        <v>321</v>
      </c>
      <c r="K224" s="19" t="s">
        <v>1616</v>
      </c>
    </row>
    <row r="225" spans="1:11" s="104" customFormat="1" x14ac:dyDescent="0.25">
      <c r="A225" s="104" t="s">
        <v>16</v>
      </c>
      <c r="B225" s="105" t="s">
        <v>1677</v>
      </c>
      <c r="C225" s="105" t="s">
        <v>14</v>
      </c>
      <c r="D225" s="105" t="s">
        <v>31</v>
      </c>
      <c r="E225" s="105" t="s">
        <v>325</v>
      </c>
      <c r="F225" s="105" t="s">
        <v>32</v>
      </c>
      <c r="G225" s="105"/>
      <c r="H225" s="105" t="s">
        <v>38</v>
      </c>
      <c r="I225" s="105" t="s">
        <v>5</v>
      </c>
      <c r="J225" s="139" t="s">
        <v>322</v>
      </c>
      <c r="K225" s="19" t="s">
        <v>1617</v>
      </c>
    </row>
    <row r="226" spans="1:11" s="104" customFormat="1" x14ac:dyDescent="0.25">
      <c r="A226" s="104" t="s">
        <v>16</v>
      </c>
      <c r="B226" s="105" t="s">
        <v>1677</v>
      </c>
      <c r="C226" s="105" t="s">
        <v>13</v>
      </c>
      <c r="D226" s="105" t="s">
        <v>47</v>
      </c>
      <c r="E226" s="105" t="s">
        <v>325</v>
      </c>
      <c r="F226" s="105" t="s">
        <v>32</v>
      </c>
      <c r="G226" s="105"/>
      <c r="H226" s="105" t="s">
        <v>38</v>
      </c>
      <c r="I226" s="105" t="s">
        <v>5</v>
      </c>
      <c r="J226" s="139" t="s">
        <v>323</v>
      </c>
      <c r="K226" s="19" t="s">
        <v>1618</v>
      </c>
    </row>
    <row r="227" spans="1:11" s="104" customFormat="1" x14ac:dyDescent="0.25">
      <c r="A227" s="104" t="s">
        <v>16</v>
      </c>
      <c r="B227" s="105" t="s">
        <v>1677</v>
      </c>
      <c r="C227" s="105" t="s">
        <v>14</v>
      </c>
      <c r="D227" s="105" t="s">
        <v>47</v>
      </c>
      <c r="E227" s="105" t="s">
        <v>325</v>
      </c>
      <c r="F227" s="105" t="s">
        <v>32</v>
      </c>
      <c r="G227" s="105"/>
      <c r="H227" s="105" t="s">
        <v>38</v>
      </c>
      <c r="I227" s="105" t="s">
        <v>5</v>
      </c>
      <c r="J227" s="139" t="s">
        <v>324</v>
      </c>
      <c r="K227" s="19" t="s">
        <v>1619</v>
      </c>
    </row>
    <row r="228" spans="1:11" s="104" customFormat="1" x14ac:dyDescent="0.25">
      <c r="A228" s="104" t="s">
        <v>16</v>
      </c>
      <c r="B228" s="105" t="s">
        <v>1677</v>
      </c>
      <c r="C228" s="105" t="s">
        <v>13</v>
      </c>
      <c r="D228" s="105" t="s">
        <v>31</v>
      </c>
      <c r="E228" s="105" t="s">
        <v>325</v>
      </c>
      <c r="F228" s="105" t="s">
        <v>33</v>
      </c>
      <c r="G228" s="105"/>
      <c r="H228" s="105" t="s">
        <v>38</v>
      </c>
      <c r="I228" s="105" t="s">
        <v>5</v>
      </c>
      <c r="J228" s="19" t="s">
        <v>321</v>
      </c>
      <c r="K228" s="19" t="s">
        <v>1616</v>
      </c>
    </row>
    <row r="229" spans="1:11" s="104" customFormat="1" x14ac:dyDescent="0.25">
      <c r="A229" s="104" t="s">
        <v>16</v>
      </c>
      <c r="B229" s="105" t="s">
        <v>1677</v>
      </c>
      <c r="C229" s="105" t="s">
        <v>14</v>
      </c>
      <c r="D229" s="105" t="s">
        <v>31</v>
      </c>
      <c r="E229" s="105" t="s">
        <v>325</v>
      </c>
      <c r="F229" s="105" t="s">
        <v>33</v>
      </c>
      <c r="G229" s="105"/>
      <c r="H229" s="105" t="s">
        <v>38</v>
      </c>
      <c r="I229" s="105" t="s">
        <v>5</v>
      </c>
      <c r="J229" s="19" t="s">
        <v>322</v>
      </c>
      <c r="K229" s="19" t="s">
        <v>1617</v>
      </c>
    </row>
    <row r="230" spans="1:11" s="104" customFormat="1" x14ac:dyDescent="0.25">
      <c r="A230" s="104" t="s">
        <v>16</v>
      </c>
      <c r="B230" s="105" t="s">
        <v>1677</v>
      </c>
      <c r="C230" s="105" t="s">
        <v>13</v>
      </c>
      <c r="D230" s="105" t="s">
        <v>47</v>
      </c>
      <c r="E230" s="105" t="s">
        <v>325</v>
      </c>
      <c r="F230" s="105" t="s">
        <v>33</v>
      </c>
      <c r="G230" s="105"/>
      <c r="H230" s="105" t="s">
        <v>38</v>
      </c>
      <c r="I230" s="105" t="s">
        <v>5</v>
      </c>
      <c r="J230" s="19" t="s">
        <v>323</v>
      </c>
      <c r="K230" s="19" t="s">
        <v>1618</v>
      </c>
    </row>
    <row r="231" spans="1:11" s="104" customFormat="1" x14ac:dyDescent="0.25">
      <c r="A231" s="104" t="s">
        <v>16</v>
      </c>
      <c r="B231" s="105" t="s">
        <v>1677</v>
      </c>
      <c r="C231" s="105" t="s">
        <v>14</v>
      </c>
      <c r="D231" s="105" t="s">
        <v>47</v>
      </c>
      <c r="E231" s="105" t="s">
        <v>325</v>
      </c>
      <c r="F231" s="105" t="s">
        <v>33</v>
      </c>
      <c r="G231" s="105"/>
      <c r="H231" s="105" t="s">
        <v>38</v>
      </c>
      <c r="I231" s="105" t="s">
        <v>5</v>
      </c>
      <c r="J231" s="19" t="s">
        <v>324</v>
      </c>
      <c r="K231" s="19" t="s">
        <v>1619</v>
      </c>
    </row>
    <row r="232" spans="1:11" s="104" customFormat="1" x14ac:dyDescent="0.25">
      <c r="A232" s="104" t="s">
        <v>16</v>
      </c>
      <c r="B232" s="105" t="s">
        <v>1677</v>
      </c>
      <c r="C232" s="105" t="s">
        <v>13</v>
      </c>
      <c r="D232" s="105" t="s">
        <v>31</v>
      </c>
      <c r="E232" s="105" t="s">
        <v>814</v>
      </c>
      <c r="F232" s="105" t="s">
        <v>33</v>
      </c>
      <c r="G232" s="105"/>
      <c r="H232" s="105" t="s">
        <v>38</v>
      </c>
      <c r="I232" s="105" t="s">
        <v>5</v>
      </c>
      <c r="J232" s="19" t="s">
        <v>321</v>
      </c>
      <c r="K232" s="19" t="s">
        <v>1616</v>
      </c>
    </row>
    <row r="233" spans="1:11" s="104" customFormat="1" x14ac:dyDescent="0.25">
      <c r="A233" s="104" t="s">
        <v>16</v>
      </c>
      <c r="B233" s="105" t="s">
        <v>1677</v>
      </c>
      <c r="C233" s="105" t="s">
        <v>14</v>
      </c>
      <c r="D233" s="105" t="s">
        <v>31</v>
      </c>
      <c r="E233" s="105" t="s">
        <v>814</v>
      </c>
      <c r="F233" s="105" t="s">
        <v>33</v>
      </c>
      <c r="G233" s="105"/>
      <c r="H233" s="105" t="s">
        <v>38</v>
      </c>
      <c r="I233" s="105" t="s">
        <v>5</v>
      </c>
      <c r="J233" s="104" t="s">
        <v>322</v>
      </c>
      <c r="K233" s="19" t="s">
        <v>1617</v>
      </c>
    </row>
    <row r="234" spans="1:11" s="104" customFormat="1" x14ac:dyDescent="0.25">
      <c r="A234" s="104" t="s">
        <v>16</v>
      </c>
      <c r="B234" s="105" t="s">
        <v>1677</v>
      </c>
      <c r="C234" s="105" t="s">
        <v>13</v>
      </c>
      <c r="D234" s="105" t="s">
        <v>47</v>
      </c>
      <c r="E234" s="105" t="s">
        <v>814</v>
      </c>
      <c r="F234" s="105" t="s">
        <v>33</v>
      </c>
      <c r="G234" s="105"/>
      <c r="H234" s="105" t="s">
        <v>38</v>
      </c>
      <c r="I234" s="105" t="s">
        <v>5</v>
      </c>
      <c r="J234" s="104" t="s">
        <v>323</v>
      </c>
      <c r="K234" s="19" t="s">
        <v>1618</v>
      </c>
    </row>
    <row r="235" spans="1:11" s="104" customFormat="1" x14ac:dyDescent="0.25">
      <c r="A235" s="104" t="s">
        <v>16</v>
      </c>
      <c r="B235" s="105" t="s">
        <v>1677</v>
      </c>
      <c r="C235" s="105" t="s">
        <v>14</v>
      </c>
      <c r="D235" s="105" t="s">
        <v>47</v>
      </c>
      <c r="E235" s="105" t="s">
        <v>814</v>
      </c>
      <c r="F235" s="105" t="s">
        <v>33</v>
      </c>
      <c r="G235" s="105"/>
      <c r="H235" s="105" t="s">
        <v>38</v>
      </c>
      <c r="I235" s="105" t="s">
        <v>5</v>
      </c>
      <c r="J235" s="104" t="s">
        <v>324</v>
      </c>
      <c r="K235" s="19" t="s">
        <v>1619</v>
      </c>
    </row>
    <row r="236" spans="1:11" s="104" customFormat="1" x14ac:dyDescent="0.25">
      <c r="A236" s="72" t="s">
        <v>17</v>
      </c>
      <c r="B236" s="72"/>
      <c r="C236" s="106"/>
      <c r="D236" s="106"/>
      <c r="E236" s="106"/>
      <c r="F236" s="106"/>
      <c r="G236" s="106"/>
      <c r="H236" s="106" t="s">
        <v>38</v>
      </c>
      <c r="I236" s="72" t="s">
        <v>320</v>
      </c>
      <c r="J236" s="72" t="s">
        <v>321</v>
      </c>
      <c r="K236" s="106" t="s">
        <v>1394</v>
      </c>
    </row>
    <row r="237" spans="1:11" s="104" customFormat="1" x14ac:dyDescent="0.25">
      <c r="A237" s="72" t="s">
        <v>17</v>
      </c>
      <c r="B237" s="72"/>
      <c r="C237" s="106"/>
      <c r="D237" s="106"/>
      <c r="E237" s="106"/>
      <c r="F237" s="106"/>
      <c r="G237" s="106"/>
      <c r="H237" s="106" t="s">
        <v>38</v>
      </c>
      <c r="I237" s="72" t="s">
        <v>320</v>
      </c>
      <c r="J237" s="72" t="s">
        <v>321</v>
      </c>
      <c r="K237" s="106" t="s">
        <v>1394</v>
      </c>
    </row>
    <row r="238" spans="1:11" s="104" customFormat="1" x14ac:dyDescent="0.25">
      <c r="A238" s="72" t="s">
        <v>17</v>
      </c>
      <c r="B238" s="72"/>
      <c r="C238" s="106"/>
      <c r="D238" s="106"/>
      <c r="E238" s="106"/>
      <c r="F238" s="106"/>
      <c r="G238" s="106"/>
      <c r="H238" s="106" t="s">
        <v>38</v>
      </c>
      <c r="I238" s="72" t="s">
        <v>320</v>
      </c>
      <c r="J238" s="72" t="s">
        <v>321</v>
      </c>
      <c r="K238" s="106" t="s">
        <v>1394</v>
      </c>
    </row>
    <row r="239" spans="1:11" s="104" customFormat="1" x14ac:dyDescent="0.25">
      <c r="A239" s="72" t="s">
        <v>17</v>
      </c>
      <c r="B239" s="72"/>
      <c r="C239" s="106"/>
      <c r="D239" s="106"/>
      <c r="E239" s="106"/>
      <c r="F239" s="106"/>
      <c r="G239" s="106"/>
      <c r="H239" s="106" t="s">
        <v>38</v>
      </c>
      <c r="I239" s="72" t="s">
        <v>320</v>
      </c>
      <c r="J239" s="72" t="s">
        <v>322</v>
      </c>
      <c r="K239" s="106" t="s">
        <v>1395</v>
      </c>
    </row>
    <row r="240" spans="1:11" s="104" customFormat="1" x14ac:dyDescent="0.25">
      <c r="A240" s="72" t="s">
        <v>17</v>
      </c>
      <c r="B240" s="72"/>
      <c r="C240" s="106"/>
      <c r="D240" s="106"/>
      <c r="E240" s="106"/>
      <c r="F240" s="106"/>
      <c r="G240" s="106"/>
      <c r="H240" s="106" t="s">
        <v>38</v>
      </c>
      <c r="I240" s="72" t="s">
        <v>320</v>
      </c>
      <c r="J240" s="72" t="s">
        <v>322</v>
      </c>
      <c r="K240" s="106" t="s">
        <v>1395</v>
      </c>
    </row>
    <row r="241" spans="1:11" s="104" customFormat="1" x14ac:dyDescent="0.25">
      <c r="A241" s="72" t="s">
        <v>17</v>
      </c>
      <c r="B241" s="72"/>
      <c r="C241" s="106"/>
      <c r="D241" s="106"/>
      <c r="E241" s="106"/>
      <c r="F241" s="106"/>
      <c r="G241" s="106"/>
      <c r="H241" s="106" t="s">
        <v>38</v>
      </c>
      <c r="I241" s="72" t="s">
        <v>320</v>
      </c>
      <c r="J241" s="72" t="s">
        <v>322</v>
      </c>
      <c r="K241" s="106" t="s">
        <v>1395</v>
      </c>
    </row>
    <row r="242" spans="1:11" s="104" customFormat="1" x14ac:dyDescent="0.25">
      <c r="A242" s="104" t="s">
        <v>17</v>
      </c>
      <c r="B242" s="105" t="s">
        <v>811</v>
      </c>
      <c r="C242" s="105" t="s">
        <v>13</v>
      </c>
      <c r="D242" s="105" t="s">
        <v>9</v>
      </c>
      <c r="E242" s="105"/>
      <c r="F242" s="105"/>
      <c r="G242" s="105"/>
      <c r="H242" s="105" t="s">
        <v>38</v>
      </c>
      <c r="I242" s="104" t="s">
        <v>320</v>
      </c>
      <c r="J242" s="104" t="s">
        <v>323</v>
      </c>
      <c r="K242" s="105" t="s">
        <v>1396</v>
      </c>
    </row>
    <row r="243" spans="1:11" s="104" customFormat="1" x14ac:dyDescent="0.25">
      <c r="A243" s="104" t="s">
        <v>17</v>
      </c>
      <c r="B243" s="105" t="s">
        <v>811</v>
      </c>
      <c r="C243" s="105" t="s">
        <v>13</v>
      </c>
      <c r="D243" s="105" t="s">
        <v>19</v>
      </c>
      <c r="E243" s="105"/>
      <c r="F243" s="105"/>
      <c r="G243" s="105"/>
      <c r="H243" s="105" t="s">
        <v>38</v>
      </c>
      <c r="I243" s="104" t="s">
        <v>320</v>
      </c>
      <c r="J243" s="104" t="s">
        <v>323</v>
      </c>
      <c r="K243" s="105" t="s">
        <v>1396</v>
      </c>
    </row>
    <row r="244" spans="1:11" s="104" customFormat="1" x14ac:dyDescent="0.25">
      <c r="A244" s="104" t="s">
        <v>17</v>
      </c>
      <c r="B244" s="105" t="s">
        <v>811</v>
      </c>
      <c r="C244" s="105" t="s">
        <v>13</v>
      </c>
      <c r="D244" s="105" t="s">
        <v>29</v>
      </c>
      <c r="E244" s="105"/>
      <c r="F244" s="105"/>
      <c r="G244" s="105"/>
      <c r="H244" s="105" t="s">
        <v>38</v>
      </c>
      <c r="I244" s="104" t="s">
        <v>320</v>
      </c>
      <c r="J244" s="104" t="s">
        <v>323</v>
      </c>
      <c r="K244" s="105" t="s">
        <v>1396</v>
      </c>
    </row>
    <row r="245" spans="1:11" s="104" customFormat="1" x14ac:dyDescent="0.25">
      <c r="A245" s="104" t="s">
        <v>17</v>
      </c>
      <c r="B245" s="105" t="s">
        <v>811</v>
      </c>
      <c r="C245" s="105" t="s">
        <v>13</v>
      </c>
      <c r="D245" s="105" t="s">
        <v>21</v>
      </c>
      <c r="E245" s="105"/>
      <c r="F245" s="105"/>
      <c r="G245" s="105"/>
      <c r="H245" s="105" t="s">
        <v>38</v>
      </c>
      <c r="I245" s="104" t="s">
        <v>320</v>
      </c>
      <c r="J245" s="104" t="s">
        <v>323</v>
      </c>
      <c r="K245" s="105" t="s">
        <v>1396</v>
      </c>
    </row>
    <row r="246" spans="1:11" s="104" customFormat="1" x14ac:dyDescent="0.25">
      <c r="A246" s="104" t="s">
        <v>17</v>
      </c>
      <c r="B246" s="105" t="s">
        <v>811</v>
      </c>
      <c r="C246" s="105" t="s">
        <v>14</v>
      </c>
      <c r="D246" s="105" t="s">
        <v>9</v>
      </c>
      <c r="E246" s="105"/>
      <c r="F246" s="105"/>
      <c r="G246" s="105"/>
      <c r="H246" s="105" t="s">
        <v>38</v>
      </c>
      <c r="I246" s="104" t="s">
        <v>320</v>
      </c>
      <c r="J246" s="104" t="s">
        <v>324</v>
      </c>
      <c r="K246" s="105" t="s">
        <v>1397</v>
      </c>
    </row>
    <row r="247" spans="1:11" s="104" customFormat="1" x14ac:dyDescent="0.25">
      <c r="A247" s="104" t="s">
        <v>17</v>
      </c>
      <c r="B247" s="105" t="s">
        <v>811</v>
      </c>
      <c r="C247" s="105" t="s">
        <v>14</v>
      </c>
      <c r="D247" s="105" t="s">
        <v>19</v>
      </c>
      <c r="E247" s="105"/>
      <c r="F247" s="105"/>
      <c r="G247" s="105"/>
      <c r="H247" s="105" t="s">
        <v>38</v>
      </c>
      <c r="I247" s="104" t="s">
        <v>320</v>
      </c>
      <c r="J247" s="104" t="s">
        <v>324</v>
      </c>
      <c r="K247" s="105" t="s">
        <v>1397</v>
      </c>
    </row>
    <row r="248" spans="1:11" s="104" customFormat="1" x14ac:dyDescent="0.25">
      <c r="A248" s="104" t="s">
        <v>17</v>
      </c>
      <c r="B248" s="105" t="s">
        <v>811</v>
      </c>
      <c r="C248" s="105" t="s">
        <v>14</v>
      </c>
      <c r="D248" s="105" t="s">
        <v>29</v>
      </c>
      <c r="E248" s="105"/>
      <c r="F248" s="105"/>
      <c r="G248" s="105"/>
      <c r="H248" s="105" t="s">
        <v>38</v>
      </c>
      <c r="I248" s="104" t="s">
        <v>320</v>
      </c>
      <c r="J248" s="104" t="s">
        <v>324</v>
      </c>
      <c r="K248" s="105" t="s">
        <v>1397</v>
      </c>
    </row>
    <row r="249" spans="1:11" s="104" customFormat="1" x14ac:dyDescent="0.25">
      <c r="A249" s="104" t="s">
        <v>17</v>
      </c>
      <c r="B249" s="105" t="s">
        <v>811</v>
      </c>
      <c r="C249" s="105" t="s">
        <v>14</v>
      </c>
      <c r="D249" s="105" t="s">
        <v>21</v>
      </c>
      <c r="E249" s="105"/>
      <c r="F249" s="105"/>
      <c r="G249" s="105"/>
      <c r="H249" s="105" t="s">
        <v>38</v>
      </c>
      <c r="I249" s="104" t="s">
        <v>320</v>
      </c>
      <c r="J249" s="104" t="s">
        <v>324</v>
      </c>
      <c r="K249" s="105" t="s">
        <v>1397</v>
      </c>
    </row>
    <row r="250" spans="1:11" x14ac:dyDescent="0.25">
      <c r="A250" s="104" t="s">
        <v>17</v>
      </c>
      <c r="B250" s="90" t="s">
        <v>1678</v>
      </c>
      <c r="C250" s="20"/>
      <c r="E250" s="20" t="s">
        <v>325</v>
      </c>
      <c r="F250" s="90" t="s">
        <v>34</v>
      </c>
      <c r="G250" s="105"/>
      <c r="H250" s="90" t="s">
        <v>38</v>
      </c>
      <c r="I250" s="104" t="s">
        <v>816</v>
      </c>
      <c r="J250" s="104" t="s">
        <v>34</v>
      </c>
      <c r="K250" s="104" t="s">
        <v>1398</v>
      </c>
    </row>
    <row r="251" spans="1:11" x14ac:dyDescent="0.25">
      <c r="A251" s="104" t="s">
        <v>17</v>
      </c>
      <c r="B251" s="105" t="s">
        <v>1678</v>
      </c>
      <c r="C251" s="20"/>
      <c r="E251" s="105" t="s">
        <v>325</v>
      </c>
      <c r="F251" s="90" t="s">
        <v>35</v>
      </c>
      <c r="G251" s="105"/>
      <c r="H251" s="90" t="s">
        <v>38</v>
      </c>
      <c r="I251" s="104" t="s">
        <v>816</v>
      </c>
      <c r="J251" s="104" t="s">
        <v>35</v>
      </c>
      <c r="K251" s="105" t="s">
        <v>1399</v>
      </c>
    </row>
    <row r="252" spans="1:11" x14ac:dyDescent="0.25">
      <c r="A252" s="104" t="s">
        <v>326</v>
      </c>
      <c r="B252" s="20" t="s">
        <v>1672</v>
      </c>
      <c r="C252" s="20" t="s">
        <v>13</v>
      </c>
      <c r="D252" s="98" t="s">
        <v>31</v>
      </c>
      <c r="E252" s="20"/>
      <c r="F252" s="20"/>
      <c r="G252" s="105"/>
      <c r="H252" s="90" t="s">
        <v>88</v>
      </c>
      <c r="I252" s="104" t="s">
        <v>359</v>
      </c>
      <c r="J252" s="104" t="s">
        <v>321</v>
      </c>
      <c r="K252" s="104" t="s">
        <v>1400</v>
      </c>
    </row>
    <row r="253" spans="1:11" x14ac:dyDescent="0.25">
      <c r="A253" s="104" t="s">
        <v>326</v>
      </c>
      <c r="B253" s="90" t="s">
        <v>1672</v>
      </c>
      <c r="C253" s="20" t="s">
        <v>14</v>
      </c>
      <c r="D253" s="98" t="s">
        <v>31</v>
      </c>
      <c r="E253" s="20"/>
      <c r="F253" s="20"/>
      <c r="G253" s="105"/>
      <c r="H253" s="90" t="s">
        <v>88</v>
      </c>
      <c r="I253" s="104" t="s">
        <v>359</v>
      </c>
      <c r="J253" s="104" t="s">
        <v>322</v>
      </c>
      <c r="K253" s="104" t="s">
        <v>1401</v>
      </c>
    </row>
    <row r="254" spans="1:11" x14ac:dyDescent="0.25">
      <c r="A254" s="104" t="s">
        <v>326</v>
      </c>
      <c r="B254" s="90" t="s">
        <v>1672</v>
      </c>
      <c r="C254" s="90" t="s">
        <v>13</v>
      </c>
      <c r="D254" s="98" t="s">
        <v>47</v>
      </c>
      <c r="E254" s="20"/>
      <c r="F254" s="20"/>
      <c r="G254" s="105"/>
      <c r="H254" s="90" t="s">
        <v>88</v>
      </c>
      <c r="I254" s="104" t="s">
        <v>359</v>
      </c>
      <c r="J254" s="104" t="s">
        <v>323</v>
      </c>
      <c r="K254" s="104" t="s">
        <v>1402</v>
      </c>
    </row>
    <row r="255" spans="1:11" x14ac:dyDescent="0.25">
      <c r="A255" s="104" t="s">
        <v>326</v>
      </c>
      <c r="B255" s="90" t="s">
        <v>1672</v>
      </c>
      <c r="C255" s="90" t="s">
        <v>14</v>
      </c>
      <c r="D255" s="98" t="s">
        <v>47</v>
      </c>
      <c r="E255" s="20"/>
      <c r="F255" s="20"/>
      <c r="G255" s="105"/>
      <c r="H255" s="90" t="s">
        <v>88</v>
      </c>
      <c r="I255" s="104" t="s">
        <v>359</v>
      </c>
      <c r="J255" s="104" t="s">
        <v>324</v>
      </c>
      <c r="K255" s="104" t="s">
        <v>1403</v>
      </c>
    </row>
    <row r="256" spans="1:11" x14ac:dyDescent="0.25">
      <c r="A256" s="104" t="s">
        <v>326</v>
      </c>
      <c r="B256" s="20"/>
      <c r="C256" s="20"/>
      <c r="E256" s="20"/>
      <c r="F256" s="20"/>
      <c r="G256" s="105"/>
      <c r="H256" s="20"/>
      <c r="I256" s="104" t="s">
        <v>1624</v>
      </c>
      <c r="J256" s="104" t="s">
        <v>327</v>
      </c>
      <c r="K256" s="104" t="s">
        <v>1404</v>
      </c>
    </row>
    <row r="257" spans="1:11" x14ac:dyDescent="0.25">
      <c r="A257" s="104" t="s">
        <v>326</v>
      </c>
      <c r="B257" s="20"/>
      <c r="C257" s="20"/>
      <c r="E257" s="20"/>
      <c r="F257" s="20"/>
      <c r="G257" s="105"/>
      <c r="H257" s="20"/>
      <c r="I257" s="104" t="s">
        <v>1624</v>
      </c>
      <c r="J257" s="104" t="s">
        <v>329</v>
      </c>
      <c r="K257" s="104" t="s">
        <v>1405</v>
      </c>
    </row>
    <row r="258" spans="1:11" x14ac:dyDescent="0.25">
      <c r="A258" s="104" t="s">
        <v>326</v>
      </c>
      <c r="B258" s="20"/>
      <c r="C258" s="20"/>
      <c r="E258" s="20"/>
      <c r="F258" s="20"/>
      <c r="G258" s="105"/>
      <c r="H258" s="20"/>
      <c r="I258" s="104" t="s">
        <v>1624</v>
      </c>
      <c r="J258" s="104" t="s">
        <v>328</v>
      </c>
      <c r="K258" s="104" t="s">
        <v>1406</v>
      </c>
    </row>
    <row r="259" spans="1:11" x14ac:dyDescent="0.25">
      <c r="A259" s="104" t="s">
        <v>326</v>
      </c>
      <c r="B259" s="20"/>
      <c r="C259" s="20"/>
      <c r="E259" s="20"/>
      <c r="F259" s="20"/>
      <c r="G259" s="105"/>
      <c r="H259" s="20"/>
      <c r="I259" s="104" t="s">
        <v>1624</v>
      </c>
      <c r="J259" s="104" t="s">
        <v>330</v>
      </c>
      <c r="K259" s="104" t="s">
        <v>1407</v>
      </c>
    </row>
    <row r="260" spans="1:11" x14ac:dyDescent="0.25">
      <c r="A260" s="104" t="s">
        <v>326</v>
      </c>
      <c r="B260" s="90" t="s">
        <v>1672</v>
      </c>
      <c r="C260" s="90" t="s">
        <v>13</v>
      </c>
      <c r="D260" s="98" t="s">
        <v>31</v>
      </c>
      <c r="E260" s="90"/>
      <c r="F260" s="90"/>
      <c r="G260" s="105"/>
      <c r="H260" s="90" t="s">
        <v>38</v>
      </c>
      <c r="I260" s="104" t="s">
        <v>320</v>
      </c>
      <c r="J260" s="104" t="s">
        <v>321</v>
      </c>
      <c r="K260" s="104" t="s">
        <v>1408</v>
      </c>
    </row>
    <row r="261" spans="1:11" x14ac:dyDescent="0.25">
      <c r="A261" s="104" t="s">
        <v>326</v>
      </c>
      <c r="B261" s="90" t="s">
        <v>1672</v>
      </c>
      <c r="C261" s="90" t="s">
        <v>14</v>
      </c>
      <c r="D261" s="98" t="s">
        <v>31</v>
      </c>
      <c r="E261" s="90"/>
      <c r="F261" s="90"/>
      <c r="G261" s="105"/>
      <c r="H261" s="90" t="s">
        <v>38</v>
      </c>
      <c r="I261" s="104" t="s">
        <v>320</v>
      </c>
      <c r="J261" s="104" t="s">
        <v>322</v>
      </c>
      <c r="K261" s="104" t="s">
        <v>1409</v>
      </c>
    </row>
    <row r="262" spans="1:11" x14ac:dyDescent="0.25">
      <c r="A262" s="104" t="s">
        <v>326</v>
      </c>
      <c r="B262" s="90" t="s">
        <v>1672</v>
      </c>
      <c r="C262" s="90" t="s">
        <v>13</v>
      </c>
      <c r="D262" s="98" t="s">
        <v>47</v>
      </c>
      <c r="E262" s="90"/>
      <c r="F262" s="90"/>
      <c r="G262" s="105"/>
      <c r="H262" s="90" t="s">
        <v>38</v>
      </c>
      <c r="I262" s="104" t="s">
        <v>320</v>
      </c>
      <c r="J262" s="104" t="s">
        <v>323</v>
      </c>
      <c r="K262" s="104" t="s">
        <v>1410</v>
      </c>
    </row>
    <row r="263" spans="1:11" x14ac:dyDescent="0.25">
      <c r="A263" s="104" t="s">
        <v>326</v>
      </c>
      <c r="B263" s="90" t="s">
        <v>1672</v>
      </c>
      <c r="C263" s="90" t="s">
        <v>14</v>
      </c>
      <c r="D263" s="98" t="s">
        <v>47</v>
      </c>
      <c r="E263" s="90"/>
      <c r="F263" s="90"/>
      <c r="G263" s="105"/>
      <c r="H263" s="90" t="s">
        <v>38</v>
      </c>
      <c r="I263" s="104" t="s">
        <v>320</v>
      </c>
      <c r="J263" s="104" t="s">
        <v>324</v>
      </c>
      <c r="K263" s="104" t="s">
        <v>1411</v>
      </c>
    </row>
    <row r="264" spans="1:11" x14ac:dyDescent="0.25">
      <c r="A264" s="104" t="s">
        <v>326</v>
      </c>
      <c r="B264" s="20"/>
      <c r="C264" s="20"/>
      <c r="E264" s="20"/>
      <c r="F264" s="20"/>
      <c r="G264" s="105"/>
      <c r="H264" s="20"/>
      <c r="I264" s="104" t="s">
        <v>331</v>
      </c>
      <c r="J264" s="104" t="s">
        <v>1167</v>
      </c>
      <c r="K264" s="104" t="s">
        <v>1412</v>
      </c>
    </row>
    <row r="265" spans="1:11" x14ac:dyDescent="0.25">
      <c r="A265" s="104" t="s">
        <v>326</v>
      </c>
      <c r="B265" s="20"/>
      <c r="C265" s="20"/>
      <c r="E265" s="20"/>
      <c r="F265" s="20"/>
      <c r="G265" s="105"/>
      <c r="H265" s="20"/>
      <c r="I265" s="104" t="s">
        <v>331</v>
      </c>
      <c r="J265" s="104" t="s">
        <v>329</v>
      </c>
      <c r="K265" s="104" t="s">
        <v>1413</v>
      </c>
    </row>
    <row r="266" spans="1:11" x14ac:dyDescent="0.25">
      <c r="A266" s="104" t="s">
        <v>326</v>
      </c>
      <c r="B266" s="20"/>
      <c r="C266" s="20"/>
      <c r="E266" s="20"/>
      <c r="F266" s="20"/>
      <c r="G266" s="105"/>
      <c r="H266" s="20"/>
      <c r="I266" s="104" t="s">
        <v>331</v>
      </c>
      <c r="J266" s="104" t="s">
        <v>328</v>
      </c>
      <c r="K266" s="104" t="s">
        <v>1414</v>
      </c>
    </row>
    <row r="267" spans="1:11" x14ac:dyDescent="0.25">
      <c r="A267" s="104" t="s">
        <v>326</v>
      </c>
      <c r="B267" s="20"/>
      <c r="C267" s="20"/>
      <c r="E267" s="20"/>
      <c r="F267" s="20"/>
      <c r="G267" s="105"/>
      <c r="H267" s="20"/>
      <c r="I267" s="104" t="s">
        <v>331</v>
      </c>
      <c r="J267" s="104" t="s">
        <v>330</v>
      </c>
      <c r="K267" s="104" t="s">
        <v>1415</v>
      </c>
    </row>
    <row r="268" spans="1:11" x14ac:dyDescent="0.25">
      <c r="A268" s="104" t="s">
        <v>10</v>
      </c>
      <c r="B268" s="94" t="s">
        <v>810</v>
      </c>
      <c r="C268" s="20"/>
      <c r="D268" s="98" t="s">
        <v>6</v>
      </c>
      <c r="E268" s="20"/>
      <c r="F268" s="20"/>
      <c r="G268" s="105"/>
      <c r="H268" s="91" t="s">
        <v>38</v>
      </c>
      <c r="I268" s="104" t="s">
        <v>777</v>
      </c>
      <c r="J268" s="104" t="s">
        <v>332</v>
      </c>
      <c r="K268" s="104" t="s">
        <v>1416</v>
      </c>
    </row>
    <row r="269" spans="1:11" x14ac:dyDescent="0.25">
      <c r="A269" s="104" t="s">
        <v>10</v>
      </c>
      <c r="B269" s="94" t="s">
        <v>810</v>
      </c>
      <c r="C269" s="20"/>
      <c r="D269" s="98" t="s">
        <v>7</v>
      </c>
      <c r="H269" s="91" t="s">
        <v>38</v>
      </c>
      <c r="I269" s="104" t="s">
        <v>777</v>
      </c>
      <c r="J269" s="104" t="s">
        <v>337</v>
      </c>
      <c r="K269" s="104" t="s">
        <v>1417</v>
      </c>
    </row>
    <row r="270" spans="1:11" x14ac:dyDescent="0.25">
      <c r="A270" s="104" t="s">
        <v>10</v>
      </c>
      <c r="B270" s="20" t="s">
        <v>811</v>
      </c>
      <c r="C270" s="20" t="s">
        <v>13</v>
      </c>
      <c r="D270" s="98" t="s">
        <v>8</v>
      </c>
      <c r="F270" s="20"/>
      <c r="G270" s="105"/>
      <c r="H270" s="91" t="s">
        <v>38</v>
      </c>
      <c r="I270" s="104" t="s">
        <v>777</v>
      </c>
      <c r="J270" s="104" t="s">
        <v>333</v>
      </c>
      <c r="K270" s="104" t="s">
        <v>1418</v>
      </c>
    </row>
    <row r="271" spans="1:11" x14ac:dyDescent="0.25">
      <c r="A271" s="104" t="s">
        <v>10</v>
      </c>
      <c r="B271" s="93" t="s">
        <v>811</v>
      </c>
      <c r="C271" s="20" t="s">
        <v>14</v>
      </c>
      <c r="D271" s="98" t="s">
        <v>8</v>
      </c>
      <c r="F271" s="20"/>
      <c r="G271" s="105"/>
      <c r="H271" s="91" t="s">
        <v>38</v>
      </c>
      <c r="I271" s="104" t="s">
        <v>777</v>
      </c>
      <c r="J271" s="104" t="s">
        <v>334</v>
      </c>
      <c r="K271" s="104" t="s">
        <v>1419</v>
      </c>
    </row>
    <row r="272" spans="1:11" x14ac:dyDescent="0.25">
      <c r="A272" s="104" t="s">
        <v>10</v>
      </c>
      <c r="B272" s="93" t="s">
        <v>811</v>
      </c>
      <c r="C272" s="93" t="s">
        <v>13</v>
      </c>
      <c r="D272" s="98" t="s">
        <v>9</v>
      </c>
      <c r="F272" s="20"/>
      <c r="G272" s="105"/>
      <c r="H272" s="93" t="s">
        <v>38</v>
      </c>
      <c r="I272" s="104" t="s">
        <v>778</v>
      </c>
      <c r="J272" s="104" t="s">
        <v>335</v>
      </c>
      <c r="K272" s="104" t="s">
        <v>1420</v>
      </c>
    </row>
    <row r="273" spans="1:11" x14ac:dyDescent="0.25">
      <c r="A273" s="104" t="s">
        <v>10</v>
      </c>
      <c r="B273" s="93" t="s">
        <v>811</v>
      </c>
      <c r="C273" s="93" t="s">
        <v>14</v>
      </c>
      <c r="D273" s="98" t="s">
        <v>9</v>
      </c>
      <c r="H273" s="93" t="s">
        <v>38</v>
      </c>
      <c r="I273" s="104" t="s">
        <v>778</v>
      </c>
      <c r="J273" s="104" t="s">
        <v>336</v>
      </c>
      <c r="K273" s="104" t="s">
        <v>1421</v>
      </c>
    </row>
    <row r="274" spans="1:11" x14ac:dyDescent="0.25">
      <c r="A274" s="104" t="s">
        <v>10</v>
      </c>
      <c r="B274" s="93" t="s">
        <v>811</v>
      </c>
      <c r="C274" s="93" t="s">
        <v>13</v>
      </c>
      <c r="D274" s="98" t="s">
        <v>19</v>
      </c>
      <c r="H274" s="93" t="s">
        <v>38</v>
      </c>
      <c r="I274" s="104" t="s">
        <v>778</v>
      </c>
      <c r="J274" s="104" t="s">
        <v>338</v>
      </c>
      <c r="K274" s="104" t="s">
        <v>1422</v>
      </c>
    </row>
    <row r="275" spans="1:11" x14ac:dyDescent="0.25">
      <c r="A275" s="104" t="s">
        <v>10</v>
      </c>
      <c r="B275" s="93" t="s">
        <v>811</v>
      </c>
      <c r="C275" s="93" t="s">
        <v>14</v>
      </c>
      <c r="D275" s="98" t="s">
        <v>19</v>
      </c>
      <c r="H275" s="93" t="s">
        <v>38</v>
      </c>
      <c r="I275" s="104" t="s">
        <v>778</v>
      </c>
      <c r="J275" s="104" t="s">
        <v>339</v>
      </c>
      <c r="K275" s="104" t="s">
        <v>1423</v>
      </c>
    </row>
    <row r="276" spans="1:11" x14ac:dyDescent="0.25">
      <c r="A276" s="104" t="s">
        <v>10</v>
      </c>
      <c r="B276" s="20"/>
      <c r="C276" s="20"/>
      <c r="I276" s="104" t="s">
        <v>778</v>
      </c>
      <c r="J276" s="104" t="s">
        <v>340</v>
      </c>
      <c r="K276" s="104" t="s">
        <v>1424</v>
      </c>
    </row>
    <row r="277" spans="1:11" x14ac:dyDescent="0.25">
      <c r="A277" s="104" t="s">
        <v>10</v>
      </c>
      <c r="B277" s="20"/>
      <c r="C277" s="20"/>
      <c r="I277" s="104" t="s">
        <v>778</v>
      </c>
      <c r="J277" s="104" t="s">
        <v>341</v>
      </c>
      <c r="K277" s="104" t="s">
        <v>1425</v>
      </c>
    </row>
    <row r="278" spans="1:11" x14ac:dyDescent="0.25">
      <c r="A278" s="104" t="s">
        <v>10</v>
      </c>
      <c r="B278" s="20"/>
      <c r="C278" s="20"/>
      <c r="I278" s="104" t="s">
        <v>778</v>
      </c>
      <c r="J278" s="104" t="s">
        <v>342</v>
      </c>
      <c r="K278" s="104" t="s">
        <v>1426</v>
      </c>
    </row>
    <row r="279" spans="1:11" x14ac:dyDescent="0.25">
      <c r="A279" s="104" t="s">
        <v>10</v>
      </c>
      <c r="B279" s="20"/>
      <c r="C279" s="20"/>
      <c r="I279" s="104" t="s">
        <v>778</v>
      </c>
      <c r="J279" s="104" t="s">
        <v>343</v>
      </c>
      <c r="K279" s="104" t="s">
        <v>1427</v>
      </c>
    </row>
    <row r="280" spans="1:11" x14ac:dyDescent="0.25">
      <c r="A280" s="104" t="s">
        <v>10</v>
      </c>
      <c r="B280" s="20"/>
      <c r="C280" s="20"/>
      <c r="I280" s="104" t="s">
        <v>778</v>
      </c>
      <c r="J280" s="104" t="s">
        <v>344</v>
      </c>
      <c r="K280" s="104" t="s">
        <v>1428</v>
      </c>
    </row>
    <row r="281" spans="1:11" x14ac:dyDescent="0.25">
      <c r="A281" s="104" t="s">
        <v>10</v>
      </c>
      <c r="B281" s="20"/>
      <c r="C281" s="20"/>
      <c r="I281" s="104" t="s">
        <v>778</v>
      </c>
      <c r="J281" s="104" t="s">
        <v>345</v>
      </c>
      <c r="K281" s="104" t="s">
        <v>1429</v>
      </c>
    </row>
    <row r="282" spans="1:11" x14ac:dyDescent="0.25">
      <c r="A282" s="104" t="s">
        <v>10</v>
      </c>
      <c r="B282" s="20"/>
      <c r="C282" s="20"/>
      <c r="I282" s="104" t="s">
        <v>778</v>
      </c>
      <c r="J282" s="104" t="s">
        <v>346</v>
      </c>
      <c r="K282" s="104" t="s">
        <v>1430</v>
      </c>
    </row>
    <row r="283" spans="1:11" x14ac:dyDescent="0.25">
      <c r="A283" s="104" t="s">
        <v>10</v>
      </c>
      <c r="B283" s="20"/>
      <c r="C283" s="20"/>
      <c r="I283" s="104" t="s">
        <v>778</v>
      </c>
      <c r="J283" s="104" t="s">
        <v>347</v>
      </c>
      <c r="K283" s="104" t="s">
        <v>1431</v>
      </c>
    </row>
    <row r="284" spans="1:11" x14ac:dyDescent="0.25">
      <c r="A284" s="104" t="s">
        <v>10</v>
      </c>
      <c r="B284" s="93" t="s">
        <v>811</v>
      </c>
      <c r="C284" s="93" t="s">
        <v>13</v>
      </c>
      <c r="D284" s="98" t="s">
        <v>21</v>
      </c>
      <c r="H284" s="93" t="s">
        <v>38</v>
      </c>
      <c r="I284" s="104" t="s">
        <v>778</v>
      </c>
      <c r="J284" s="104" t="s">
        <v>348</v>
      </c>
      <c r="K284" s="104" t="s">
        <v>1432</v>
      </c>
    </row>
    <row r="285" spans="1:11" x14ac:dyDescent="0.25">
      <c r="A285" s="104" t="s">
        <v>10</v>
      </c>
      <c r="B285" s="93" t="s">
        <v>811</v>
      </c>
      <c r="C285" s="93" t="s">
        <v>14</v>
      </c>
      <c r="D285" s="98" t="s">
        <v>21</v>
      </c>
      <c r="H285" s="93" t="s">
        <v>38</v>
      </c>
      <c r="I285" s="104" t="s">
        <v>778</v>
      </c>
      <c r="J285" s="104" t="s">
        <v>349</v>
      </c>
      <c r="K285" s="104" t="s">
        <v>1433</v>
      </c>
    </row>
    <row r="286" spans="1:11" x14ac:dyDescent="0.25">
      <c r="A286" s="104" t="s">
        <v>4</v>
      </c>
      <c r="B286" s="94" t="s">
        <v>810</v>
      </c>
      <c r="C286" s="95"/>
      <c r="D286" s="98" t="s">
        <v>6</v>
      </c>
      <c r="E286" s="95"/>
      <c r="F286" s="95"/>
      <c r="G286" s="105"/>
      <c r="H286" s="95" t="s">
        <v>38</v>
      </c>
      <c r="I286" s="104" t="s">
        <v>777</v>
      </c>
      <c r="J286" s="104" t="s">
        <v>332</v>
      </c>
      <c r="K286" s="104" t="s">
        <v>1434</v>
      </c>
    </row>
    <row r="287" spans="1:11" x14ac:dyDescent="0.25">
      <c r="A287" s="104" t="s">
        <v>4</v>
      </c>
      <c r="B287" s="94" t="s">
        <v>810</v>
      </c>
      <c r="C287" s="95"/>
      <c r="D287" s="98" t="s">
        <v>7</v>
      </c>
      <c r="E287" s="94"/>
      <c r="F287" s="94"/>
      <c r="H287" s="95" t="s">
        <v>38</v>
      </c>
      <c r="I287" s="104" t="s">
        <v>777</v>
      </c>
      <c r="J287" s="104" t="s">
        <v>337</v>
      </c>
      <c r="K287" s="104" t="s">
        <v>1436</v>
      </c>
    </row>
    <row r="288" spans="1:11" x14ac:dyDescent="0.25">
      <c r="A288" s="104" t="s">
        <v>4</v>
      </c>
      <c r="B288" s="95" t="s">
        <v>811</v>
      </c>
      <c r="C288" s="95" t="s">
        <v>13</v>
      </c>
      <c r="D288" s="105" t="s">
        <v>8</v>
      </c>
      <c r="F288" s="94"/>
      <c r="H288" s="95" t="s">
        <v>38</v>
      </c>
      <c r="I288" s="104" t="s">
        <v>777</v>
      </c>
      <c r="J288" s="104" t="s">
        <v>333</v>
      </c>
      <c r="K288" s="104" t="s">
        <v>1435</v>
      </c>
    </row>
    <row r="289" spans="1:11" x14ac:dyDescent="0.25">
      <c r="A289" s="104" t="s">
        <v>4</v>
      </c>
      <c r="B289" s="95" t="s">
        <v>811</v>
      </c>
      <c r="C289" s="95" t="s">
        <v>14</v>
      </c>
      <c r="D289" s="105" t="s">
        <v>8</v>
      </c>
      <c r="F289" s="95"/>
      <c r="G289" s="105"/>
      <c r="H289" s="95" t="s">
        <v>38</v>
      </c>
      <c r="I289" s="104" t="s">
        <v>777</v>
      </c>
      <c r="J289" s="104" t="s">
        <v>334</v>
      </c>
      <c r="K289" s="104" t="s">
        <v>1437</v>
      </c>
    </row>
    <row r="290" spans="1:11" x14ac:dyDescent="0.25">
      <c r="A290" s="104" t="s">
        <v>4</v>
      </c>
      <c r="B290" s="95" t="s">
        <v>811</v>
      </c>
      <c r="C290" s="95" t="s">
        <v>13</v>
      </c>
      <c r="D290" s="105" t="s">
        <v>9</v>
      </c>
      <c r="F290" s="95"/>
      <c r="G290" s="105"/>
      <c r="H290" s="95" t="s">
        <v>38</v>
      </c>
      <c r="I290" s="104" t="s">
        <v>778</v>
      </c>
      <c r="J290" s="104" t="s">
        <v>335</v>
      </c>
      <c r="K290" s="104" t="s">
        <v>1438</v>
      </c>
    </row>
    <row r="291" spans="1:11" x14ac:dyDescent="0.25">
      <c r="A291" s="104" t="s">
        <v>4</v>
      </c>
      <c r="B291" s="95" t="s">
        <v>811</v>
      </c>
      <c r="C291" s="95" t="s">
        <v>14</v>
      </c>
      <c r="D291" s="98" t="s">
        <v>9</v>
      </c>
      <c r="F291" s="95"/>
      <c r="G291" s="105"/>
      <c r="H291" s="95" t="s">
        <v>38</v>
      </c>
      <c r="I291" s="104" t="s">
        <v>778</v>
      </c>
      <c r="J291" s="104" t="s">
        <v>336</v>
      </c>
      <c r="K291" s="104" t="s">
        <v>1439</v>
      </c>
    </row>
    <row r="292" spans="1:11" x14ac:dyDescent="0.25">
      <c r="A292" s="104" t="s">
        <v>4</v>
      </c>
      <c r="B292" s="95" t="s">
        <v>811</v>
      </c>
      <c r="C292" s="105" t="s">
        <v>13</v>
      </c>
      <c r="D292" s="98" t="s">
        <v>19</v>
      </c>
      <c r="F292" s="94"/>
      <c r="H292" s="95" t="s">
        <v>38</v>
      </c>
      <c r="I292" s="104" t="s">
        <v>778</v>
      </c>
      <c r="J292" s="104" t="s">
        <v>338</v>
      </c>
      <c r="K292" s="104" t="s">
        <v>1440</v>
      </c>
    </row>
    <row r="293" spans="1:11" x14ac:dyDescent="0.25">
      <c r="A293" s="104" t="s">
        <v>4</v>
      </c>
      <c r="B293" s="95" t="s">
        <v>811</v>
      </c>
      <c r="C293" s="105" t="s">
        <v>14</v>
      </c>
      <c r="D293" s="98" t="s">
        <v>19</v>
      </c>
      <c r="F293" s="94"/>
      <c r="H293" s="95" t="s">
        <v>38</v>
      </c>
      <c r="I293" s="104" t="s">
        <v>778</v>
      </c>
      <c r="J293" s="104" t="s">
        <v>339</v>
      </c>
      <c r="K293" s="104" t="s">
        <v>1441</v>
      </c>
    </row>
    <row r="294" spans="1:11" x14ac:dyDescent="0.25">
      <c r="A294" s="104" t="s">
        <v>4</v>
      </c>
      <c r="B294" s="95"/>
      <c r="C294" s="95"/>
      <c r="E294" s="94"/>
      <c r="F294" s="94"/>
      <c r="H294" s="94"/>
      <c r="I294" s="104" t="s">
        <v>778</v>
      </c>
      <c r="J294" s="104" t="s">
        <v>340</v>
      </c>
      <c r="K294" s="104" t="s">
        <v>1442</v>
      </c>
    </row>
    <row r="295" spans="1:11" x14ac:dyDescent="0.25">
      <c r="A295" s="104" t="s">
        <v>4</v>
      </c>
      <c r="B295" s="95"/>
      <c r="C295" s="95"/>
      <c r="E295" s="94"/>
      <c r="F295" s="94"/>
      <c r="H295" s="94"/>
      <c r="I295" s="104" t="s">
        <v>778</v>
      </c>
      <c r="J295" s="104" t="s">
        <v>341</v>
      </c>
      <c r="K295" s="104" t="s">
        <v>1443</v>
      </c>
    </row>
    <row r="296" spans="1:11" x14ac:dyDescent="0.25">
      <c r="A296" s="104" t="s">
        <v>4</v>
      </c>
      <c r="B296" s="95"/>
      <c r="C296" s="95"/>
      <c r="E296" s="94"/>
      <c r="F296" s="94"/>
      <c r="H296" s="94"/>
      <c r="I296" s="104" t="s">
        <v>778</v>
      </c>
      <c r="J296" s="104" t="s">
        <v>342</v>
      </c>
      <c r="K296" s="104" t="s">
        <v>1444</v>
      </c>
    </row>
    <row r="297" spans="1:11" x14ac:dyDescent="0.25">
      <c r="A297" s="104" t="s">
        <v>4</v>
      </c>
      <c r="B297" s="95"/>
      <c r="C297" s="95"/>
      <c r="E297" s="94"/>
      <c r="F297" s="94"/>
      <c r="H297" s="94"/>
      <c r="I297" s="104" t="s">
        <v>778</v>
      </c>
      <c r="J297" s="104" t="s">
        <v>343</v>
      </c>
      <c r="K297" s="104" t="s">
        <v>1445</v>
      </c>
    </row>
    <row r="298" spans="1:11" x14ac:dyDescent="0.25">
      <c r="A298" s="104" t="s">
        <v>4</v>
      </c>
      <c r="B298" s="95"/>
      <c r="C298" s="95"/>
      <c r="E298" s="94"/>
      <c r="F298" s="94"/>
      <c r="H298" s="94"/>
      <c r="I298" s="104" t="s">
        <v>778</v>
      </c>
      <c r="J298" s="104" t="s">
        <v>344</v>
      </c>
      <c r="K298" s="104" t="s">
        <v>1446</v>
      </c>
    </row>
    <row r="299" spans="1:11" x14ac:dyDescent="0.25">
      <c r="A299" s="104" t="s">
        <v>4</v>
      </c>
      <c r="B299" s="95"/>
      <c r="C299" s="95"/>
      <c r="E299" s="94"/>
      <c r="F299" s="94"/>
      <c r="H299" s="94"/>
      <c r="I299" s="104" t="s">
        <v>778</v>
      </c>
      <c r="J299" s="104" t="s">
        <v>345</v>
      </c>
      <c r="K299" s="104" t="s">
        <v>1447</v>
      </c>
    </row>
    <row r="300" spans="1:11" x14ac:dyDescent="0.25">
      <c r="A300" s="104" t="s">
        <v>4</v>
      </c>
      <c r="B300" s="95"/>
      <c r="C300" s="95"/>
      <c r="E300" s="94"/>
      <c r="F300" s="94"/>
      <c r="H300" s="94"/>
      <c r="I300" s="104" t="s">
        <v>778</v>
      </c>
      <c r="J300" s="104" t="s">
        <v>346</v>
      </c>
      <c r="K300" s="104" t="s">
        <v>1448</v>
      </c>
    </row>
    <row r="301" spans="1:11" x14ac:dyDescent="0.25">
      <c r="A301" s="104" t="s">
        <v>4</v>
      </c>
      <c r="B301" s="95"/>
      <c r="C301" s="95"/>
      <c r="E301" s="94"/>
      <c r="F301" s="94"/>
      <c r="H301" s="94"/>
      <c r="I301" s="104" t="s">
        <v>778</v>
      </c>
      <c r="J301" s="104" t="s">
        <v>347</v>
      </c>
      <c r="K301" s="104" t="s">
        <v>1449</v>
      </c>
    </row>
    <row r="302" spans="1:11" x14ac:dyDescent="0.25">
      <c r="A302" s="104" t="s">
        <v>4</v>
      </c>
      <c r="B302" s="95" t="s">
        <v>811</v>
      </c>
      <c r="C302" s="105" t="s">
        <v>13</v>
      </c>
      <c r="D302" s="98" t="s">
        <v>21</v>
      </c>
      <c r="E302" s="95"/>
      <c r="F302" s="94"/>
      <c r="H302" s="95" t="s">
        <v>38</v>
      </c>
      <c r="I302" s="104" t="s">
        <v>778</v>
      </c>
      <c r="J302" s="104" t="s">
        <v>348</v>
      </c>
      <c r="K302" s="104" t="s">
        <v>1450</v>
      </c>
    </row>
    <row r="303" spans="1:11" x14ac:dyDescent="0.25">
      <c r="A303" s="104" t="s">
        <v>4</v>
      </c>
      <c r="B303" s="95" t="s">
        <v>811</v>
      </c>
      <c r="C303" s="105" t="s">
        <v>14</v>
      </c>
      <c r="D303" s="98" t="s">
        <v>21</v>
      </c>
      <c r="E303" s="95"/>
      <c r="F303" s="94"/>
      <c r="H303" s="95" t="s">
        <v>38</v>
      </c>
      <c r="I303" s="104" t="s">
        <v>778</v>
      </c>
      <c r="J303" s="104" t="s">
        <v>349</v>
      </c>
      <c r="K303" s="104" t="s">
        <v>1451</v>
      </c>
    </row>
    <row r="304" spans="1:11" x14ac:dyDescent="0.25">
      <c r="A304" s="165" t="s">
        <v>4</v>
      </c>
      <c r="B304" s="166" t="s">
        <v>197</v>
      </c>
      <c r="C304" s="166"/>
      <c r="D304" s="166"/>
      <c r="E304" s="166"/>
      <c r="F304" s="166" t="s">
        <v>199</v>
      </c>
      <c r="G304" s="166"/>
      <c r="H304" s="166" t="s">
        <v>38</v>
      </c>
      <c r="I304" s="165" t="s">
        <v>357</v>
      </c>
      <c r="J304" s="165" t="s">
        <v>350</v>
      </c>
      <c r="K304" s="165" t="s">
        <v>1452</v>
      </c>
    </row>
    <row r="305" spans="1:11" x14ac:dyDescent="0.25">
      <c r="A305" s="165" t="s">
        <v>4</v>
      </c>
      <c r="B305" s="166" t="s">
        <v>197</v>
      </c>
      <c r="C305" s="166"/>
      <c r="D305" s="166"/>
      <c r="E305" s="166"/>
      <c r="F305" s="166" t="s">
        <v>317</v>
      </c>
      <c r="G305" s="166"/>
      <c r="H305" s="166" t="s">
        <v>38</v>
      </c>
      <c r="I305" s="165" t="s">
        <v>357</v>
      </c>
      <c r="J305" s="165" t="s">
        <v>351</v>
      </c>
      <c r="K305" s="165" t="s">
        <v>1453</v>
      </c>
    </row>
    <row r="306" spans="1:11" x14ac:dyDescent="0.25">
      <c r="A306" s="165" t="s">
        <v>4</v>
      </c>
      <c r="B306" s="166" t="s">
        <v>197</v>
      </c>
      <c r="C306" s="166"/>
      <c r="D306" s="166"/>
      <c r="E306" s="166"/>
      <c r="F306" s="166" t="s">
        <v>203</v>
      </c>
      <c r="G306" s="166"/>
      <c r="H306" s="166" t="s">
        <v>38</v>
      </c>
      <c r="I306" s="165" t="s">
        <v>357</v>
      </c>
      <c r="J306" s="165" t="s">
        <v>352</v>
      </c>
      <c r="K306" s="165" t="s">
        <v>1454</v>
      </c>
    </row>
    <row r="307" spans="1:11" x14ac:dyDescent="0.25">
      <c r="A307" s="165" t="s">
        <v>4</v>
      </c>
      <c r="B307" s="166" t="s">
        <v>197</v>
      </c>
      <c r="C307" s="166"/>
      <c r="D307" s="166"/>
      <c r="E307" s="166"/>
      <c r="F307" s="166" t="s">
        <v>821</v>
      </c>
      <c r="G307" s="166"/>
      <c r="H307" s="166" t="s">
        <v>38</v>
      </c>
      <c r="I307" s="165" t="s">
        <v>357</v>
      </c>
      <c r="J307" s="165" t="s">
        <v>353</v>
      </c>
      <c r="K307" s="165" t="s">
        <v>1455</v>
      </c>
    </row>
    <row r="308" spans="1:11" x14ac:dyDescent="0.25">
      <c r="A308" s="165" t="s">
        <v>4</v>
      </c>
      <c r="B308" s="166" t="s">
        <v>197</v>
      </c>
      <c r="C308" s="166"/>
      <c r="D308" s="166"/>
      <c r="E308" s="166"/>
      <c r="F308" s="166" t="s">
        <v>319</v>
      </c>
      <c r="G308" s="166"/>
      <c r="H308" s="166" t="s">
        <v>38</v>
      </c>
      <c r="I308" s="165" t="s">
        <v>357</v>
      </c>
      <c r="J308" s="165" t="s">
        <v>354</v>
      </c>
      <c r="K308" s="165" t="s">
        <v>1456</v>
      </c>
    </row>
    <row r="309" spans="1:11" x14ac:dyDescent="0.25">
      <c r="A309" s="165" t="s">
        <v>4</v>
      </c>
      <c r="B309" s="165" t="s">
        <v>358</v>
      </c>
      <c r="C309" s="166"/>
      <c r="D309" s="166"/>
      <c r="E309" s="166" t="s">
        <v>325</v>
      </c>
      <c r="F309" s="166" t="s">
        <v>823</v>
      </c>
      <c r="G309" s="166"/>
      <c r="H309" s="166" t="s">
        <v>38</v>
      </c>
      <c r="I309" s="165" t="s">
        <v>358</v>
      </c>
      <c r="J309" s="165" t="s">
        <v>355</v>
      </c>
      <c r="K309" s="165" t="s">
        <v>1457</v>
      </c>
    </row>
    <row r="310" spans="1:11" x14ac:dyDescent="0.25">
      <c r="A310" s="165" t="s">
        <v>4</v>
      </c>
      <c r="B310" s="165" t="s">
        <v>358</v>
      </c>
      <c r="C310" s="166"/>
      <c r="D310" s="166"/>
      <c r="E310" s="166" t="s">
        <v>325</v>
      </c>
      <c r="F310" s="166" t="s">
        <v>824</v>
      </c>
      <c r="G310" s="166"/>
      <c r="H310" s="166" t="s">
        <v>38</v>
      </c>
      <c r="I310" s="165" t="s">
        <v>358</v>
      </c>
      <c r="J310" s="165" t="s">
        <v>356</v>
      </c>
      <c r="K310" s="165" t="s">
        <v>1458</v>
      </c>
    </row>
    <row r="311" spans="1:11" x14ac:dyDescent="0.25">
      <c r="A311" s="104" t="s">
        <v>825</v>
      </c>
      <c r="B311" s="97" t="s">
        <v>1673</v>
      </c>
      <c r="C311" s="105" t="s">
        <v>13</v>
      </c>
      <c r="D311" s="98" t="s">
        <v>31</v>
      </c>
      <c r="E311" s="20" t="s">
        <v>325</v>
      </c>
      <c r="F311" s="20" t="s">
        <v>826</v>
      </c>
      <c r="G311" s="105"/>
      <c r="H311" s="96" t="s">
        <v>88</v>
      </c>
      <c r="I311" s="104" t="s">
        <v>376</v>
      </c>
      <c r="J311" s="104" t="s">
        <v>361</v>
      </c>
      <c r="K311" s="104" t="s">
        <v>1511</v>
      </c>
    </row>
    <row r="312" spans="1:11" x14ac:dyDescent="0.25">
      <c r="A312" s="104" t="s">
        <v>825</v>
      </c>
      <c r="B312" s="97" t="s">
        <v>1673</v>
      </c>
      <c r="C312" s="105" t="s">
        <v>13</v>
      </c>
      <c r="D312" s="98" t="s">
        <v>31</v>
      </c>
      <c r="E312" s="105" t="s">
        <v>325</v>
      </c>
      <c r="F312" s="20" t="s">
        <v>827</v>
      </c>
      <c r="G312" s="105"/>
      <c r="H312" s="105" t="s">
        <v>88</v>
      </c>
      <c r="I312" s="104" t="s">
        <v>376</v>
      </c>
      <c r="J312" s="104" t="s">
        <v>362</v>
      </c>
      <c r="K312" s="104" t="s">
        <v>1512</v>
      </c>
    </row>
    <row r="313" spans="1:11" x14ac:dyDescent="0.25">
      <c r="A313" s="104" t="s">
        <v>825</v>
      </c>
      <c r="B313" s="97" t="s">
        <v>1673</v>
      </c>
      <c r="C313" s="105" t="s">
        <v>13</v>
      </c>
      <c r="D313" s="98" t="s">
        <v>31</v>
      </c>
      <c r="E313" s="105" t="s">
        <v>325</v>
      </c>
      <c r="F313" s="20" t="s">
        <v>828</v>
      </c>
      <c r="G313" s="105"/>
      <c r="H313" s="105" t="s">
        <v>88</v>
      </c>
      <c r="I313" s="104" t="s">
        <v>376</v>
      </c>
      <c r="J313" s="104" t="s">
        <v>363</v>
      </c>
      <c r="K313" s="104" t="s">
        <v>1513</v>
      </c>
    </row>
    <row r="314" spans="1:11" x14ac:dyDescent="0.25">
      <c r="A314" s="104" t="s">
        <v>825</v>
      </c>
      <c r="B314" s="97" t="s">
        <v>1673</v>
      </c>
      <c r="C314" s="20" t="s">
        <v>14</v>
      </c>
      <c r="D314" s="98" t="s">
        <v>31</v>
      </c>
      <c r="E314" s="105" t="s">
        <v>325</v>
      </c>
      <c r="F314" s="96" t="s">
        <v>826</v>
      </c>
      <c r="G314" s="105"/>
      <c r="H314" s="105" t="s">
        <v>88</v>
      </c>
      <c r="I314" s="104" t="s">
        <v>376</v>
      </c>
      <c r="J314" s="104" t="s">
        <v>364</v>
      </c>
      <c r="K314" s="104" t="s">
        <v>1514</v>
      </c>
    </row>
    <row r="315" spans="1:11" x14ac:dyDescent="0.25">
      <c r="A315" s="104" t="s">
        <v>825</v>
      </c>
      <c r="B315" s="97" t="s">
        <v>1673</v>
      </c>
      <c r="C315" s="105" t="s">
        <v>14</v>
      </c>
      <c r="D315" s="98" t="s">
        <v>31</v>
      </c>
      <c r="E315" s="105" t="s">
        <v>325</v>
      </c>
      <c r="F315" s="96" t="s">
        <v>827</v>
      </c>
      <c r="G315" s="105"/>
      <c r="H315" s="105" t="s">
        <v>88</v>
      </c>
      <c r="I315" s="104" t="s">
        <v>376</v>
      </c>
      <c r="J315" s="104" t="s">
        <v>365</v>
      </c>
      <c r="K315" s="104" t="s">
        <v>1515</v>
      </c>
    </row>
    <row r="316" spans="1:11" x14ac:dyDescent="0.25">
      <c r="A316" s="104" t="s">
        <v>825</v>
      </c>
      <c r="B316" s="97" t="s">
        <v>1673</v>
      </c>
      <c r="C316" s="105" t="s">
        <v>14</v>
      </c>
      <c r="D316" s="98" t="s">
        <v>31</v>
      </c>
      <c r="E316" s="105" t="s">
        <v>325</v>
      </c>
      <c r="F316" s="96" t="s">
        <v>828</v>
      </c>
      <c r="G316" s="105"/>
      <c r="H316" s="105" t="s">
        <v>88</v>
      </c>
      <c r="I316" s="104" t="s">
        <v>376</v>
      </c>
      <c r="J316" s="104" t="s">
        <v>366</v>
      </c>
      <c r="K316" s="104" t="s">
        <v>1516</v>
      </c>
    </row>
    <row r="317" spans="1:11" x14ac:dyDescent="0.25">
      <c r="A317" s="104" t="s">
        <v>825</v>
      </c>
      <c r="B317" s="97" t="s">
        <v>1673</v>
      </c>
      <c r="C317" s="105" t="s">
        <v>13</v>
      </c>
      <c r="D317" s="98" t="s">
        <v>47</v>
      </c>
      <c r="E317" s="105" t="s">
        <v>325</v>
      </c>
      <c r="F317" s="96" t="s">
        <v>826</v>
      </c>
      <c r="G317" s="105"/>
      <c r="H317" s="105" t="s">
        <v>88</v>
      </c>
      <c r="I317" s="104" t="s">
        <v>376</v>
      </c>
      <c r="J317" s="104" t="s">
        <v>367</v>
      </c>
      <c r="K317" s="104" t="s">
        <v>1517</v>
      </c>
    </row>
    <row r="318" spans="1:11" x14ac:dyDescent="0.25">
      <c r="A318" s="104" t="s">
        <v>825</v>
      </c>
      <c r="B318" s="97" t="s">
        <v>1673</v>
      </c>
      <c r="C318" s="105" t="s">
        <v>13</v>
      </c>
      <c r="D318" s="98" t="s">
        <v>47</v>
      </c>
      <c r="E318" s="105" t="s">
        <v>325</v>
      </c>
      <c r="F318" s="96" t="s">
        <v>827</v>
      </c>
      <c r="G318" s="105"/>
      <c r="H318" s="105" t="s">
        <v>88</v>
      </c>
      <c r="I318" s="104" t="s">
        <v>376</v>
      </c>
      <c r="J318" s="104" t="s">
        <v>368</v>
      </c>
      <c r="K318" s="104" t="s">
        <v>1518</v>
      </c>
    </row>
    <row r="319" spans="1:11" x14ac:dyDescent="0.25">
      <c r="A319" s="104" t="s">
        <v>825</v>
      </c>
      <c r="B319" s="97" t="s">
        <v>1673</v>
      </c>
      <c r="C319" s="105" t="s">
        <v>13</v>
      </c>
      <c r="D319" s="98" t="s">
        <v>47</v>
      </c>
      <c r="E319" s="105" t="s">
        <v>325</v>
      </c>
      <c r="F319" s="96" t="s">
        <v>828</v>
      </c>
      <c r="G319" s="105"/>
      <c r="H319" s="105" t="s">
        <v>88</v>
      </c>
      <c r="I319" s="104" t="s">
        <v>376</v>
      </c>
      <c r="J319" s="104" t="s">
        <v>369</v>
      </c>
      <c r="K319" s="104" t="s">
        <v>1605</v>
      </c>
    </row>
    <row r="320" spans="1:11" x14ac:dyDescent="0.25">
      <c r="A320" s="104" t="s">
        <v>825</v>
      </c>
      <c r="B320" s="97" t="s">
        <v>1673</v>
      </c>
      <c r="C320" s="105" t="s">
        <v>14</v>
      </c>
      <c r="D320" s="98" t="s">
        <v>47</v>
      </c>
      <c r="E320" s="105" t="s">
        <v>325</v>
      </c>
      <c r="F320" s="96" t="s">
        <v>826</v>
      </c>
      <c r="G320" s="105"/>
      <c r="H320" s="105" t="s">
        <v>88</v>
      </c>
      <c r="I320" s="104" t="s">
        <v>376</v>
      </c>
      <c r="J320" s="104" t="s">
        <v>370</v>
      </c>
      <c r="K320" s="104" t="s">
        <v>1606</v>
      </c>
    </row>
    <row r="321" spans="1:11" x14ac:dyDescent="0.25">
      <c r="A321" s="104" t="s">
        <v>825</v>
      </c>
      <c r="B321" s="97" t="s">
        <v>1673</v>
      </c>
      <c r="C321" s="105" t="s">
        <v>14</v>
      </c>
      <c r="D321" s="98" t="s">
        <v>47</v>
      </c>
      <c r="E321" s="105" t="s">
        <v>325</v>
      </c>
      <c r="F321" s="96" t="s">
        <v>827</v>
      </c>
      <c r="G321" s="105"/>
      <c r="H321" s="105" t="s">
        <v>88</v>
      </c>
      <c r="I321" s="104" t="s">
        <v>376</v>
      </c>
      <c r="J321" s="104" t="s">
        <v>371</v>
      </c>
      <c r="K321" s="104" t="s">
        <v>1607</v>
      </c>
    </row>
    <row r="322" spans="1:11" x14ac:dyDescent="0.25">
      <c r="A322" s="104" t="s">
        <v>825</v>
      </c>
      <c r="B322" s="97" t="s">
        <v>1673</v>
      </c>
      <c r="C322" s="105" t="s">
        <v>14</v>
      </c>
      <c r="D322" s="98" t="s">
        <v>47</v>
      </c>
      <c r="E322" s="105" t="s">
        <v>325</v>
      </c>
      <c r="F322" s="96" t="s">
        <v>828</v>
      </c>
      <c r="G322" s="105"/>
      <c r="H322" s="105" t="s">
        <v>88</v>
      </c>
      <c r="I322" s="104" t="s">
        <v>376</v>
      </c>
      <c r="J322" s="104" t="s">
        <v>372</v>
      </c>
      <c r="K322" s="104" t="s">
        <v>1608</v>
      </c>
    </row>
    <row r="323" spans="1:11" x14ac:dyDescent="0.25">
      <c r="A323" s="140" t="s">
        <v>825</v>
      </c>
      <c r="B323" s="140" t="s">
        <v>1674</v>
      </c>
      <c r="C323" s="141"/>
      <c r="D323" s="141"/>
      <c r="E323" s="105" t="s">
        <v>325</v>
      </c>
      <c r="F323" s="141" t="s">
        <v>826</v>
      </c>
      <c r="G323" s="141"/>
      <c r="H323" s="141" t="s">
        <v>88</v>
      </c>
      <c r="I323" s="140" t="s">
        <v>377</v>
      </c>
      <c r="J323" s="140" t="s">
        <v>373</v>
      </c>
      <c r="K323" s="140" t="s">
        <v>1609</v>
      </c>
    </row>
    <row r="324" spans="1:11" x14ac:dyDescent="0.25">
      <c r="A324" s="140" t="s">
        <v>825</v>
      </c>
      <c r="B324" s="140" t="s">
        <v>1674</v>
      </c>
      <c r="C324" s="141"/>
      <c r="D324" s="141"/>
      <c r="E324" s="105" t="s">
        <v>325</v>
      </c>
      <c r="F324" s="141" t="s">
        <v>827</v>
      </c>
      <c r="G324" s="141"/>
      <c r="H324" s="141" t="s">
        <v>88</v>
      </c>
      <c r="I324" s="140" t="s">
        <v>377</v>
      </c>
      <c r="J324" s="140" t="s">
        <v>374</v>
      </c>
      <c r="K324" s="140" t="s">
        <v>1610</v>
      </c>
    </row>
    <row r="325" spans="1:11" x14ac:dyDescent="0.25">
      <c r="A325" s="140" t="s">
        <v>825</v>
      </c>
      <c r="B325" s="140" t="s">
        <v>1674</v>
      </c>
      <c r="C325" s="141"/>
      <c r="D325" s="141"/>
      <c r="E325" s="105" t="s">
        <v>325</v>
      </c>
      <c r="F325" s="141" t="s">
        <v>828</v>
      </c>
      <c r="G325" s="141"/>
      <c r="H325" s="141" t="s">
        <v>88</v>
      </c>
      <c r="I325" s="140" t="s">
        <v>377</v>
      </c>
      <c r="J325" s="140" t="s">
        <v>375</v>
      </c>
      <c r="K325" s="140" t="s">
        <v>1611</v>
      </c>
    </row>
    <row r="326" spans="1:11" s="104" customFormat="1" x14ac:dyDescent="0.25">
      <c r="A326" s="72" t="s">
        <v>379</v>
      </c>
      <c r="B326" s="72"/>
      <c r="C326" s="106"/>
      <c r="D326" s="106"/>
      <c r="E326" s="106"/>
      <c r="F326" s="106"/>
      <c r="G326" s="106"/>
      <c r="H326" s="106"/>
      <c r="I326" s="72" t="s">
        <v>796</v>
      </c>
      <c r="J326" s="72" t="s">
        <v>321</v>
      </c>
      <c r="K326" s="72" t="s">
        <v>1519</v>
      </c>
    </row>
    <row r="327" spans="1:11" s="104" customFormat="1" x14ac:dyDescent="0.25">
      <c r="A327" s="72" t="s">
        <v>379</v>
      </c>
      <c r="B327" s="72"/>
      <c r="C327" s="106"/>
      <c r="D327" s="106"/>
      <c r="E327" s="106"/>
      <c r="F327" s="106"/>
      <c r="G327" s="106"/>
      <c r="H327" s="106"/>
      <c r="I327" s="72" t="s">
        <v>796</v>
      </c>
      <c r="J327" s="72" t="s">
        <v>322</v>
      </c>
      <c r="K327" s="72" t="s">
        <v>1520</v>
      </c>
    </row>
    <row r="328" spans="1:11" s="104" customFormat="1" x14ac:dyDescent="0.25">
      <c r="A328" s="104" t="s">
        <v>379</v>
      </c>
      <c r="B328" s="105" t="s">
        <v>811</v>
      </c>
      <c r="C328" s="105" t="s">
        <v>13</v>
      </c>
      <c r="D328" s="105" t="s">
        <v>9</v>
      </c>
      <c r="E328" s="105"/>
      <c r="F328" s="105"/>
      <c r="G328" s="105"/>
      <c r="H328" s="105" t="s">
        <v>88</v>
      </c>
      <c r="I328" s="104" t="s">
        <v>797</v>
      </c>
      <c r="J328" s="104" t="s">
        <v>323</v>
      </c>
      <c r="K328" s="104" t="s">
        <v>1521</v>
      </c>
    </row>
    <row r="329" spans="1:11" s="104" customFormat="1" x14ac:dyDescent="0.25">
      <c r="A329" s="104" t="s">
        <v>379</v>
      </c>
      <c r="B329" s="105" t="s">
        <v>811</v>
      </c>
      <c r="C329" s="105" t="s">
        <v>14</v>
      </c>
      <c r="D329" s="105" t="s">
        <v>9</v>
      </c>
      <c r="E329" s="105"/>
      <c r="F329" s="105"/>
      <c r="G329" s="105"/>
      <c r="H329" s="105" t="s">
        <v>88</v>
      </c>
      <c r="I329" s="104" t="s">
        <v>797</v>
      </c>
      <c r="J329" s="104" t="s">
        <v>324</v>
      </c>
      <c r="K329" s="104" t="s">
        <v>1522</v>
      </c>
    </row>
    <row r="330" spans="1:11" s="104" customFormat="1" x14ac:dyDescent="0.25">
      <c r="A330" s="104" t="s">
        <v>379</v>
      </c>
      <c r="B330" s="105" t="s">
        <v>811</v>
      </c>
      <c r="C330" s="105" t="s">
        <v>13</v>
      </c>
      <c r="D330" s="105" t="s">
        <v>19</v>
      </c>
      <c r="E330" s="105"/>
      <c r="F330" s="105"/>
      <c r="G330" s="105"/>
      <c r="H330" s="105" t="s">
        <v>88</v>
      </c>
      <c r="I330" s="104" t="s">
        <v>797</v>
      </c>
      <c r="J330" s="104" t="s">
        <v>323</v>
      </c>
      <c r="K330" s="104" t="s">
        <v>1521</v>
      </c>
    </row>
    <row r="331" spans="1:11" s="104" customFormat="1" x14ac:dyDescent="0.25">
      <c r="A331" s="104" t="s">
        <v>379</v>
      </c>
      <c r="B331" s="105" t="s">
        <v>811</v>
      </c>
      <c r="C331" s="105" t="s">
        <v>14</v>
      </c>
      <c r="D331" s="105" t="s">
        <v>19</v>
      </c>
      <c r="E331" s="105"/>
      <c r="F331" s="105"/>
      <c r="G331" s="105"/>
      <c r="H331" s="105" t="s">
        <v>88</v>
      </c>
      <c r="I331" s="104" t="s">
        <v>797</v>
      </c>
      <c r="J331" s="104" t="s">
        <v>324</v>
      </c>
      <c r="K331" s="104" t="s">
        <v>1522</v>
      </c>
    </row>
    <row r="332" spans="1:11" s="104" customFormat="1" x14ac:dyDescent="0.25">
      <c r="A332" s="104" t="s">
        <v>379</v>
      </c>
      <c r="B332" s="105" t="s">
        <v>811</v>
      </c>
      <c r="C332" s="105" t="s">
        <v>13</v>
      </c>
      <c r="D332" s="105" t="s">
        <v>29</v>
      </c>
      <c r="E332" s="105"/>
      <c r="F332" s="105"/>
      <c r="G332" s="105"/>
      <c r="H332" s="105" t="s">
        <v>88</v>
      </c>
      <c r="I332" s="104" t="s">
        <v>797</v>
      </c>
      <c r="J332" s="104" t="s">
        <v>323</v>
      </c>
      <c r="K332" s="104" t="s">
        <v>1521</v>
      </c>
    </row>
    <row r="333" spans="1:11" s="104" customFormat="1" x14ac:dyDescent="0.25">
      <c r="A333" s="104" t="s">
        <v>379</v>
      </c>
      <c r="B333" s="105" t="s">
        <v>811</v>
      </c>
      <c r="C333" s="105" t="s">
        <v>14</v>
      </c>
      <c r="D333" s="105" t="s">
        <v>29</v>
      </c>
      <c r="E333" s="105"/>
      <c r="F333" s="105"/>
      <c r="G333" s="105"/>
      <c r="H333" s="105" t="s">
        <v>88</v>
      </c>
      <c r="I333" s="104" t="s">
        <v>797</v>
      </c>
      <c r="J333" s="104" t="s">
        <v>324</v>
      </c>
      <c r="K333" s="104" t="s">
        <v>1522</v>
      </c>
    </row>
    <row r="334" spans="1:11" s="104" customFormat="1" x14ac:dyDescent="0.25">
      <c r="A334" s="104" t="s">
        <v>379</v>
      </c>
      <c r="B334" s="105" t="s">
        <v>811</v>
      </c>
      <c r="C334" s="105" t="s">
        <v>13</v>
      </c>
      <c r="D334" s="105" t="s">
        <v>21</v>
      </c>
      <c r="E334" s="105"/>
      <c r="F334" s="105"/>
      <c r="G334" s="105"/>
      <c r="H334" s="105" t="s">
        <v>88</v>
      </c>
      <c r="I334" s="104" t="s">
        <v>797</v>
      </c>
      <c r="J334" s="104" t="s">
        <v>323</v>
      </c>
      <c r="K334" s="104" t="s">
        <v>1521</v>
      </c>
    </row>
    <row r="335" spans="1:11" s="104" customFormat="1" x14ac:dyDescent="0.25">
      <c r="A335" s="104" t="s">
        <v>379</v>
      </c>
      <c r="B335" s="105" t="s">
        <v>811</v>
      </c>
      <c r="C335" s="105" t="s">
        <v>14</v>
      </c>
      <c r="D335" s="105" t="s">
        <v>21</v>
      </c>
      <c r="E335" s="105"/>
      <c r="F335" s="105"/>
      <c r="G335" s="105"/>
      <c r="H335" s="105" t="s">
        <v>88</v>
      </c>
      <c r="I335" s="104" t="s">
        <v>797</v>
      </c>
      <c r="J335" s="104" t="s">
        <v>324</v>
      </c>
      <c r="K335" s="104" t="s">
        <v>1522</v>
      </c>
    </row>
    <row r="336" spans="1:11" x14ac:dyDescent="0.25">
      <c r="A336" s="165" t="s">
        <v>379</v>
      </c>
      <c r="B336" s="166" t="s">
        <v>358</v>
      </c>
      <c r="C336" s="166"/>
      <c r="D336" s="166"/>
      <c r="E336" s="166" t="s">
        <v>325</v>
      </c>
      <c r="F336" s="166" t="s">
        <v>823</v>
      </c>
      <c r="G336" s="166"/>
      <c r="H336" s="166" t="s">
        <v>88</v>
      </c>
      <c r="I336" s="165" t="s">
        <v>378</v>
      </c>
      <c r="J336" s="165" t="s">
        <v>355</v>
      </c>
      <c r="K336" s="165" t="s">
        <v>1523</v>
      </c>
    </row>
    <row r="337" spans="1:11" x14ac:dyDescent="0.25">
      <c r="A337" s="165" t="s">
        <v>379</v>
      </c>
      <c r="B337" s="166" t="s">
        <v>358</v>
      </c>
      <c r="C337" s="166"/>
      <c r="D337" s="166"/>
      <c r="E337" s="166" t="s">
        <v>325</v>
      </c>
      <c r="F337" s="166" t="s">
        <v>824</v>
      </c>
      <c r="G337" s="166"/>
      <c r="H337" s="166" t="s">
        <v>88</v>
      </c>
      <c r="I337" s="165" t="s">
        <v>378</v>
      </c>
      <c r="J337" s="165" t="s">
        <v>356</v>
      </c>
      <c r="K337" s="165" t="s">
        <v>1524</v>
      </c>
    </row>
    <row r="338" spans="1:11" x14ac:dyDescent="0.25">
      <c r="A338" s="72" t="s">
        <v>379</v>
      </c>
      <c r="B338" s="106"/>
      <c r="C338" s="106"/>
      <c r="D338" s="106"/>
      <c r="E338" s="106"/>
      <c r="F338" s="106"/>
      <c r="G338" s="106"/>
      <c r="H338" s="106" t="s">
        <v>38</v>
      </c>
      <c r="I338" s="72" t="s">
        <v>798</v>
      </c>
      <c r="J338" s="72" t="s">
        <v>321</v>
      </c>
      <c r="K338" s="72" t="s">
        <v>1525</v>
      </c>
    </row>
    <row r="339" spans="1:11" x14ac:dyDescent="0.25">
      <c r="A339" s="72" t="s">
        <v>379</v>
      </c>
      <c r="B339" s="106"/>
      <c r="C339" s="106"/>
      <c r="D339" s="106"/>
      <c r="E339" s="106"/>
      <c r="F339" s="106"/>
      <c r="G339" s="106"/>
      <c r="H339" s="106" t="s">
        <v>38</v>
      </c>
      <c r="I339" s="72" t="s">
        <v>798</v>
      </c>
      <c r="J339" s="72" t="s">
        <v>322</v>
      </c>
      <c r="K339" s="72" t="s">
        <v>1526</v>
      </c>
    </row>
    <row r="340" spans="1:11" s="104" customFormat="1" x14ac:dyDescent="0.25">
      <c r="A340" s="104" t="s">
        <v>379</v>
      </c>
      <c r="B340" s="105" t="s">
        <v>811</v>
      </c>
      <c r="C340" s="105" t="s">
        <v>13</v>
      </c>
      <c r="D340" s="105" t="s">
        <v>9</v>
      </c>
      <c r="E340" s="105"/>
      <c r="F340" s="105"/>
      <c r="G340" s="105"/>
      <c r="H340" s="105" t="s">
        <v>38</v>
      </c>
      <c r="I340" s="104" t="s">
        <v>799</v>
      </c>
      <c r="J340" s="104" t="s">
        <v>323</v>
      </c>
      <c r="K340" s="104" t="s">
        <v>1527</v>
      </c>
    </row>
    <row r="341" spans="1:11" s="104" customFormat="1" x14ac:dyDescent="0.25">
      <c r="A341" s="104" t="s">
        <v>379</v>
      </c>
      <c r="B341" s="105" t="s">
        <v>811</v>
      </c>
      <c r="C341" s="105" t="s">
        <v>14</v>
      </c>
      <c r="D341" s="105" t="s">
        <v>9</v>
      </c>
      <c r="E341" s="105"/>
      <c r="F341" s="105"/>
      <c r="G341" s="105"/>
      <c r="H341" s="105" t="s">
        <v>38</v>
      </c>
      <c r="I341" s="104" t="s">
        <v>799</v>
      </c>
      <c r="J341" s="104" t="s">
        <v>324</v>
      </c>
      <c r="K341" s="104" t="s">
        <v>1528</v>
      </c>
    </row>
    <row r="342" spans="1:11" s="104" customFormat="1" x14ac:dyDescent="0.25">
      <c r="A342" s="104" t="s">
        <v>379</v>
      </c>
      <c r="B342" s="105" t="s">
        <v>811</v>
      </c>
      <c r="C342" s="105" t="s">
        <v>13</v>
      </c>
      <c r="D342" s="105" t="s">
        <v>19</v>
      </c>
      <c r="E342" s="105"/>
      <c r="F342" s="105"/>
      <c r="G342" s="105"/>
      <c r="H342" s="105" t="s">
        <v>38</v>
      </c>
      <c r="I342" s="104" t="s">
        <v>799</v>
      </c>
      <c r="J342" s="104" t="s">
        <v>323</v>
      </c>
      <c r="K342" s="104" t="s">
        <v>1527</v>
      </c>
    </row>
    <row r="343" spans="1:11" s="104" customFormat="1" x14ac:dyDescent="0.25">
      <c r="A343" s="104" t="s">
        <v>379</v>
      </c>
      <c r="B343" s="105" t="s">
        <v>811</v>
      </c>
      <c r="C343" s="105" t="s">
        <v>14</v>
      </c>
      <c r="D343" s="105" t="s">
        <v>19</v>
      </c>
      <c r="E343" s="105"/>
      <c r="F343" s="105"/>
      <c r="G343" s="105"/>
      <c r="H343" s="105" t="s">
        <v>38</v>
      </c>
      <c r="I343" s="104" t="s">
        <v>799</v>
      </c>
      <c r="J343" s="104" t="s">
        <v>324</v>
      </c>
      <c r="K343" s="104" t="s">
        <v>1528</v>
      </c>
    </row>
    <row r="344" spans="1:11" s="104" customFormat="1" x14ac:dyDescent="0.25">
      <c r="A344" s="104" t="s">
        <v>379</v>
      </c>
      <c r="B344" s="105" t="s">
        <v>811</v>
      </c>
      <c r="C344" s="105" t="s">
        <v>13</v>
      </c>
      <c r="D344" s="105" t="s">
        <v>29</v>
      </c>
      <c r="E344" s="105"/>
      <c r="F344" s="105"/>
      <c r="G344" s="105"/>
      <c r="H344" s="105" t="s">
        <v>38</v>
      </c>
      <c r="I344" s="104" t="s">
        <v>799</v>
      </c>
      <c r="J344" s="104" t="s">
        <v>323</v>
      </c>
      <c r="K344" s="104" t="s">
        <v>1527</v>
      </c>
    </row>
    <row r="345" spans="1:11" s="104" customFormat="1" x14ac:dyDescent="0.25">
      <c r="A345" s="104" t="s">
        <v>379</v>
      </c>
      <c r="B345" s="105" t="s">
        <v>811</v>
      </c>
      <c r="C345" s="105" t="s">
        <v>14</v>
      </c>
      <c r="D345" s="105" t="s">
        <v>29</v>
      </c>
      <c r="E345" s="105"/>
      <c r="F345" s="105"/>
      <c r="G345" s="105"/>
      <c r="H345" s="105" t="s">
        <v>38</v>
      </c>
      <c r="I345" s="104" t="s">
        <v>799</v>
      </c>
      <c r="J345" s="104" t="s">
        <v>324</v>
      </c>
      <c r="K345" s="104" t="s">
        <v>1528</v>
      </c>
    </row>
    <row r="346" spans="1:11" s="104" customFormat="1" x14ac:dyDescent="0.25">
      <c r="A346" s="104" t="s">
        <v>379</v>
      </c>
      <c r="B346" s="105" t="s">
        <v>811</v>
      </c>
      <c r="C346" s="105" t="s">
        <v>13</v>
      </c>
      <c r="D346" s="105" t="s">
        <v>21</v>
      </c>
      <c r="E346" s="105"/>
      <c r="F346" s="105"/>
      <c r="G346" s="105"/>
      <c r="H346" s="105" t="s">
        <v>38</v>
      </c>
      <c r="I346" s="104" t="s">
        <v>799</v>
      </c>
      <c r="J346" s="104" t="s">
        <v>323</v>
      </c>
      <c r="K346" s="104" t="s">
        <v>1527</v>
      </c>
    </row>
    <row r="347" spans="1:11" s="104" customFormat="1" x14ac:dyDescent="0.25">
      <c r="A347" s="104" t="s">
        <v>379</v>
      </c>
      <c r="B347" s="105" t="s">
        <v>811</v>
      </c>
      <c r="C347" s="105" t="s">
        <v>14</v>
      </c>
      <c r="D347" s="105" t="s">
        <v>21</v>
      </c>
      <c r="E347" s="105"/>
      <c r="F347" s="105"/>
      <c r="G347" s="105"/>
      <c r="H347" s="105" t="s">
        <v>38</v>
      </c>
      <c r="I347" s="104" t="s">
        <v>799</v>
      </c>
      <c r="J347" s="104" t="s">
        <v>324</v>
      </c>
      <c r="K347" s="104" t="s">
        <v>1528</v>
      </c>
    </row>
    <row r="348" spans="1:11" x14ac:dyDescent="0.25">
      <c r="A348" s="165" t="s">
        <v>379</v>
      </c>
      <c r="B348" s="166" t="s">
        <v>358</v>
      </c>
      <c r="C348" s="166"/>
      <c r="D348" s="166"/>
      <c r="E348" s="166" t="s">
        <v>325</v>
      </c>
      <c r="F348" s="166" t="s">
        <v>823</v>
      </c>
      <c r="G348" s="166"/>
      <c r="H348" s="166" t="s">
        <v>38</v>
      </c>
      <c r="I348" s="165" t="s">
        <v>358</v>
      </c>
      <c r="J348" s="165" t="s">
        <v>355</v>
      </c>
      <c r="K348" s="165" t="s">
        <v>1529</v>
      </c>
    </row>
    <row r="349" spans="1:11" x14ac:dyDescent="0.25">
      <c r="A349" s="165" t="s">
        <v>379</v>
      </c>
      <c r="B349" s="166" t="s">
        <v>358</v>
      </c>
      <c r="C349" s="166"/>
      <c r="D349" s="166"/>
      <c r="E349" s="166" t="s">
        <v>325</v>
      </c>
      <c r="F349" s="166" t="s">
        <v>824</v>
      </c>
      <c r="G349" s="166"/>
      <c r="H349" s="166" t="s">
        <v>38</v>
      </c>
      <c r="I349" s="165" t="s">
        <v>358</v>
      </c>
      <c r="J349" s="165" t="s">
        <v>356</v>
      </c>
      <c r="K349" s="165" t="s">
        <v>1530</v>
      </c>
    </row>
    <row r="350" spans="1:11" x14ac:dyDescent="0.25">
      <c r="A350" s="104" t="s">
        <v>830</v>
      </c>
      <c r="B350" s="20" t="s">
        <v>1672</v>
      </c>
      <c r="C350" s="20" t="s">
        <v>13</v>
      </c>
      <c r="D350" s="98" t="s">
        <v>31</v>
      </c>
      <c r="E350" s="20"/>
      <c r="F350" s="20"/>
      <c r="G350" s="105"/>
      <c r="H350" s="20" t="s">
        <v>88</v>
      </c>
      <c r="I350" s="104" t="s">
        <v>320</v>
      </c>
      <c r="J350" s="104" t="s">
        <v>321</v>
      </c>
      <c r="K350" s="104" t="s">
        <v>1531</v>
      </c>
    </row>
    <row r="351" spans="1:11" x14ac:dyDescent="0.25">
      <c r="A351" s="104" t="s">
        <v>830</v>
      </c>
      <c r="B351" s="105" t="s">
        <v>1672</v>
      </c>
      <c r="C351" s="20" t="s">
        <v>14</v>
      </c>
      <c r="D351" s="98" t="s">
        <v>31</v>
      </c>
      <c r="E351" s="20"/>
      <c r="F351" s="20"/>
      <c r="G351" s="105"/>
      <c r="H351" s="101" t="s">
        <v>88</v>
      </c>
      <c r="I351" s="104" t="s">
        <v>320</v>
      </c>
      <c r="J351" s="104" t="s">
        <v>322</v>
      </c>
      <c r="K351" s="104" t="s">
        <v>1532</v>
      </c>
    </row>
    <row r="352" spans="1:11" x14ac:dyDescent="0.25">
      <c r="A352" s="104" t="s">
        <v>830</v>
      </c>
      <c r="B352" s="105" t="s">
        <v>1672</v>
      </c>
      <c r="C352" s="20" t="s">
        <v>13</v>
      </c>
      <c r="D352" s="98" t="s">
        <v>47</v>
      </c>
      <c r="E352" s="20"/>
      <c r="F352" s="20"/>
      <c r="G352" s="105"/>
      <c r="H352" s="101" t="s">
        <v>88</v>
      </c>
      <c r="I352" s="104" t="s">
        <v>320</v>
      </c>
      <c r="J352" s="104" t="s">
        <v>323</v>
      </c>
      <c r="K352" s="104" t="s">
        <v>1533</v>
      </c>
    </row>
    <row r="353" spans="1:11" x14ac:dyDescent="0.25">
      <c r="A353" s="104" t="s">
        <v>830</v>
      </c>
      <c r="B353" s="105" t="s">
        <v>1672</v>
      </c>
      <c r="C353" s="20" t="s">
        <v>14</v>
      </c>
      <c r="D353" s="98" t="s">
        <v>47</v>
      </c>
      <c r="E353" s="20"/>
      <c r="F353" s="20"/>
      <c r="G353" s="105"/>
      <c r="H353" s="101" t="s">
        <v>88</v>
      </c>
      <c r="I353" s="104" t="s">
        <v>320</v>
      </c>
      <c r="J353" s="104" t="s">
        <v>324</v>
      </c>
      <c r="K353" s="104" t="s">
        <v>1534</v>
      </c>
    </row>
    <row r="354" spans="1:11" s="104" customFormat="1" x14ac:dyDescent="0.25">
      <c r="A354" s="165" t="s">
        <v>830</v>
      </c>
      <c r="B354" s="166" t="s">
        <v>1651</v>
      </c>
      <c r="C354" s="166"/>
      <c r="D354" s="166"/>
      <c r="E354" s="166"/>
      <c r="F354" s="166"/>
      <c r="G354" s="166"/>
      <c r="H354" s="166" t="s">
        <v>88</v>
      </c>
      <c r="I354" s="166" t="s">
        <v>1651</v>
      </c>
      <c r="J354" s="166" t="s">
        <v>1651</v>
      </c>
      <c r="K354" s="166" t="s">
        <v>1655</v>
      </c>
    </row>
    <row r="355" spans="1:11" x14ac:dyDescent="0.25">
      <c r="A355" s="104" t="s">
        <v>830</v>
      </c>
      <c r="B355" s="102" t="s">
        <v>1675</v>
      </c>
      <c r="E355" s="20" t="s">
        <v>325</v>
      </c>
      <c r="F355" s="103" t="s">
        <v>831</v>
      </c>
      <c r="G355" s="105"/>
      <c r="H355" s="105" t="s">
        <v>88</v>
      </c>
      <c r="I355" s="104" t="s">
        <v>1652</v>
      </c>
      <c r="J355" s="104" t="s">
        <v>380</v>
      </c>
      <c r="K355" s="104" t="s">
        <v>1535</v>
      </c>
    </row>
    <row r="356" spans="1:11" x14ac:dyDescent="0.25">
      <c r="A356" s="104" t="s">
        <v>830</v>
      </c>
      <c r="B356" s="104" t="s">
        <v>1675</v>
      </c>
      <c r="E356" s="105" t="s">
        <v>325</v>
      </c>
      <c r="F356" s="103" t="s">
        <v>832</v>
      </c>
      <c r="G356" s="105"/>
      <c r="H356" s="105" t="s">
        <v>88</v>
      </c>
      <c r="I356" s="104" t="s">
        <v>1652</v>
      </c>
      <c r="J356" s="104" t="s">
        <v>381</v>
      </c>
      <c r="K356" s="104" t="s">
        <v>1536</v>
      </c>
    </row>
    <row r="357" spans="1:11" x14ac:dyDescent="0.25">
      <c r="A357" s="104" t="s">
        <v>830</v>
      </c>
      <c r="B357" s="104" t="s">
        <v>1675</v>
      </c>
      <c r="E357" s="105" t="s">
        <v>325</v>
      </c>
      <c r="F357" s="103" t="s">
        <v>833</v>
      </c>
      <c r="G357" s="105"/>
      <c r="H357" s="105" t="s">
        <v>88</v>
      </c>
      <c r="I357" s="104" t="s">
        <v>1652</v>
      </c>
      <c r="J357" s="104" t="s">
        <v>382</v>
      </c>
      <c r="K357" s="104" t="s">
        <v>1537</v>
      </c>
    </row>
    <row r="358" spans="1:11" x14ac:dyDescent="0.25">
      <c r="A358" s="104" t="s">
        <v>830</v>
      </c>
      <c r="B358" s="104"/>
      <c r="C358" s="104"/>
      <c r="D358" s="104"/>
      <c r="E358" s="104"/>
      <c r="F358" s="20"/>
      <c r="G358" s="105"/>
      <c r="H358" s="20"/>
      <c r="I358" s="104" t="s">
        <v>387</v>
      </c>
      <c r="J358" s="104" t="s">
        <v>383</v>
      </c>
      <c r="K358" s="104" t="s">
        <v>1538</v>
      </c>
    </row>
    <row r="359" spans="1:11" x14ac:dyDescent="0.25">
      <c r="A359" s="104" t="s">
        <v>830</v>
      </c>
      <c r="B359" s="104"/>
      <c r="C359" s="104"/>
      <c r="D359" s="104"/>
      <c r="E359" s="104"/>
      <c r="F359" s="20"/>
      <c r="G359" s="105"/>
      <c r="H359" s="20"/>
      <c r="I359" s="104" t="s">
        <v>387</v>
      </c>
      <c r="J359" s="104" t="s">
        <v>384</v>
      </c>
      <c r="K359" s="104" t="s">
        <v>1539</v>
      </c>
    </row>
    <row r="360" spans="1:11" x14ac:dyDescent="0.25">
      <c r="A360" s="104" t="s">
        <v>830</v>
      </c>
      <c r="B360" s="20"/>
      <c r="C360" s="20"/>
      <c r="E360" s="20"/>
      <c r="F360" s="20"/>
      <c r="G360" s="105"/>
      <c r="H360" s="20"/>
      <c r="I360" s="104" t="s">
        <v>387</v>
      </c>
      <c r="J360" s="104" t="s">
        <v>385</v>
      </c>
      <c r="K360" s="104" t="s">
        <v>1540</v>
      </c>
    </row>
    <row r="361" spans="1:11" x14ac:dyDescent="0.25">
      <c r="A361" s="104" t="s">
        <v>830</v>
      </c>
      <c r="B361" s="20"/>
      <c r="C361" s="20"/>
      <c r="E361" s="20"/>
      <c r="F361" s="20"/>
      <c r="G361" s="105"/>
      <c r="H361" s="20"/>
      <c r="I361" s="104" t="s">
        <v>387</v>
      </c>
      <c r="J361" s="104" t="s">
        <v>386</v>
      </c>
      <c r="K361" s="104" t="s">
        <v>1541</v>
      </c>
    </row>
    <row r="362" spans="1:11" x14ac:dyDescent="0.25">
      <c r="A362" s="104" t="s">
        <v>18</v>
      </c>
      <c r="B362" s="20" t="s">
        <v>15</v>
      </c>
      <c r="C362" s="20"/>
      <c r="D362" s="98" t="s">
        <v>9</v>
      </c>
      <c r="E362" s="20"/>
      <c r="F362" s="20"/>
      <c r="G362" s="105"/>
      <c r="H362" s="101" t="s">
        <v>38</v>
      </c>
      <c r="I362" s="104" t="s">
        <v>793</v>
      </c>
      <c r="J362" s="104" t="s">
        <v>308</v>
      </c>
      <c r="K362" s="104" t="s">
        <v>1542</v>
      </c>
    </row>
    <row r="363" spans="1:11" x14ac:dyDescent="0.25">
      <c r="A363" s="104" t="s">
        <v>18</v>
      </c>
      <c r="B363" s="20" t="s">
        <v>15</v>
      </c>
      <c r="C363" s="20"/>
      <c r="D363" s="98" t="s">
        <v>19</v>
      </c>
      <c r="E363" s="20"/>
      <c r="F363" s="20"/>
      <c r="G363" s="105"/>
      <c r="H363" s="101" t="s">
        <v>38</v>
      </c>
      <c r="I363" s="104" t="s">
        <v>793</v>
      </c>
      <c r="J363" s="104" t="s">
        <v>309</v>
      </c>
      <c r="K363" s="104" t="s">
        <v>1543</v>
      </c>
    </row>
    <row r="364" spans="1:11" x14ac:dyDescent="0.25">
      <c r="A364" s="104" t="s">
        <v>18</v>
      </c>
      <c r="B364" s="20" t="s">
        <v>15</v>
      </c>
      <c r="C364" s="20"/>
      <c r="D364" s="98" t="s">
        <v>20</v>
      </c>
      <c r="E364" s="20"/>
      <c r="F364" s="20"/>
      <c r="G364" s="105"/>
      <c r="H364" s="101" t="s">
        <v>38</v>
      </c>
      <c r="I364" s="104" t="s">
        <v>793</v>
      </c>
      <c r="J364" s="104" t="s">
        <v>310</v>
      </c>
      <c r="K364" s="104" t="s">
        <v>1544</v>
      </c>
    </row>
    <row r="365" spans="1:11" x14ac:dyDescent="0.25">
      <c r="A365" s="104" t="s">
        <v>18</v>
      </c>
      <c r="B365" s="20" t="s">
        <v>15</v>
      </c>
      <c r="C365" s="20"/>
      <c r="D365" s="98" t="s">
        <v>1137</v>
      </c>
      <c r="E365" s="20"/>
      <c r="F365" s="20"/>
      <c r="G365" s="105"/>
      <c r="H365" s="101" t="s">
        <v>38</v>
      </c>
      <c r="I365" s="104" t="s">
        <v>794</v>
      </c>
      <c r="J365" s="104" t="s">
        <v>388</v>
      </c>
      <c r="K365" s="104" t="s">
        <v>1545</v>
      </c>
    </row>
    <row r="366" spans="1:11" x14ac:dyDescent="0.25">
      <c r="A366" s="104" t="s">
        <v>18</v>
      </c>
      <c r="B366" s="20" t="s">
        <v>15</v>
      </c>
      <c r="C366" s="20"/>
      <c r="D366" s="98" t="s">
        <v>829</v>
      </c>
      <c r="H366" s="101" t="s">
        <v>38</v>
      </c>
      <c r="I366" s="104" t="s">
        <v>794</v>
      </c>
      <c r="J366" s="104" t="s">
        <v>389</v>
      </c>
      <c r="K366" s="104" t="s">
        <v>1546</v>
      </c>
    </row>
    <row r="367" spans="1:11" x14ac:dyDescent="0.25">
      <c r="A367" s="104" t="s">
        <v>18</v>
      </c>
      <c r="B367" t="s">
        <v>15</v>
      </c>
      <c r="D367" s="98" t="s">
        <v>8</v>
      </c>
      <c r="H367" s="101" t="s">
        <v>38</v>
      </c>
      <c r="I367" s="104" t="s">
        <v>794</v>
      </c>
      <c r="J367" s="104" t="s">
        <v>209</v>
      </c>
      <c r="K367" s="104" t="s">
        <v>1547</v>
      </c>
    </row>
    <row r="368" spans="1:11" x14ac:dyDescent="0.25">
      <c r="A368" s="104" t="s">
        <v>18</v>
      </c>
      <c r="H368" s="101"/>
      <c r="I368" s="104" t="s">
        <v>794</v>
      </c>
      <c r="J368" s="104" t="s">
        <v>311</v>
      </c>
      <c r="K368" s="104" t="s">
        <v>1548</v>
      </c>
    </row>
    <row r="369" spans="1:11" x14ac:dyDescent="0.25">
      <c r="A369" s="104" t="s">
        <v>18</v>
      </c>
      <c r="H369" s="101"/>
      <c r="I369" s="104" t="s">
        <v>794</v>
      </c>
      <c r="J369" s="104" t="s">
        <v>312</v>
      </c>
      <c r="K369" s="104" t="s">
        <v>1549</v>
      </c>
    </row>
    <row r="370" spans="1:11" x14ac:dyDescent="0.25">
      <c r="A370" s="104" t="s">
        <v>18</v>
      </c>
      <c r="H370" s="101"/>
      <c r="I370" s="104" t="s">
        <v>794</v>
      </c>
      <c r="J370" s="104" t="s">
        <v>313</v>
      </c>
      <c r="K370" s="104" t="s">
        <v>1550</v>
      </c>
    </row>
    <row r="371" spans="1:11" x14ac:dyDescent="0.25">
      <c r="A371" s="104" t="s">
        <v>18</v>
      </c>
      <c r="B371" t="s">
        <v>15</v>
      </c>
      <c r="D371" s="98" t="s">
        <v>21</v>
      </c>
      <c r="H371" s="101" t="s">
        <v>38</v>
      </c>
      <c r="I371" s="104" t="s">
        <v>794</v>
      </c>
      <c r="J371" s="104" t="s">
        <v>314</v>
      </c>
      <c r="K371" s="104" t="s">
        <v>1551</v>
      </c>
    </row>
    <row r="372" spans="1:11" x14ac:dyDescent="0.25">
      <c r="A372" s="104" t="s">
        <v>18</v>
      </c>
      <c r="B372" s="99" t="s">
        <v>1676</v>
      </c>
      <c r="C372" t="s">
        <v>14</v>
      </c>
      <c r="F372" s="100" t="s">
        <v>23</v>
      </c>
      <c r="H372" s="101" t="s">
        <v>38</v>
      </c>
      <c r="I372" s="104" t="s">
        <v>22</v>
      </c>
      <c r="J372" s="104" t="s">
        <v>390</v>
      </c>
      <c r="K372" s="104" t="s">
        <v>1552</v>
      </c>
    </row>
    <row r="373" spans="1:11" x14ac:dyDescent="0.25">
      <c r="A373" s="104" t="s">
        <v>18</v>
      </c>
      <c r="B373" s="104" t="s">
        <v>1676</v>
      </c>
      <c r="C373" s="104" t="s">
        <v>14</v>
      </c>
      <c r="F373" s="100" t="s">
        <v>24</v>
      </c>
      <c r="H373" s="101" t="s">
        <v>38</v>
      </c>
      <c r="I373" s="104" t="s">
        <v>22</v>
      </c>
      <c r="J373" s="104" t="s">
        <v>391</v>
      </c>
      <c r="K373" s="104" t="s">
        <v>1553</v>
      </c>
    </row>
  </sheetData>
  <autoFilter ref="A1:K373"/>
  <sortState ref="D213:D219">
    <sortCondition ref="D213"/>
  </sortState>
  <conditionalFormatting sqref="K1">
    <cfRule type="duplicateValues" dxfId="1212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K17"/>
  <sheetViews>
    <sheetView topLeftCell="C1" zoomScaleNormal="100" workbookViewId="0">
      <pane ySplit="1" topLeftCell="A2" activePane="bottomLeft" state="frozen"/>
      <selection activeCell="F38" sqref="F38"/>
      <selection pane="bottomLeft" activeCell="K2" sqref="K2:K17"/>
    </sheetView>
  </sheetViews>
  <sheetFormatPr defaultRowHeight="15" x14ac:dyDescent="0.25"/>
  <cols>
    <col min="1" max="1" width="9.140625" style="104"/>
    <col min="2" max="2" width="37.42578125" style="104" bestFit="1" customWidth="1"/>
    <col min="3" max="3" width="9.140625" style="104"/>
    <col min="4" max="4" width="9.140625" style="105"/>
    <col min="5" max="8" width="9.140625" style="104"/>
    <col min="9" max="9" width="29.28515625" style="104" customWidth="1"/>
    <col min="10" max="10" width="28.140625" style="104" customWidth="1"/>
    <col min="11" max="11" width="37" style="104" bestFit="1" customWidth="1"/>
    <col min="12" max="16384" width="9.140625" style="104"/>
  </cols>
  <sheetData>
    <row r="1" spans="1:11" x14ac:dyDescent="0.25">
      <c r="A1" s="21" t="s">
        <v>52</v>
      </c>
      <c r="B1" s="21" t="s">
        <v>838</v>
      </c>
      <c r="C1" s="21" t="s">
        <v>51</v>
      </c>
      <c r="D1" s="92" t="s">
        <v>50</v>
      </c>
      <c r="E1" s="21" t="s">
        <v>49</v>
      </c>
      <c r="F1" s="21" t="s">
        <v>48</v>
      </c>
      <c r="G1" s="21" t="s">
        <v>834</v>
      </c>
      <c r="H1" s="21" t="s">
        <v>839</v>
      </c>
      <c r="I1" s="4" t="s">
        <v>837</v>
      </c>
      <c r="J1" s="4" t="s">
        <v>835</v>
      </c>
      <c r="K1" s="21" t="s">
        <v>836</v>
      </c>
    </row>
    <row r="2" spans="1:11" x14ac:dyDescent="0.25">
      <c r="A2" s="104" t="s">
        <v>101</v>
      </c>
      <c r="B2" s="105" t="s">
        <v>431</v>
      </c>
      <c r="C2" s="105"/>
      <c r="E2" s="105"/>
      <c r="F2" s="105"/>
      <c r="G2" s="105"/>
      <c r="H2" s="105" t="s">
        <v>38</v>
      </c>
      <c r="I2" s="19" t="s">
        <v>431</v>
      </c>
      <c r="J2" s="19" t="s">
        <v>431</v>
      </c>
      <c r="K2" s="19" t="s">
        <v>1213</v>
      </c>
    </row>
    <row r="3" spans="1:11" x14ac:dyDescent="0.25">
      <c r="A3" s="104" t="s">
        <v>315</v>
      </c>
      <c r="B3" s="104" t="s">
        <v>815</v>
      </c>
      <c r="C3" s="105"/>
      <c r="E3" s="105"/>
      <c r="F3" s="105" t="s">
        <v>199</v>
      </c>
      <c r="G3" s="105"/>
      <c r="H3" s="105" t="s">
        <v>38</v>
      </c>
      <c r="I3" s="104" t="s">
        <v>197</v>
      </c>
      <c r="J3" s="104" t="s">
        <v>199</v>
      </c>
      <c r="K3" s="104" t="s">
        <v>1386</v>
      </c>
    </row>
    <row r="4" spans="1:11" x14ac:dyDescent="0.25">
      <c r="A4" s="104" t="s">
        <v>315</v>
      </c>
      <c r="B4" s="104" t="s">
        <v>815</v>
      </c>
      <c r="C4" s="105"/>
      <c r="E4" s="105"/>
      <c r="F4" s="105" t="s">
        <v>317</v>
      </c>
      <c r="G4" s="105"/>
      <c r="H4" s="105" t="s">
        <v>38</v>
      </c>
      <c r="I4" s="104" t="s">
        <v>197</v>
      </c>
      <c r="J4" s="104" t="s">
        <v>317</v>
      </c>
      <c r="K4" s="104" t="s">
        <v>1387</v>
      </c>
    </row>
    <row r="5" spans="1:11" x14ac:dyDescent="0.25">
      <c r="A5" s="104" t="s">
        <v>315</v>
      </c>
      <c r="B5" s="104" t="s">
        <v>815</v>
      </c>
      <c r="C5" s="105"/>
      <c r="E5" s="105"/>
      <c r="F5" s="105" t="s">
        <v>319</v>
      </c>
      <c r="G5" s="105"/>
      <c r="H5" s="105" t="s">
        <v>38</v>
      </c>
      <c r="I5" s="104" t="s">
        <v>197</v>
      </c>
      <c r="J5" s="104" t="s">
        <v>319</v>
      </c>
      <c r="K5" s="104" t="s">
        <v>1389</v>
      </c>
    </row>
    <row r="6" spans="1:11" x14ac:dyDescent="0.25">
      <c r="A6" s="104" t="s">
        <v>4</v>
      </c>
      <c r="B6" s="105" t="s">
        <v>197</v>
      </c>
      <c r="C6" s="105"/>
      <c r="E6" s="105"/>
      <c r="F6" s="105" t="s">
        <v>199</v>
      </c>
      <c r="G6" s="105"/>
      <c r="H6" s="105" t="s">
        <v>38</v>
      </c>
      <c r="I6" s="104" t="s">
        <v>357</v>
      </c>
      <c r="J6" s="104" t="s">
        <v>350</v>
      </c>
      <c r="K6" s="104" t="s">
        <v>1452</v>
      </c>
    </row>
    <row r="7" spans="1:11" x14ac:dyDescent="0.25">
      <c r="A7" s="104" t="s">
        <v>4</v>
      </c>
      <c r="B7" s="105" t="s">
        <v>197</v>
      </c>
      <c r="C7" s="105"/>
      <c r="E7" s="105"/>
      <c r="F7" s="105" t="s">
        <v>317</v>
      </c>
      <c r="G7" s="105"/>
      <c r="H7" s="105" t="s">
        <v>38</v>
      </c>
      <c r="I7" s="104" t="s">
        <v>357</v>
      </c>
      <c r="J7" s="104" t="s">
        <v>351</v>
      </c>
      <c r="K7" s="104" t="s">
        <v>1453</v>
      </c>
    </row>
    <row r="8" spans="1:11" x14ac:dyDescent="0.25">
      <c r="A8" s="104" t="s">
        <v>4</v>
      </c>
      <c r="B8" s="105" t="s">
        <v>197</v>
      </c>
      <c r="C8" s="105"/>
      <c r="E8" s="105"/>
      <c r="F8" s="105" t="s">
        <v>203</v>
      </c>
      <c r="G8" s="105"/>
      <c r="H8" s="105" t="s">
        <v>38</v>
      </c>
      <c r="I8" s="104" t="s">
        <v>357</v>
      </c>
      <c r="J8" s="104" t="s">
        <v>352</v>
      </c>
      <c r="K8" s="104" t="s">
        <v>1454</v>
      </c>
    </row>
    <row r="9" spans="1:11" x14ac:dyDescent="0.25">
      <c r="A9" s="104" t="s">
        <v>4</v>
      </c>
      <c r="B9" s="105" t="s">
        <v>197</v>
      </c>
      <c r="C9" s="105"/>
      <c r="E9" s="105"/>
      <c r="F9" s="105" t="s">
        <v>821</v>
      </c>
      <c r="G9" s="105"/>
      <c r="H9" s="105" t="s">
        <v>38</v>
      </c>
      <c r="I9" s="104" t="s">
        <v>357</v>
      </c>
      <c r="J9" s="104" t="s">
        <v>353</v>
      </c>
      <c r="K9" s="104" t="s">
        <v>1455</v>
      </c>
    </row>
    <row r="10" spans="1:11" x14ac:dyDescent="0.25">
      <c r="A10" s="104" t="s">
        <v>4</v>
      </c>
      <c r="B10" s="105" t="s">
        <v>197</v>
      </c>
      <c r="C10" s="105"/>
      <c r="E10" s="105"/>
      <c r="F10" s="105" t="s">
        <v>319</v>
      </c>
      <c r="G10" s="105"/>
      <c r="H10" s="105" t="s">
        <v>38</v>
      </c>
      <c r="I10" s="104" t="s">
        <v>357</v>
      </c>
      <c r="J10" s="104" t="s">
        <v>354</v>
      </c>
      <c r="K10" s="104" t="s">
        <v>1456</v>
      </c>
    </row>
    <row r="11" spans="1:11" x14ac:dyDescent="0.25">
      <c r="A11" s="104" t="s">
        <v>4</v>
      </c>
      <c r="B11" s="104" t="s">
        <v>822</v>
      </c>
      <c r="C11" s="105"/>
      <c r="E11" s="105"/>
      <c r="F11" s="105" t="s">
        <v>823</v>
      </c>
      <c r="G11" s="105"/>
      <c r="H11" s="105" t="s">
        <v>38</v>
      </c>
      <c r="I11" s="104" t="s">
        <v>358</v>
      </c>
      <c r="J11" s="104" t="s">
        <v>355</v>
      </c>
      <c r="K11" s="104" t="s">
        <v>1457</v>
      </c>
    </row>
    <row r="12" spans="1:11" x14ac:dyDescent="0.25">
      <c r="A12" s="104" t="s">
        <v>4</v>
      </c>
      <c r="B12" s="104" t="s">
        <v>822</v>
      </c>
      <c r="C12" s="105"/>
      <c r="E12" s="105"/>
      <c r="F12" s="105" t="s">
        <v>824</v>
      </c>
      <c r="G12" s="105"/>
      <c r="H12" s="105" t="s">
        <v>38</v>
      </c>
      <c r="I12" s="104" t="s">
        <v>358</v>
      </c>
      <c r="J12" s="104" t="s">
        <v>356</v>
      </c>
      <c r="K12" s="104" t="s">
        <v>1458</v>
      </c>
    </row>
    <row r="13" spans="1:11" x14ac:dyDescent="0.25">
      <c r="A13" s="104" t="s">
        <v>379</v>
      </c>
      <c r="B13" s="105" t="s">
        <v>822</v>
      </c>
      <c r="C13" s="105"/>
      <c r="E13" s="105"/>
      <c r="F13" s="105" t="s">
        <v>823</v>
      </c>
      <c r="G13" s="105"/>
      <c r="H13" s="105" t="s">
        <v>88</v>
      </c>
      <c r="I13" s="104" t="s">
        <v>378</v>
      </c>
      <c r="J13" s="104" t="s">
        <v>355</v>
      </c>
      <c r="K13" s="104" t="s">
        <v>1523</v>
      </c>
    </row>
    <row r="14" spans="1:11" x14ac:dyDescent="0.25">
      <c r="A14" s="104" t="s">
        <v>379</v>
      </c>
      <c r="B14" s="105" t="s">
        <v>822</v>
      </c>
      <c r="C14" s="105"/>
      <c r="E14" s="105"/>
      <c r="F14" s="105" t="s">
        <v>824</v>
      </c>
      <c r="G14" s="105"/>
      <c r="H14" s="105" t="s">
        <v>88</v>
      </c>
      <c r="I14" s="104" t="s">
        <v>378</v>
      </c>
      <c r="J14" s="104" t="s">
        <v>356</v>
      </c>
      <c r="K14" s="104" t="s">
        <v>1524</v>
      </c>
    </row>
    <row r="15" spans="1:11" x14ac:dyDescent="0.25">
      <c r="A15" s="104" t="s">
        <v>379</v>
      </c>
      <c r="B15" s="105" t="s">
        <v>822</v>
      </c>
      <c r="C15" s="105"/>
      <c r="E15" s="105"/>
      <c r="F15" s="105" t="s">
        <v>823</v>
      </c>
      <c r="G15" s="105"/>
      <c r="H15" s="105" t="s">
        <v>38</v>
      </c>
      <c r="I15" s="104" t="s">
        <v>358</v>
      </c>
      <c r="J15" s="104" t="s">
        <v>355</v>
      </c>
      <c r="K15" s="104" t="s">
        <v>1529</v>
      </c>
    </row>
    <row r="16" spans="1:11" x14ac:dyDescent="0.25">
      <c r="A16" s="104" t="s">
        <v>379</v>
      </c>
      <c r="B16" s="105" t="s">
        <v>822</v>
      </c>
      <c r="C16" s="105"/>
      <c r="E16" s="105"/>
      <c r="F16" s="105" t="s">
        <v>824</v>
      </c>
      <c r="G16" s="105"/>
      <c r="H16" s="105" t="s">
        <v>38</v>
      </c>
      <c r="I16" s="104" t="s">
        <v>358</v>
      </c>
      <c r="J16" s="104" t="s">
        <v>356</v>
      </c>
      <c r="K16" s="104" t="s">
        <v>1530</v>
      </c>
    </row>
    <row r="17" spans="1:11" x14ac:dyDescent="0.25">
      <c r="A17" s="104" t="s">
        <v>830</v>
      </c>
      <c r="B17" s="105" t="s">
        <v>1651</v>
      </c>
      <c r="C17" s="105"/>
      <c r="E17" s="105"/>
      <c r="F17" s="105"/>
      <c r="G17" s="105"/>
      <c r="H17" s="105" t="s">
        <v>88</v>
      </c>
      <c r="I17" s="105" t="s">
        <v>1651</v>
      </c>
      <c r="J17" s="105" t="s">
        <v>1651</v>
      </c>
      <c r="K17" s="105" t="s">
        <v>1655</v>
      </c>
    </row>
  </sheetData>
  <autoFilter ref="A1:K17"/>
  <conditionalFormatting sqref="K1">
    <cfRule type="duplicateValues" dxfId="1211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D14" sqref="D14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56</v>
      </c>
      <c r="D1" s="28" t="s">
        <v>57</v>
      </c>
      <c r="F1" s="27" t="s">
        <v>58</v>
      </c>
    </row>
    <row r="2" spans="2:6" x14ac:dyDescent="0.25">
      <c r="B2" s="29" t="s">
        <v>59</v>
      </c>
      <c r="D2" s="30" t="str">
        <f ca="1">YEAR(NOW())&amp;"."&amp;MONTH(NOW())&amp;"."&amp;DAY(NOW())</f>
        <v>2018.3.8</v>
      </c>
      <c r="F2" s="29" t="s">
        <v>74</v>
      </c>
    </row>
    <row r="3" spans="2:6" x14ac:dyDescent="0.25">
      <c r="B3" s="29" t="s">
        <v>60</v>
      </c>
      <c r="D3" s="31"/>
      <c r="F3" s="29"/>
    </row>
    <row r="4" spans="2:6" x14ac:dyDescent="0.25">
      <c r="B4" s="29" t="s">
        <v>62</v>
      </c>
      <c r="D4" s="27" t="s">
        <v>58</v>
      </c>
      <c r="F4" s="29"/>
    </row>
    <row r="5" spans="2:6" x14ac:dyDescent="0.25">
      <c r="B5" s="29" t="s">
        <v>65</v>
      </c>
      <c r="D5" s="32">
        <f>COUNTA(F2:F37)</f>
        <v>1</v>
      </c>
      <c r="F5" s="29"/>
    </row>
    <row r="6" spans="2:6" x14ac:dyDescent="0.25">
      <c r="B6" s="29" t="s">
        <v>66</v>
      </c>
      <c r="F6" s="29"/>
    </row>
    <row r="7" spans="2:6" x14ac:dyDescent="0.25">
      <c r="B7" s="29" t="s">
        <v>68</v>
      </c>
      <c r="D7" s="27" t="s">
        <v>61</v>
      </c>
      <c r="F7" s="29"/>
    </row>
    <row r="8" spans="2:6" x14ac:dyDescent="0.25">
      <c r="B8" s="29" t="s">
        <v>70</v>
      </c>
      <c r="D8" s="33">
        <v>43165</v>
      </c>
      <c r="F8" s="29"/>
    </row>
    <row r="9" spans="2:6" x14ac:dyDescent="0.25">
      <c r="B9" s="29" t="s">
        <v>71</v>
      </c>
      <c r="D9" s="17" t="str">
        <f>"Updated: "&amp;TEXT(D8,"mmmm d")</f>
        <v>Updated: March 6</v>
      </c>
      <c r="F9" s="29"/>
    </row>
    <row r="10" spans="2:6" x14ac:dyDescent="0.25">
      <c r="B10" s="29" t="s">
        <v>72</v>
      </c>
      <c r="D10" s="34" t="s">
        <v>63</v>
      </c>
      <c r="F10" s="29"/>
    </row>
    <row r="11" spans="2:6" x14ac:dyDescent="0.25">
      <c r="B11" s="29" t="s">
        <v>73</v>
      </c>
      <c r="D11" s="32" t="s">
        <v>64</v>
      </c>
      <c r="F11" s="29"/>
    </row>
    <row r="12" spans="2:6" x14ac:dyDescent="0.25">
      <c r="B12" s="29" t="s">
        <v>74</v>
      </c>
      <c r="F12" s="29"/>
    </row>
    <row r="13" spans="2:6" x14ac:dyDescent="0.25">
      <c r="B13" s="29" t="s">
        <v>75</v>
      </c>
      <c r="D13" s="27" t="s">
        <v>67</v>
      </c>
      <c r="F13" s="29"/>
    </row>
    <row r="14" spans="2:6" x14ac:dyDescent="0.25">
      <c r="B14" s="29" t="s">
        <v>76</v>
      </c>
      <c r="D14" s="32" t="s">
        <v>87</v>
      </c>
      <c r="F14" s="29"/>
    </row>
    <row r="15" spans="2:6" x14ac:dyDescent="0.25">
      <c r="B15" s="29" t="s">
        <v>77</v>
      </c>
      <c r="D15" s="35"/>
      <c r="F15" s="29"/>
    </row>
    <row r="16" spans="2:6" x14ac:dyDescent="0.25">
      <c r="B16" s="29" t="s">
        <v>78</v>
      </c>
      <c r="D16" s="34" t="s">
        <v>69</v>
      </c>
      <c r="F16" s="29"/>
    </row>
    <row r="17" spans="2:6" x14ac:dyDescent="0.25">
      <c r="B17" s="29" t="s">
        <v>79</v>
      </c>
      <c r="D17" s="36" t="s">
        <v>807</v>
      </c>
      <c r="F17" s="29"/>
    </row>
    <row r="18" spans="2:6" x14ac:dyDescent="0.25">
      <c r="B18" s="29" t="s">
        <v>80</v>
      </c>
      <c r="D18" s="35"/>
      <c r="F18" s="29"/>
    </row>
    <row r="19" spans="2:6" x14ac:dyDescent="0.25">
      <c r="B19" s="29" t="s">
        <v>81</v>
      </c>
      <c r="D19" s="37"/>
      <c r="F19" s="29"/>
    </row>
    <row r="20" spans="2:6" x14ac:dyDescent="0.25">
      <c r="B20" s="29" t="s">
        <v>82</v>
      </c>
      <c r="D20" s="38"/>
      <c r="F20" s="29"/>
    </row>
    <row r="21" spans="2:6" x14ac:dyDescent="0.25">
      <c r="B21" s="29" t="s">
        <v>83</v>
      </c>
      <c r="F21" s="29"/>
    </row>
    <row r="22" spans="2:6" x14ac:dyDescent="0.25">
      <c r="B22" s="29" t="s">
        <v>84</v>
      </c>
      <c r="F22" s="29"/>
    </row>
    <row r="23" spans="2:6" x14ac:dyDescent="0.25">
      <c r="B23" s="29" t="s">
        <v>85</v>
      </c>
      <c r="F23" s="29"/>
    </row>
    <row r="24" spans="2:6" x14ac:dyDescent="0.25">
      <c r="B24" s="29" t="s">
        <v>86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March 8</v>
      </c>
      <c r="O1" s="17" t="s">
        <v>53</v>
      </c>
      <c r="P1" s="17" t="s">
        <v>90</v>
      </c>
      <c r="X1" s="22"/>
      <c r="Y1" s="23"/>
      <c r="Z1" s="17"/>
      <c r="AB1" s="137" t="s">
        <v>1554</v>
      </c>
      <c r="AC1" s="137" t="s">
        <v>1555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54</v>
      </c>
      <c r="X2" s="22"/>
      <c r="Y2" s="23"/>
      <c r="Z2" s="17"/>
      <c r="AB2" s="138" t="s">
        <v>1556</v>
      </c>
      <c r="AC2" s="138" t="s">
        <v>1557</v>
      </c>
    </row>
    <row r="3" spans="14:29" x14ac:dyDescent="0.25">
      <c r="O3" s="17" t="s">
        <v>1138</v>
      </c>
      <c r="X3" s="22"/>
      <c r="Y3" s="24"/>
      <c r="Z3" s="17"/>
      <c r="AB3" s="138" t="s">
        <v>1558</v>
      </c>
      <c r="AC3" s="138" t="s">
        <v>1559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38" t="s">
        <v>59</v>
      </c>
      <c r="AC4" s="138" t="s">
        <v>1560</v>
      </c>
    </row>
    <row r="5" spans="14:29" x14ac:dyDescent="0.25">
      <c r="X5" s="17"/>
      <c r="Y5" s="17"/>
      <c r="Z5" s="17"/>
      <c r="AB5" s="138" t="s">
        <v>1561</v>
      </c>
      <c r="AC5" s="138" t="s">
        <v>1562</v>
      </c>
    </row>
    <row r="6" spans="14:29" x14ac:dyDescent="0.25">
      <c r="X6" s="17"/>
      <c r="Y6" s="17"/>
      <c r="Z6" s="17"/>
      <c r="AB6" s="138" t="s">
        <v>60</v>
      </c>
      <c r="AC6" s="138" t="s">
        <v>1563</v>
      </c>
    </row>
    <row r="7" spans="14:29" x14ac:dyDescent="0.25">
      <c r="X7" s="17"/>
      <c r="Y7" s="17"/>
      <c r="Z7" s="17"/>
      <c r="AB7" s="138" t="s">
        <v>1564</v>
      </c>
      <c r="AC7" s="138" t="s">
        <v>1565</v>
      </c>
    </row>
    <row r="8" spans="14:29" x14ac:dyDescent="0.25">
      <c r="X8" s="17"/>
      <c r="Y8" s="17"/>
      <c r="Z8" s="17"/>
      <c r="AB8" s="138" t="s">
        <v>62</v>
      </c>
      <c r="AC8" s="138" t="s">
        <v>1566</v>
      </c>
    </row>
    <row r="9" spans="14:29" x14ac:dyDescent="0.25">
      <c r="X9" s="17"/>
      <c r="Y9" s="17"/>
      <c r="Z9" s="17"/>
      <c r="AB9" s="138" t="s">
        <v>1567</v>
      </c>
      <c r="AC9" s="138" t="s">
        <v>1568</v>
      </c>
    </row>
    <row r="10" spans="14:29" x14ac:dyDescent="0.25">
      <c r="AB10" s="138" t="s">
        <v>1569</v>
      </c>
      <c r="AC10" s="138" t="s">
        <v>1570</v>
      </c>
    </row>
    <row r="11" spans="14:29" x14ac:dyDescent="0.25">
      <c r="AB11" s="138" t="s">
        <v>1571</v>
      </c>
      <c r="AC11" s="138" t="s">
        <v>1572</v>
      </c>
    </row>
    <row r="12" spans="14:29" x14ac:dyDescent="0.25">
      <c r="AB12" s="138" t="s">
        <v>65</v>
      </c>
      <c r="AC12" s="138" t="s">
        <v>1573</v>
      </c>
    </row>
    <row r="13" spans="14:29" x14ac:dyDescent="0.25">
      <c r="AB13" s="138" t="s">
        <v>66</v>
      </c>
      <c r="AC13" s="138" t="s">
        <v>1574</v>
      </c>
    </row>
    <row r="14" spans="14:29" x14ac:dyDescent="0.25">
      <c r="AB14" s="138" t="s">
        <v>1575</v>
      </c>
      <c r="AC14" s="138" t="s">
        <v>1576</v>
      </c>
    </row>
    <row r="15" spans="14:29" x14ac:dyDescent="0.25">
      <c r="AB15" s="138" t="s">
        <v>68</v>
      </c>
      <c r="AC15" s="138" t="s">
        <v>1577</v>
      </c>
    </row>
    <row r="16" spans="14:29" x14ac:dyDescent="0.25">
      <c r="AB16" s="138" t="s">
        <v>1578</v>
      </c>
      <c r="AC16" s="138" t="s">
        <v>1579</v>
      </c>
    </row>
    <row r="17" spans="28:29" x14ac:dyDescent="0.25">
      <c r="AB17" s="138" t="s">
        <v>70</v>
      </c>
      <c r="AC17" s="138" t="s">
        <v>1580</v>
      </c>
    </row>
    <row r="18" spans="28:29" x14ac:dyDescent="0.25">
      <c r="AB18" s="138" t="s">
        <v>1581</v>
      </c>
      <c r="AC18" s="138" t="s">
        <v>1582</v>
      </c>
    </row>
    <row r="19" spans="28:29" x14ac:dyDescent="0.25">
      <c r="AB19" s="138" t="s">
        <v>1583</v>
      </c>
      <c r="AC19" s="138" t="s">
        <v>1584</v>
      </c>
    </row>
    <row r="20" spans="28:29" x14ac:dyDescent="0.25">
      <c r="AB20" s="138" t="s">
        <v>71</v>
      </c>
      <c r="AC20" s="138" t="s">
        <v>1585</v>
      </c>
    </row>
    <row r="21" spans="28:29" x14ac:dyDescent="0.25">
      <c r="AB21" s="138" t="s">
        <v>72</v>
      </c>
      <c r="AC21" s="138" t="s">
        <v>1586</v>
      </c>
    </row>
    <row r="22" spans="28:29" x14ac:dyDescent="0.25">
      <c r="AB22" s="138" t="s">
        <v>73</v>
      </c>
      <c r="AC22" s="138" t="s">
        <v>1587</v>
      </c>
    </row>
    <row r="23" spans="28:29" x14ac:dyDescent="0.25">
      <c r="AB23" s="138" t="s">
        <v>74</v>
      </c>
      <c r="AC23" s="138" t="s">
        <v>1588</v>
      </c>
    </row>
    <row r="24" spans="28:29" x14ac:dyDescent="0.25">
      <c r="AB24" s="138" t="s">
        <v>75</v>
      </c>
      <c r="AC24" s="138" t="s">
        <v>1589</v>
      </c>
    </row>
    <row r="25" spans="28:29" x14ac:dyDescent="0.25">
      <c r="AB25" s="138" t="s">
        <v>76</v>
      </c>
      <c r="AC25" s="138" t="s">
        <v>1590</v>
      </c>
    </row>
    <row r="26" spans="28:29" x14ac:dyDescent="0.25">
      <c r="AB26" s="138" t="s">
        <v>1591</v>
      </c>
      <c r="AC26" s="138" t="s">
        <v>1592</v>
      </c>
    </row>
    <row r="27" spans="28:29" x14ac:dyDescent="0.25">
      <c r="AB27" s="138" t="s">
        <v>77</v>
      </c>
      <c r="AC27" s="138" t="s">
        <v>1593</v>
      </c>
    </row>
    <row r="28" spans="28:29" x14ac:dyDescent="0.25">
      <c r="AB28" s="138" t="s">
        <v>78</v>
      </c>
      <c r="AC28" s="138" t="s">
        <v>1594</v>
      </c>
    </row>
    <row r="29" spans="28:29" x14ac:dyDescent="0.25">
      <c r="AB29" s="138" t="s">
        <v>79</v>
      </c>
      <c r="AC29" s="138" t="s">
        <v>1595</v>
      </c>
    </row>
    <row r="30" spans="28:29" x14ac:dyDescent="0.25">
      <c r="AB30" s="138" t="s">
        <v>80</v>
      </c>
      <c r="AC30" s="138" t="s">
        <v>1596</v>
      </c>
    </row>
    <row r="31" spans="28:29" x14ac:dyDescent="0.25">
      <c r="AB31" s="138" t="s">
        <v>81</v>
      </c>
      <c r="AC31" s="138" t="s">
        <v>1597</v>
      </c>
    </row>
    <row r="32" spans="28:29" x14ac:dyDescent="0.25">
      <c r="AB32" s="138" t="s">
        <v>82</v>
      </c>
      <c r="AC32" s="138" t="s">
        <v>1598</v>
      </c>
    </row>
    <row r="33" spans="28:29" x14ac:dyDescent="0.25">
      <c r="AB33" s="138" t="s">
        <v>83</v>
      </c>
      <c r="AC33" s="138" t="s">
        <v>1599</v>
      </c>
    </row>
    <row r="34" spans="28:29" x14ac:dyDescent="0.25">
      <c r="AB34" s="138" t="s">
        <v>84</v>
      </c>
      <c r="AC34" s="138" t="s">
        <v>1600</v>
      </c>
    </row>
    <row r="35" spans="28:29" x14ac:dyDescent="0.25">
      <c r="AB35" s="138" t="s">
        <v>85</v>
      </c>
      <c r="AC35" s="138" t="s">
        <v>1601</v>
      </c>
    </row>
    <row r="36" spans="28:29" x14ac:dyDescent="0.25">
      <c r="AB36" s="138" t="s">
        <v>86</v>
      </c>
      <c r="AC36" s="138" t="s">
        <v>1602</v>
      </c>
    </row>
    <row r="37" spans="28:29" x14ac:dyDescent="0.25">
      <c r="AB37" s="138"/>
      <c r="AC37" s="13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zoomScale="85" zoomScaleNormal="85" workbookViewId="0">
      <pane xSplit="6" ySplit="4" topLeftCell="GX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HT6" sqref="HT6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4" customWidth="1"/>
    <col min="9" max="9" width="11.5703125" customWidth="1"/>
    <col min="10" max="10" width="11.5703125" style="104" customWidth="1"/>
    <col min="11" max="11" width="12.42578125" customWidth="1"/>
    <col min="12" max="12" width="12.42578125" style="104" customWidth="1"/>
    <col min="13" max="13" width="12.5703125" customWidth="1"/>
    <col min="14" max="14" width="12.5703125" style="104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4"/>
    <col min="124" max="124" width="9.140625" style="104"/>
    <col min="126" max="126" width="9.140625" style="104"/>
    <col min="128" max="128" width="9.140625" style="104"/>
  </cols>
  <sheetData>
    <row r="1" spans="1:232" s="1" customFormat="1" ht="23.25" x14ac:dyDescent="0.35">
      <c r="A1" s="171" t="s">
        <v>1100</v>
      </c>
      <c r="C1" s="2" t="s">
        <v>0</v>
      </c>
      <c r="G1" s="172" t="s">
        <v>99</v>
      </c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173"/>
      <c r="CC1" s="173"/>
      <c r="CD1" s="173"/>
      <c r="CE1" s="173"/>
      <c r="CF1" s="173"/>
      <c r="CG1" s="173"/>
      <c r="CH1" s="173"/>
      <c r="CI1" s="173"/>
      <c r="CJ1" s="173"/>
      <c r="CK1" s="173"/>
      <c r="CL1" s="173"/>
      <c r="CM1" s="173"/>
      <c r="CN1" s="173"/>
      <c r="CO1" s="173"/>
      <c r="CP1" s="173"/>
      <c r="CQ1" s="173"/>
      <c r="CR1" s="173"/>
      <c r="CS1" s="173"/>
      <c r="CT1" s="173"/>
      <c r="CU1" s="173"/>
      <c r="CV1" s="173"/>
      <c r="CW1" s="173"/>
      <c r="CX1" s="173"/>
      <c r="CY1" s="173"/>
      <c r="CZ1" s="173"/>
      <c r="DA1" s="173"/>
      <c r="DB1" s="173"/>
      <c r="DC1" s="173"/>
      <c r="DD1" s="173"/>
      <c r="DE1" s="173"/>
      <c r="DF1" s="173"/>
      <c r="DG1" s="173"/>
      <c r="DH1" s="173"/>
      <c r="DI1" s="173"/>
      <c r="DJ1" s="173"/>
      <c r="DK1" s="173"/>
      <c r="DL1" s="173"/>
      <c r="DM1" s="173"/>
      <c r="DN1" s="173"/>
      <c r="DO1" s="174"/>
      <c r="DP1" s="172" t="s">
        <v>100</v>
      </c>
      <c r="DQ1" s="173"/>
      <c r="DR1" s="173"/>
      <c r="DS1" s="173"/>
      <c r="DT1" s="173"/>
      <c r="DU1" s="173"/>
      <c r="DV1" s="173"/>
      <c r="DW1" s="173"/>
      <c r="DX1" s="173"/>
      <c r="DY1" s="173"/>
      <c r="DZ1" s="173"/>
      <c r="EA1" s="173"/>
      <c r="EB1" s="173"/>
      <c r="EC1" s="173"/>
      <c r="ED1" s="173"/>
      <c r="EE1" s="173"/>
      <c r="EF1" s="173"/>
      <c r="EG1" s="173"/>
      <c r="EH1" s="173"/>
      <c r="EI1" s="173"/>
      <c r="EJ1" s="173"/>
      <c r="EK1" s="173"/>
      <c r="EL1" s="173"/>
      <c r="EM1" s="173"/>
      <c r="EN1" s="173"/>
      <c r="EO1" s="173"/>
      <c r="EP1" s="173"/>
      <c r="EQ1" s="173"/>
      <c r="ER1" s="173"/>
      <c r="ES1" s="173"/>
      <c r="ET1" s="173"/>
      <c r="EU1" s="173"/>
      <c r="EV1" s="173"/>
      <c r="EW1" s="173"/>
      <c r="EX1" s="173"/>
      <c r="EY1" s="173"/>
      <c r="EZ1" s="173"/>
      <c r="FA1" s="173"/>
      <c r="FB1" s="173"/>
      <c r="FC1" s="173"/>
      <c r="FD1" s="173"/>
      <c r="FE1" s="173"/>
      <c r="FF1" s="173"/>
      <c r="FG1" s="173"/>
      <c r="FH1" s="173"/>
      <c r="FI1" s="173"/>
      <c r="FJ1" s="173"/>
      <c r="FK1" s="173"/>
      <c r="FL1" s="173"/>
      <c r="FM1" s="173"/>
      <c r="FN1" s="173"/>
      <c r="FO1" s="173"/>
      <c r="FP1" s="173"/>
      <c r="FQ1" s="173"/>
      <c r="FR1" s="173"/>
      <c r="FS1" s="173"/>
      <c r="FT1" s="173"/>
      <c r="FU1" s="173"/>
      <c r="FV1" s="173"/>
      <c r="FW1" s="173"/>
      <c r="FX1" s="173"/>
      <c r="FY1" s="173"/>
      <c r="FZ1" s="173"/>
      <c r="GA1" s="173"/>
      <c r="GB1" s="173"/>
      <c r="GC1" s="173"/>
      <c r="GD1" s="173"/>
      <c r="GE1" s="173"/>
      <c r="GF1" s="173"/>
      <c r="GG1" s="173"/>
      <c r="GH1" s="173"/>
      <c r="GI1" s="173"/>
      <c r="GJ1" s="173"/>
      <c r="GK1" s="173"/>
      <c r="GL1" s="173"/>
      <c r="GM1" s="173"/>
      <c r="GN1" s="173"/>
      <c r="GO1" s="173"/>
      <c r="GP1" s="173"/>
      <c r="GQ1" s="173"/>
      <c r="GR1" s="173"/>
      <c r="GS1" s="173"/>
      <c r="GT1" s="173"/>
      <c r="GU1" s="173"/>
      <c r="GV1" s="173"/>
      <c r="GW1" s="173"/>
      <c r="GX1" s="173"/>
      <c r="GY1" s="173"/>
      <c r="GZ1" s="173"/>
      <c r="HA1" s="173"/>
      <c r="HB1" s="173"/>
      <c r="HC1" s="173"/>
      <c r="HD1" s="173"/>
      <c r="HE1" s="173"/>
      <c r="HF1" s="173"/>
      <c r="HG1" s="173"/>
      <c r="HH1" s="173"/>
      <c r="HI1" s="173"/>
      <c r="HJ1" s="173"/>
      <c r="HK1" s="173"/>
      <c r="HL1" s="173"/>
      <c r="HM1" s="173"/>
      <c r="HN1" s="173"/>
      <c r="HO1" s="173"/>
      <c r="HP1" s="173"/>
      <c r="HQ1" s="173"/>
      <c r="HR1" s="173"/>
      <c r="HS1" s="173"/>
      <c r="HT1" s="173"/>
      <c r="HU1" s="173"/>
      <c r="HV1" s="173"/>
      <c r="HW1" s="173"/>
      <c r="HX1" s="173"/>
    </row>
    <row r="2" spans="1:232" s="2" customFormat="1" x14ac:dyDescent="0.25">
      <c r="A2" s="17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107" t="s">
        <v>782</v>
      </c>
      <c r="H3" s="108" t="s">
        <v>800</v>
      </c>
      <c r="I3" s="108" t="s">
        <v>379</v>
      </c>
      <c r="J3" s="108" t="s">
        <v>801</v>
      </c>
      <c r="K3" s="108" t="s">
        <v>4</v>
      </c>
      <c r="L3" s="108" t="s">
        <v>775</v>
      </c>
      <c r="M3" s="108" t="s">
        <v>10</v>
      </c>
      <c r="N3" s="108" t="s">
        <v>779</v>
      </c>
      <c r="O3" s="108" t="s">
        <v>781</v>
      </c>
      <c r="P3" s="108" t="s">
        <v>765</v>
      </c>
      <c r="Q3" s="108" t="s">
        <v>30</v>
      </c>
      <c r="R3" s="108" t="s">
        <v>841</v>
      </c>
      <c r="S3" s="108" t="s">
        <v>842</v>
      </c>
      <c r="T3" s="108" t="s">
        <v>1139</v>
      </c>
      <c r="U3" s="108" t="s">
        <v>267</v>
      </c>
      <c r="V3" s="108" t="s">
        <v>843</v>
      </c>
      <c r="W3" s="108" t="s">
        <v>844</v>
      </c>
      <c r="X3" s="108" t="s">
        <v>37</v>
      </c>
      <c r="Y3" s="108" t="s">
        <v>1116</v>
      </c>
      <c r="Z3" s="108" t="s">
        <v>1117</v>
      </c>
      <c r="AA3" s="108" t="s">
        <v>1118</v>
      </c>
      <c r="AB3" s="108" t="s">
        <v>16</v>
      </c>
      <c r="AC3" s="108" t="s">
        <v>1140</v>
      </c>
      <c r="AD3" s="108" t="s">
        <v>1141</v>
      </c>
      <c r="AE3" s="108" t="s">
        <v>1142</v>
      </c>
      <c r="AF3" s="108" t="s">
        <v>17</v>
      </c>
      <c r="AG3" s="108" t="s">
        <v>1143</v>
      </c>
      <c r="AH3" s="108" t="s">
        <v>1144</v>
      </c>
      <c r="AI3" s="108" t="s">
        <v>784</v>
      </c>
      <c r="AJ3" s="108" t="s">
        <v>845</v>
      </c>
      <c r="AK3" s="108" t="s">
        <v>326</v>
      </c>
      <c r="AL3" s="108" t="s">
        <v>1145</v>
      </c>
      <c r="AM3" s="108" t="s">
        <v>1119</v>
      </c>
      <c r="AN3" s="108" t="s">
        <v>1120</v>
      </c>
      <c r="AO3" s="108" t="s">
        <v>1146</v>
      </c>
      <c r="AP3" s="108" t="s">
        <v>846</v>
      </c>
      <c r="AQ3" s="108" t="s">
        <v>847</v>
      </c>
      <c r="AR3" s="108" t="s">
        <v>848</v>
      </c>
      <c r="AS3" s="108" t="s">
        <v>849</v>
      </c>
      <c r="AT3" s="108" t="s">
        <v>850</v>
      </c>
      <c r="AU3" s="108" t="s">
        <v>851</v>
      </c>
      <c r="AV3" s="108" t="s">
        <v>852</v>
      </c>
      <c r="AW3" s="108" t="s">
        <v>853</v>
      </c>
      <c r="AX3" s="108" t="s">
        <v>854</v>
      </c>
      <c r="AY3" s="108" t="s">
        <v>855</v>
      </c>
      <c r="AZ3" s="108" t="s">
        <v>856</v>
      </c>
      <c r="BA3" s="108" t="s">
        <v>857</v>
      </c>
      <c r="BB3" s="108" t="s">
        <v>858</v>
      </c>
      <c r="BC3" s="108" t="s">
        <v>859</v>
      </c>
      <c r="BD3" s="108" t="s">
        <v>860</v>
      </c>
      <c r="BE3" s="108" t="s">
        <v>861</v>
      </c>
      <c r="BF3" s="108" t="s">
        <v>862</v>
      </c>
      <c r="BG3" s="108" t="s">
        <v>863</v>
      </c>
      <c r="BH3" s="108" t="s">
        <v>864</v>
      </c>
      <c r="BI3" s="108" t="s">
        <v>865</v>
      </c>
      <c r="BJ3" s="108" t="s">
        <v>866</v>
      </c>
      <c r="BK3" s="108" t="s">
        <v>867</v>
      </c>
      <c r="BL3" s="108" t="s">
        <v>868</v>
      </c>
      <c r="BM3" s="108" t="s">
        <v>869</v>
      </c>
      <c r="BN3" s="108" t="s">
        <v>870</v>
      </c>
      <c r="BO3" s="108" t="s">
        <v>871</v>
      </c>
      <c r="BP3" s="108" t="s">
        <v>872</v>
      </c>
      <c r="BQ3" s="108" t="s">
        <v>873</v>
      </c>
      <c r="BR3" s="108" t="s">
        <v>874</v>
      </c>
      <c r="BS3" s="108" t="s">
        <v>875</v>
      </c>
      <c r="BT3" s="108" t="s">
        <v>876</v>
      </c>
      <c r="BU3" s="108" t="s">
        <v>877</v>
      </c>
      <c r="BV3" s="108" t="s">
        <v>878</v>
      </c>
      <c r="BW3" s="108" t="s">
        <v>879</v>
      </c>
      <c r="BX3" s="108" t="s">
        <v>880</v>
      </c>
      <c r="BY3" s="108" t="s">
        <v>881</v>
      </c>
      <c r="BZ3" s="108" t="s">
        <v>882</v>
      </c>
      <c r="CA3" s="108" t="s">
        <v>883</v>
      </c>
      <c r="CB3" s="108" t="s">
        <v>884</v>
      </c>
      <c r="CC3" s="108" t="s">
        <v>885</v>
      </c>
      <c r="CD3" s="108" t="s">
        <v>886</v>
      </c>
      <c r="CE3" s="108" t="s">
        <v>887</v>
      </c>
      <c r="CF3" s="108" t="s">
        <v>888</v>
      </c>
      <c r="CG3" s="108" t="s">
        <v>889</v>
      </c>
      <c r="CH3" s="108" t="s">
        <v>890</v>
      </c>
      <c r="CI3" s="108" t="s">
        <v>143</v>
      </c>
      <c r="CJ3" s="108" t="s">
        <v>18</v>
      </c>
      <c r="CK3" s="108" t="s">
        <v>791</v>
      </c>
      <c r="CL3" s="108" t="s">
        <v>25</v>
      </c>
      <c r="CM3" s="108" t="s">
        <v>891</v>
      </c>
      <c r="CN3" s="108" t="s">
        <v>892</v>
      </c>
      <c r="CO3" s="108" t="s">
        <v>748</v>
      </c>
      <c r="CP3" s="108" t="s">
        <v>206</v>
      </c>
      <c r="CQ3" s="108" t="s">
        <v>753</v>
      </c>
      <c r="CR3" s="108" t="s">
        <v>754</v>
      </c>
      <c r="CS3" s="108" t="s">
        <v>755</v>
      </c>
      <c r="CT3" s="108" t="s">
        <v>756</v>
      </c>
      <c r="CU3" s="108" t="s">
        <v>757</v>
      </c>
      <c r="CV3" s="108" t="s">
        <v>893</v>
      </c>
      <c r="CW3" s="108" t="s">
        <v>894</v>
      </c>
      <c r="CX3" s="108" t="s">
        <v>895</v>
      </c>
      <c r="CY3" s="108" t="s">
        <v>896</v>
      </c>
      <c r="CZ3" s="108" t="s">
        <v>897</v>
      </c>
      <c r="DA3" s="108" t="s">
        <v>898</v>
      </c>
      <c r="DB3" s="108" t="s">
        <v>899</v>
      </c>
      <c r="DC3" s="108" t="s">
        <v>900</v>
      </c>
      <c r="DD3" s="108" t="s">
        <v>901</v>
      </c>
      <c r="DE3" s="108" t="s">
        <v>902</v>
      </c>
      <c r="DF3" s="108" t="s">
        <v>903</v>
      </c>
      <c r="DG3" s="108" t="s">
        <v>904</v>
      </c>
      <c r="DH3" s="108" t="s">
        <v>905</v>
      </c>
      <c r="DI3" s="108" t="s">
        <v>906</v>
      </c>
      <c r="DJ3" s="108" t="s">
        <v>907</v>
      </c>
      <c r="DK3" s="108" t="s">
        <v>907</v>
      </c>
      <c r="DL3" s="108" t="s">
        <v>28</v>
      </c>
      <c r="DM3" s="108" t="s">
        <v>195</v>
      </c>
      <c r="DN3" s="108" t="s">
        <v>101</v>
      </c>
      <c r="DO3" s="108" t="s">
        <v>315</v>
      </c>
      <c r="DP3" s="107" t="s">
        <v>782</v>
      </c>
      <c r="DQ3" s="108" t="s">
        <v>800</v>
      </c>
      <c r="DR3" s="108" t="s">
        <v>379</v>
      </c>
      <c r="DS3" s="108" t="s">
        <v>801</v>
      </c>
      <c r="DT3" s="108" t="s">
        <v>4</v>
      </c>
      <c r="DU3" s="108" t="s">
        <v>775</v>
      </c>
      <c r="DV3" s="108" t="s">
        <v>10</v>
      </c>
      <c r="DW3" s="108" t="s">
        <v>779</v>
      </c>
      <c r="DX3" s="108" t="s">
        <v>781</v>
      </c>
      <c r="DY3" s="108" t="s">
        <v>765</v>
      </c>
      <c r="DZ3" s="108" t="s">
        <v>30</v>
      </c>
      <c r="EA3" s="108" t="s">
        <v>841</v>
      </c>
      <c r="EB3" s="108" t="s">
        <v>842</v>
      </c>
      <c r="EC3" s="108" t="s">
        <v>1139</v>
      </c>
      <c r="ED3" s="108" t="s">
        <v>267</v>
      </c>
      <c r="EE3" s="108" t="s">
        <v>843</v>
      </c>
      <c r="EF3" s="108" t="s">
        <v>844</v>
      </c>
      <c r="EG3" s="108" t="s">
        <v>37</v>
      </c>
      <c r="EH3" s="108" t="s">
        <v>1116</v>
      </c>
      <c r="EI3" s="108" t="s">
        <v>1117</v>
      </c>
      <c r="EJ3" s="108" t="s">
        <v>1118</v>
      </c>
      <c r="EK3" s="108" t="s">
        <v>16</v>
      </c>
      <c r="EL3" s="108" t="s">
        <v>1140</v>
      </c>
      <c r="EM3" s="108" t="s">
        <v>1141</v>
      </c>
      <c r="EN3" s="108" t="s">
        <v>1142</v>
      </c>
      <c r="EO3" s="108" t="s">
        <v>17</v>
      </c>
      <c r="EP3" s="108" t="s">
        <v>1143</v>
      </c>
      <c r="EQ3" s="108" t="s">
        <v>1144</v>
      </c>
      <c r="ER3" s="108" t="s">
        <v>784</v>
      </c>
      <c r="ES3" s="108" t="s">
        <v>845</v>
      </c>
      <c r="ET3" s="108" t="s">
        <v>326</v>
      </c>
      <c r="EU3" s="108" t="s">
        <v>1145</v>
      </c>
      <c r="EV3" s="108" t="s">
        <v>1119</v>
      </c>
      <c r="EW3" s="108" t="s">
        <v>1120</v>
      </c>
      <c r="EX3" s="108" t="s">
        <v>1146</v>
      </c>
      <c r="EY3" s="108" t="s">
        <v>846</v>
      </c>
      <c r="EZ3" s="108" t="s">
        <v>847</v>
      </c>
      <c r="FA3" s="108" t="s">
        <v>848</v>
      </c>
      <c r="FB3" s="108" t="s">
        <v>849</v>
      </c>
      <c r="FC3" s="108" t="s">
        <v>850</v>
      </c>
      <c r="FD3" s="108" t="s">
        <v>851</v>
      </c>
      <c r="FE3" s="108" t="s">
        <v>852</v>
      </c>
      <c r="FF3" s="108" t="s">
        <v>853</v>
      </c>
      <c r="FG3" s="108" t="s">
        <v>854</v>
      </c>
      <c r="FH3" s="108" t="s">
        <v>855</v>
      </c>
      <c r="FI3" s="108" t="s">
        <v>856</v>
      </c>
      <c r="FJ3" s="108" t="s">
        <v>857</v>
      </c>
      <c r="FK3" s="108" t="s">
        <v>858</v>
      </c>
      <c r="FL3" s="108" t="s">
        <v>859</v>
      </c>
      <c r="FM3" s="108" t="s">
        <v>860</v>
      </c>
      <c r="FN3" s="108" t="s">
        <v>861</v>
      </c>
      <c r="FO3" s="108" t="s">
        <v>862</v>
      </c>
      <c r="FP3" s="108" t="s">
        <v>863</v>
      </c>
      <c r="FQ3" s="108" t="s">
        <v>864</v>
      </c>
      <c r="FR3" s="108" t="s">
        <v>865</v>
      </c>
      <c r="FS3" s="108" t="s">
        <v>866</v>
      </c>
      <c r="FT3" s="108" t="s">
        <v>867</v>
      </c>
      <c r="FU3" s="108" t="s">
        <v>868</v>
      </c>
      <c r="FV3" s="108" t="s">
        <v>869</v>
      </c>
      <c r="FW3" s="108" t="s">
        <v>870</v>
      </c>
      <c r="FX3" s="108" t="s">
        <v>871</v>
      </c>
      <c r="FY3" s="108" t="s">
        <v>872</v>
      </c>
      <c r="FZ3" s="108" t="s">
        <v>873</v>
      </c>
      <c r="GA3" s="108" t="s">
        <v>874</v>
      </c>
      <c r="GB3" s="108" t="s">
        <v>875</v>
      </c>
      <c r="GC3" s="108" t="s">
        <v>876</v>
      </c>
      <c r="GD3" s="108" t="s">
        <v>877</v>
      </c>
      <c r="GE3" s="108" t="s">
        <v>878</v>
      </c>
      <c r="GF3" s="108" t="s">
        <v>879</v>
      </c>
      <c r="GG3" s="108" t="s">
        <v>880</v>
      </c>
      <c r="GH3" s="108" t="s">
        <v>881</v>
      </c>
      <c r="GI3" s="108" t="s">
        <v>882</v>
      </c>
      <c r="GJ3" s="108" t="s">
        <v>883</v>
      </c>
      <c r="GK3" s="108" t="s">
        <v>884</v>
      </c>
      <c r="GL3" s="108" t="s">
        <v>885</v>
      </c>
      <c r="GM3" s="108" t="s">
        <v>886</v>
      </c>
      <c r="GN3" s="108" t="s">
        <v>887</v>
      </c>
      <c r="GO3" s="108" t="s">
        <v>888</v>
      </c>
      <c r="GP3" s="108" t="s">
        <v>889</v>
      </c>
      <c r="GQ3" s="108" t="s">
        <v>890</v>
      </c>
      <c r="GR3" s="108" t="s">
        <v>143</v>
      </c>
      <c r="GS3" s="108" t="s">
        <v>18</v>
      </c>
      <c r="GT3" s="108" t="s">
        <v>791</v>
      </c>
      <c r="GU3" s="108" t="s">
        <v>25</v>
      </c>
      <c r="GV3" s="108" t="s">
        <v>891</v>
      </c>
      <c r="GW3" s="108" t="s">
        <v>892</v>
      </c>
      <c r="GX3" s="108" t="s">
        <v>748</v>
      </c>
      <c r="GY3" s="108" t="s">
        <v>206</v>
      </c>
      <c r="GZ3" s="108" t="s">
        <v>753</v>
      </c>
      <c r="HA3" s="108" t="s">
        <v>754</v>
      </c>
      <c r="HB3" s="108" t="s">
        <v>755</v>
      </c>
      <c r="HC3" s="108" t="s">
        <v>756</v>
      </c>
      <c r="HD3" s="108" t="s">
        <v>757</v>
      </c>
      <c r="HE3" s="108" t="s">
        <v>893</v>
      </c>
      <c r="HF3" s="108" t="s">
        <v>894</v>
      </c>
      <c r="HG3" s="108" t="s">
        <v>895</v>
      </c>
      <c r="HH3" s="108" t="s">
        <v>896</v>
      </c>
      <c r="HI3" s="108" t="s">
        <v>897</v>
      </c>
      <c r="HJ3" s="108" t="s">
        <v>898</v>
      </c>
      <c r="HK3" s="108" t="s">
        <v>899</v>
      </c>
      <c r="HL3" s="108" t="s">
        <v>900</v>
      </c>
      <c r="HM3" s="108" t="s">
        <v>901</v>
      </c>
      <c r="HN3" s="108" t="s">
        <v>902</v>
      </c>
      <c r="HO3" s="108" t="s">
        <v>903</v>
      </c>
      <c r="HP3" s="108" t="s">
        <v>904</v>
      </c>
      <c r="HQ3" s="108" t="s">
        <v>905</v>
      </c>
      <c r="HR3" s="108" t="s">
        <v>906</v>
      </c>
      <c r="HS3" s="108" t="s">
        <v>907</v>
      </c>
      <c r="HT3" s="108" t="s">
        <v>907</v>
      </c>
      <c r="HU3" s="108" t="s">
        <v>28</v>
      </c>
      <c r="HV3" s="108" t="s">
        <v>195</v>
      </c>
      <c r="HW3" s="108" t="s">
        <v>101</v>
      </c>
      <c r="HX3" s="109" t="s">
        <v>315</v>
      </c>
    </row>
    <row r="4" spans="1:232" s="1" customFormat="1" ht="15" customHeight="1" x14ac:dyDescent="0.25">
      <c r="A4" s="3"/>
      <c r="B4" s="1" t="s">
        <v>1171</v>
      </c>
      <c r="C4" s="7" t="s">
        <v>36</v>
      </c>
      <c r="D4" s="7" t="s">
        <v>95</v>
      </c>
      <c r="E4" s="7" t="s">
        <v>1</v>
      </c>
      <c r="F4" s="7" t="s">
        <v>2</v>
      </c>
      <c r="G4" s="10" t="s">
        <v>1005</v>
      </c>
      <c r="H4" s="11" t="s">
        <v>1107</v>
      </c>
      <c r="I4" s="11" t="s">
        <v>1006</v>
      </c>
      <c r="J4" s="11" t="s">
        <v>1108</v>
      </c>
      <c r="K4" s="11" t="s">
        <v>1007</v>
      </c>
      <c r="L4" s="11" t="s">
        <v>1109</v>
      </c>
      <c r="M4" s="11" t="s">
        <v>1008</v>
      </c>
      <c r="N4" s="11" t="s">
        <v>1110</v>
      </c>
      <c r="O4" s="11" t="s">
        <v>1009</v>
      </c>
      <c r="P4" s="11" t="s">
        <v>1010</v>
      </c>
      <c r="Q4" s="11" t="s">
        <v>1011</v>
      </c>
      <c r="R4" s="11" t="s">
        <v>1012</v>
      </c>
      <c r="S4" s="11" t="s">
        <v>1013</v>
      </c>
      <c r="T4" s="11" t="s">
        <v>1014</v>
      </c>
      <c r="U4" s="11" t="s">
        <v>1015</v>
      </c>
      <c r="V4" s="11" t="s">
        <v>1016</v>
      </c>
      <c r="W4" s="11" t="s">
        <v>1017</v>
      </c>
      <c r="X4" s="11" t="s">
        <v>1018</v>
      </c>
      <c r="Y4" s="11" t="s">
        <v>1121</v>
      </c>
      <c r="Z4" s="11" t="s">
        <v>1122</v>
      </c>
      <c r="AA4" s="11" t="s">
        <v>1123</v>
      </c>
      <c r="AB4" s="11" t="s">
        <v>1019</v>
      </c>
      <c r="AC4" s="11" t="s">
        <v>1147</v>
      </c>
      <c r="AD4" s="11" t="s">
        <v>1148</v>
      </c>
      <c r="AE4" s="11" t="s">
        <v>1149</v>
      </c>
      <c r="AF4" s="11" t="s">
        <v>1020</v>
      </c>
      <c r="AG4" s="11" t="s">
        <v>1150</v>
      </c>
      <c r="AH4" s="11" t="s">
        <v>1151</v>
      </c>
      <c r="AI4" s="11" t="s">
        <v>1023</v>
      </c>
      <c r="AJ4" s="11" t="s">
        <v>1021</v>
      </c>
      <c r="AK4" s="11" t="s">
        <v>1022</v>
      </c>
      <c r="AL4" s="11" t="s">
        <v>1152</v>
      </c>
      <c r="AM4" s="11" t="s">
        <v>1124</v>
      </c>
      <c r="AN4" s="11" t="s">
        <v>1125</v>
      </c>
      <c r="AO4" s="11" t="s">
        <v>1126</v>
      </c>
      <c r="AP4" s="11" t="s">
        <v>1024</v>
      </c>
      <c r="AQ4" s="11" t="s">
        <v>1025</v>
      </c>
      <c r="AR4" s="11" t="s">
        <v>1026</v>
      </c>
      <c r="AS4" s="11" t="s">
        <v>1027</v>
      </c>
      <c r="AT4" s="11" t="s">
        <v>1028</v>
      </c>
      <c r="AU4" s="11" t="s">
        <v>1029</v>
      </c>
      <c r="AV4" s="11" t="s">
        <v>1030</v>
      </c>
      <c r="AW4" s="11" t="s">
        <v>1031</v>
      </c>
      <c r="AX4" s="11" t="s">
        <v>1032</v>
      </c>
      <c r="AY4" s="11" t="s">
        <v>1033</v>
      </c>
      <c r="AZ4" s="11" t="s">
        <v>1034</v>
      </c>
      <c r="BA4" s="11" t="s">
        <v>1035</v>
      </c>
      <c r="BB4" s="11" t="s">
        <v>1036</v>
      </c>
      <c r="BC4" s="11" t="s">
        <v>1037</v>
      </c>
      <c r="BD4" s="11" t="s">
        <v>1038</v>
      </c>
      <c r="BE4" s="11" t="s">
        <v>1039</v>
      </c>
      <c r="BF4" s="11" t="s">
        <v>1040</v>
      </c>
      <c r="BG4" s="11" t="s">
        <v>1041</v>
      </c>
      <c r="BH4" s="11" t="s">
        <v>1042</v>
      </c>
      <c r="BI4" s="11" t="s">
        <v>1043</v>
      </c>
      <c r="BJ4" s="11" t="s">
        <v>1044</v>
      </c>
      <c r="BK4" s="11" t="s">
        <v>1045</v>
      </c>
      <c r="BL4" s="11" t="s">
        <v>1046</v>
      </c>
      <c r="BM4" s="11" t="s">
        <v>1047</v>
      </c>
      <c r="BN4" s="11" t="s">
        <v>1048</v>
      </c>
      <c r="BO4" s="11" t="s">
        <v>1049</v>
      </c>
      <c r="BP4" s="11" t="s">
        <v>1050</v>
      </c>
      <c r="BQ4" s="11" t="s">
        <v>1051</v>
      </c>
      <c r="BR4" s="11" t="s">
        <v>1052</v>
      </c>
      <c r="BS4" s="11" t="s">
        <v>1053</v>
      </c>
      <c r="BT4" s="11" t="s">
        <v>1054</v>
      </c>
      <c r="BU4" s="11" t="s">
        <v>1055</v>
      </c>
      <c r="BV4" s="11" t="s">
        <v>1056</v>
      </c>
      <c r="BW4" s="11" t="s">
        <v>1057</v>
      </c>
      <c r="BX4" s="11" t="s">
        <v>1058</v>
      </c>
      <c r="BY4" s="11" t="s">
        <v>1059</v>
      </c>
      <c r="BZ4" s="11" t="s">
        <v>1060</v>
      </c>
      <c r="CA4" s="11" t="s">
        <v>1061</v>
      </c>
      <c r="CB4" s="11" t="s">
        <v>1062</v>
      </c>
      <c r="CC4" s="11" t="s">
        <v>1063</v>
      </c>
      <c r="CD4" s="11" t="s">
        <v>1064</v>
      </c>
      <c r="CE4" s="11" t="s">
        <v>1065</v>
      </c>
      <c r="CF4" s="11" t="s">
        <v>1066</v>
      </c>
      <c r="CG4" s="11" t="s">
        <v>1067</v>
      </c>
      <c r="CH4" s="11" t="s">
        <v>1068</v>
      </c>
      <c r="CI4" s="11" t="s">
        <v>1069</v>
      </c>
      <c r="CJ4" s="11" t="s">
        <v>1070</v>
      </c>
      <c r="CK4" s="11" t="s">
        <v>1127</v>
      </c>
      <c r="CL4" s="11" t="s">
        <v>1071</v>
      </c>
      <c r="CM4" s="11" t="s">
        <v>1072</v>
      </c>
      <c r="CN4" s="11" t="s">
        <v>1073</v>
      </c>
      <c r="CO4" s="11" t="s">
        <v>1074</v>
      </c>
      <c r="CP4" s="11" t="s">
        <v>1075</v>
      </c>
      <c r="CQ4" s="11" t="s">
        <v>1076</v>
      </c>
      <c r="CR4" s="11" t="s">
        <v>1077</v>
      </c>
      <c r="CS4" s="11" t="s">
        <v>1079</v>
      </c>
      <c r="CT4" s="11" t="s">
        <v>1078</v>
      </c>
      <c r="CU4" s="11" t="s">
        <v>1080</v>
      </c>
      <c r="CV4" s="11" t="s">
        <v>1081</v>
      </c>
      <c r="CW4" s="11" t="s">
        <v>1082</v>
      </c>
      <c r="CX4" s="11" t="s">
        <v>1083</v>
      </c>
      <c r="CY4" s="11" t="s">
        <v>1084</v>
      </c>
      <c r="CZ4" s="11" t="s">
        <v>1085</v>
      </c>
      <c r="DA4" s="11" t="s">
        <v>1086</v>
      </c>
      <c r="DB4" s="11" t="s">
        <v>1087</v>
      </c>
      <c r="DC4" s="11" t="s">
        <v>1088</v>
      </c>
      <c r="DD4" s="11" t="s">
        <v>1089</v>
      </c>
      <c r="DE4" s="11" t="s">
        <v>1090</v>
      </c>
      <c r="DF4" s="11" t="s">
        <v>1091</v>
      </c>
      <c r="DG4" s="11" t="s">
        <v>1092</v>
      </c>
      <c r="DH4" s="11" t="s">
        <v>1093</v>
      </c>
      <c r="DI4" s="11" t="s">
        <v>1094</v>
      </c>
      <c r="DJ4" s="11" t="s">
        <v>1128</v>
      </c>
      <c r="DK4" s="11" t="s">
        <v>1095</v>
      </c>
      <c r="DL4" s="11" t="s">
        <v>1096</v>
      </c>
      <c r="DM4" s="11" t="s">
        <v>1097</v>
      </c>
      <c r="DN4" s="11" t="s">
        <v>1098</v>
      </c>
      <c r="DO4" s="11" t="s">
        <v>1099</v>
      </c>
      <c r="DP4" s="10" t="s">
        <v>908</v>
      </c>
      <c r="DQ4" s="11" t="s">
        <v>1106</v>
      </c>
      <c r="DR4" s="11" t="s">
        <v>909</v>
      </c>
      <c r="DS4" s="11" t="s">
        <v>1104</v>
      </c>
      <c r="DT4" s="11" t="s">
        <v>910</v>
      </c>
      <c r="DU4" s="11" t="s">
        <v>1105</v>
      </c>
      <c r="DV4" s="11" t="s">
        <v>911</v>
      </c>
      <c r="DW4" s="11" t="s">
        <v>1103</v>
      </c>
      <c r="DX4" s="11" t="s">
        <v>912</v>
      </c>
      <c r="DY4" s="11" t="s">
        <v>913</v>
      </c>
      <c r="DZ4" s="11" t="s">
        <v>914</v>
      </c>
      <c r="EA4" s="11" t="s">
        <v>915</v>
      </c>
      <c r="EB4" s="11" t="s">
        <v>916</v>
      </c>
      <c r="EC4" s="11" t="s">
        <v>917</v>
      </c>
      <c r="ED4" s="11" t="s">
        <v>918</v>
      </c>
      <c r="EE4" s="11" t="s">
        <v>919</v>
      </c>
      <c r="EF4" s="11" t="s">
        <v>920</v>
      </c>
      <c r="EG4" s="11" t="s">
        <v>921</v>
      </c>
      <c r="EH4" s="11" t="s">
        <v>1129</v>
      </c>
      <c r="EI4" s="11" t="s">
        <v>1130</v>
      </c>
      <c r="EJ4" s="11" t="s">
        <v>1131</v>
      </c>
      <c r="EK4" s="11" t="s">
        <v>922</v>
      </c>
      <c r="EL4" s="11" t="s">
        <v>1153</v>
      </c>
      <c r="EM4" s="11" t="s">
        <v>1154</v>
      </c>
      <c r="EN4" s="11" t="s">
        <v>1155</v>
      </c>
      <c r="EO4" s="11" t="s">
        <v>923</v>
      </c>
      <c r="EP4" s="11" t="s">
        <v>1156</v>
      </c>
      <c r="EQ4" s="11" t="s">
        <v>1157</v>
      </c>
      <c r="ER4" s="11" t="s">
        <v>926</v>
      </c>
      <c r="ES4" s="11" t="s">
        <v>924</v>
      </c>
      <c r="ET4" s="11" t="s">
        <v>925</v>
      </c>
      <c r="EU4" s="11" t="s">
        <v>1158</v>
      </c>
      <c r="EV4" s="11" t="s">
        <v>1132</v>
      </c>
      <c r="EW4" s="11" t="s">
        <v>1133</v>
      </c>
      <c r="EX4" s="11" t="s">
        <v>1134</v>
      </c>
      <c r="EY4" s="11" t="s">
        <v>927</v>
      </c>
      <c r="EZ4" s="11" t="s">
        <v>928</v>
      </c>
      <c r="FA4" s="11" t="s">
        <v>929</v>
      </c>
      <c r="FB4" s="11" t="s">
        <v>930</v>
      </c>
      <c r="FC4" s="11" t="s">
        <v>931</v>
      </c>
      <c r="FD4" s="11" t="s">
        <v>932</v>
      </c>
      <c r="FE4" s="11" t="s">
        <v>933</v>
      </c>
      <c r="FF4" s="11" t="s">
        <v>934</v>
      </c>
      <c r="FG4" s="11" t="s">
        <v>935</v>
      </c>
      <c r="FH4" s="11" t="s">
        <v>936</v>
      </c>
      <c r="FI4" s="11" t="s">
        <v>937</v>
      </c>
      <c r="FJ4" s="11" t="s">
        <v>938</v>
      </c>
      <c r="FK4" s="11" t="s">
        <v>939</v>
      </c>
      <c r="FL4" s="11" t="s">
        <v>940</v>
      </c>
      <c r="FM4" s="11" t="s">
        <v>941</v>
      </c>
      <c r="FN4" s="11" t="s">
        <v>942</v>
      </c>
      <c r="FO4" s="11" t="s">
        <v>943</v>
      </c>
      <c r="FP4" s="11" t="s">
        <v>944</v>
      </c>
      <c r="FQ4" s="11" t="s">
        <v>945</v>
      </c>
      <c r="FR4" s="11" t="s">
        <v>946</v>
      </c>
      <c r="FS4" s="11" t="s">
        <v>947</v>
      </c>
      <c r="FT4" s="11" t="s">
        <v>948</v>
      </c>
      <c r="FU4" s="11" t="s">
        <v>949</v>
      </c>
      <c r="FV4" s="11" t="s">
        <v>950</v>
      </c>
      <c r="FW4" s="11" t="s">
        <v>951</v>
      </c>
      <c r="FX4" s="11" t="s">
        <v>952</v>
      </c>
      <c r="FY4" s="11" t="s">
        <v>953</v>
      </c>
      <c r="FZ4" s="11" t="s">
        <v>954</v>
      </c>
      <c r="GA4" s="11" t="s">
        <v>955</v>
      </c>
      <c r="GB4" s="11" t="s">
        <v>956</v>
      </c>
      <c r="GC4" s="11" t="s">
        <v>957</v>
      </c>
      <c r="GD4" s="11" t="s">
        <v>958</v>
      </c>
      <c r="GE4" s="11" t="s">
        <v>959</v>
      </c>
      <c r="GF4" s="11" t="s">
        <v>960</v>
      </c>
      <c r="GG4" s="11" t="s">
        <v>961</v>
      </c>
      <c r="GH4" s="11" t="s">
        <v>962</v>
      </c>
      <c r="GI4" s="11" t="s">
        <v>963</v>
      </c>
      <c r="GJ4" s="11" t="s">
        <v>964</v>
      </c>
      <c r="GK4" s="11" t="s">
        <v>965</v>
      </c>
      <c r="GL4" s="11" t="s">
        <v>966</v>
      </c>
      <c r="GM4" s="11" t="s">
        <v>967</v>
      </c>
      <c r="GN4" s="11" t="s">
        <v>968</v>
      </c>
      <c r="GO4" s="11" t="s">
        <v>969</v>
      </c>
      <c r="GP4" s="11" t="s">
        <v>970</v>
      </c>
      <c r="GQ4" s="11" t="s">
        <v>971</v>
      </c>
      <c r="GR4" s="11" t="s">
        <v>972</v>
      </c>
      <c r="GS4" s="11" t="s">
        <v>973</v>
      </c>
      <c r="GT4" s="11" t="s">
        <v>1135</v>
      </c>
      <c r="GU4" s="11" t="s">
        <v>974</v>
      </c>
      <c r="GV4" s="11" t="s">
        <v>975</v>
      </c>
      <c r="GW4" s="11" t="s">
        <v>976</v>
      </c>
      <c r="GX4" s="11" t="s">
        <v>979</v>
      </c>
      <c r="GY4" s="11" t="s">
        <v>980</v>
      </c>
      <c r="GZ4" s="11" t="s">
        <v>981</v>
      </c>
      <c r="HA4" s="11" t="s">
        <v>982</v>
      </c>
      <c r="HB4" s="11" t="s">
        <v>984</v>
      </c>
      <c r="HC4" s="11" t="s">
        <v>983</v>
      </c>
      <c r="HD4" s="11" t="s">
        <v>985</v>
      </c>
      <c r="HE4" s="11" t="s">
        <v>986</v>
      </c>
      <c r="HF4" s="11" t="s">
        <v>987</v>
      </c>
      <c r="HG4" s="11" t="s">
        <v>988</v>
      </c>
      <c r="HH4" s="11" t="s">
        <v>989</v>
      </c>
      <c r="HI4" s="11" t="s">
        <v>990</v>
      </c>
      <c r="HJ4" s="11" t="s">
        <v>991</v>
      </c>
      <c r="HK4" s="11" t="s">
        <v>992</v>
      </c>
      <c r="HL4" s="11" t="s">
        <v>993</v>
      </c>
      <c r="HM4" s="11" t="s">
        <v>994</v>
      </c>
      <c r="HN4" s="11" t="s">
        <v>995</v>
      </c>
      <c r="HO4" s="11" t="s">
        <v>996</v>
      </c>
      <c r="HP4" s="11" t="s">
        <v>997</v>
      </c>
      <c r="HQ4" s="11" t="s">
        <v>998</v>
      </c>
      <c r="HR4" s="11" t="s">
        <v>999</v>
      </c>
      <c r="HS4" s="11" t="s">
        <v>1136</v>
      </c>
      <c r="HT4" s="11" t="s">
        <v>1000</v>
      </c>
      <c r="HU4" s="11" t="s">
        <v>1001</v>
      </c>
      <c r="HV4" s="11" t="s">
        <v>1002</v>
      </c>
      <c r="HW4" s="11" t="s">
        <v>1003</v>
      </c>
      <c r="HX4" s="12" t="s">
        <v>1004</v>
      </c>
    </row>
    <row r="5" spans="1:232" x14ac:dyDescent="0.25">
      <c r="A5" s="14"/>
      <c r="C5" s="1" t="s">
        <v>1101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4"/>
      <c r="HP5" s="104"/>
      <c r="HQ5" s="104"/>
      <c r="HR5" s="104"/>
      <c r="HS5" s="104"/>
      <c r="HT5" s="104"/>
      <c r="HU5" s="104"/>
      <c r="HV5" s="104"/>
      <c r="HW5" s="104"/>
      <c r="HX5" s="104"/>
    </row>
    <row r="6" spans="1:232" x14ac:dyDescent="0.25">
      <c r="A6" s="14"/>
      <c r="B6" s="26" t="s">
        <v>1172</v>
      </c>
      <c r="C6" s="26" t="s">
        <v>94</v>
      </c>
      <c r="D6" s="26" t="s">
        <v>96</v>
      </c>
      <c r="E6" s="26" t="s">
        <v>97</v>
      </c>
      <c r="F6" s="26" t="s">
        <v>98</v>
      </c>
      <c r="G6" s="26" t="s">
        <v>1005</v>
      </c>
      <c r="H6" s="26" t="s">
        <v>1107</v>
      </c>
      <c r="I6" s="26" t="s">
        <v>1006</v>
      </c>
      <c r="J6" s="26" t="s">
        <v>1108</v>
      </c>
      <c r="K6" s="26" t="s">
        <v>1007</v>
      </c>
      <c r="L6" s="26" t="s">
        <v>1109</v>
      </c>
      <c r="M6" s="26" t="s">
        <v>1008</v>
      </c>
      <c r="N6" s="26" t="s">
        <v>1110</v>
      </c>
      <c r="O6" s="26" t="s">
        <v>1009</v>
      </c>
      <c r="P6" s="26" t="s">
        <v>1010</v>
      </c>
      <c r="Q6" s="26" t="s">
        <v>1011</v>
      </c>
      <c r="R6" s="26" t="s">
        <v>1012</v>
      </c>
      <c r="S6" s="26" t="s">
        <v>1013</v>
      </c>
      <c r="T6" s="26" t="s">
        <v>1014</v>
      </c>
      <c r="U6" s="26" t="s">
        <v>1015</v>
      </c>
      <c r="V6" s="26" t="s">
        <v>1016</v>
      </c>
      <c r="W6" s="26" t="s">
        <v>1017</v>
      </c>
      <c r="X6" s="26" t="s">
        <v>1018</v>
      </c>
      <c r="Y6" s="26" t="s">
        <v>1121</v>
      </c>
      <c r="Z6" s="26" t="s">
        <v>1122</v>
      </c>
      <c r="AA6" s="26" t="s">
        <v>1123</v>
      </c>
      <c r="AB6" s="26" t="s">
        <v>1019</v>
      </c>
      <c r="AC6" s="26" t="s">
        <v>1147</v>
      </c>
      <c r="AD6" s="26" t="s">
        <v>1148</v>
      </c>
      <c r="AE6" s="26" t="s">
        <v>1149</v>
      </c>
      <c r="AF6" s="26" t="s">
        <v>1020</v>
      </c>
      <c r="AG6" s="26" t="s">
        <v>1150</v>
      </c>
      <c r="AH6" s="26" t="s">
        <v>1151</v>
      </c>
      <c r="AI6" s="26" t="s">
        <v>1023</v>
      </c>
      <c r="AJ6" s="26" t="s">
        <v>1021</v>
      </c>
      <c r="AK6" s="26" t="s">
        <v>1022</v>
      </c>
      <c r="AL6" s="26" t="s">
        <v>1152</v>
      </c>
      <c r="AM6" s="26" t="s">
        <v>1124</v>
      </c>
      <c r="AN6" s="26" t="s">
        <v>1125</v>
      </c>
      <c r="AO6" s="26" t="s">
        <v>1126</v>
      </c>
      <c r="AP6" s="26" t="s">
        <v>1024</v>
      </c>
      <c r="AQ6" s="26" t="s">
        <v>1025</v>
      </c>
      <c r="AR6" s="26" t="s">
        <v>1026</v>
      </c>
      <c r="AS6" s="26" t="s">
        <v>1027</v>
      </c>
      <c r="AT6" s="26" t="s">
        <v>1028</v>
      </c>
      <c r="AU6" s="26" t="s">
        <v>1029</v>
      </c>
      <c r="AV6" s="26" t="s">
        <v>1030</v>
      </c>
      <c r="AW6" s="26" t="s">
        <v>1031</v>
      </c>
      <c r="AX6" s="26" t="s">
        <v>1032</v>
      </c>
      <c r="AY6" s="26" t="s">
        <v>1033</v>
      </c>
      <c r="AZ6" s="26" t="s">
        <v>1034</v>
      </c>
      <c r="BA6" s="26" t="s">
        <v>1035</v>
      </c>
      <c r="BB6" s="26" t="s">
        <v>1036</v>
      </c>
      <c r="BC6" s="26" t="s">
        <v>1037</v>
      </c>
      <c r="BD6" s="26" t="s">
        <v>1038</v>
      </c>
      <c r="BE6" s="26" t="s">
        <v>1039</v>
      </c>
      <c r="BF6" s="26" t="s">
        <v>1040</v>
      </c>
      <c r="BG6" s="26" t="s">
        <v>1041</v>
      </c>
      <c r="BH6" s="26" t="s">
        <v>1042</v>
      </c>
      <c r="BI6" s="26" t="s">
        <v>1043</v>
      </c>
      <c r="BJ6" s="26" t="s">
        <v>1044</v>
      </c>
      <c r="BK6" s="26" t="s">
        <v>1045</v>
      </c>
      <c r="BL6" s="26" t="s">
        <v>1046</v>
      </c>
      <c r="BM6" s="26" t="s">
        <v>1047</v>
      </c>
      <c r="BN6" s="26" t="s">
        <v>1048</v>
      </c>
      <c r="BO6" s="26" t="s">
        <v>1049</v>
      </c>
      <c r="BP6" s="26" t="s">
        <v>1050</v>
      </c>
      <c r="BQ6" s="26" t="s">
        <v>1051</v>
      </c>
      <c r="BR6" s="26" t="s">
        <v>1052</v>
      </c>
      <c r="BS6" s="26" t="s">
        <v>1053</v>
      </c>
      <c r="BT6" s="26" t="s">
        <v>1054</v>
      </c>
      <c r="BU6" s="26" t="s">
        <v>1055</v>
      </c>
      <c r="BV6" s="26" t="s">
        <v>1056</v>
      </c>
      <c r="BW6" s="26" t="s">
        <v>1057</v>
      </c>
      <c r="BX6" s="26" t="s">
        <v>1058</v>
      </c>
      <c r="BY6" s="26" t="s">
        <v>1059</v>
      </c>
      <c r="BZ6" s="26" t="s">
        <v>1060</v>
      </c>
      <c r="CA6" s="26" t="s">
        <v>1061</v>
      </c>
      <c r="CB6" s="26" t="s">
        <v>1062</v>
      </c>
      <c r="CC6" s="26" t="s">
        <v>1063</v>
      </c>
      <c r="CD6" s="26" t="s">
        <v>1064</v>
      </c>
      <c r="CE6" s="26" t="s">
        <v>1065</v>
      </c>
      <c r="CF6" s="26" t="s">
        <v>1066</v>
      </c>
      <c r="CG6" s="26" t="s">
        <v>1067</v>
      </c>
      <c r="CH6" s="26" t="s">
        <v>1068</v>
      </c>
      <c r="CI6" s="26" t="s">
        <v>1069</v>
      </c>
      <c r="CJ6" s="26" t="s">
        <v>1070</v>
      </c>
      <c r="CK6" s="26" t="s">
        <v>1127</v>
      </c>
      <c r="CL6" s="26" t="s">
        <v>1071</v>
      </c>
      <c r="CM6" s="26" t="s">
        <v>1072</v>
      </c>
      <c r="CN6" s="26" t="s">
        <v>1073</v>
      </c>
      <c r="CO6" s="26" t="s">
        <v>1074</v>
      </c>
      <c r="CP6" s="26" t="s">
        <v>1075</v>
      </c>
      <c r="CQ6" s="26" t="s">
        <v>1076</v>
      </c>
      <c r="CR6" s="26" t="s">
        <v>1077</v>
      </c>
      <c r="CS6" s="26" t="s">
        <v>1079</v>
      </c>
      <c r="CT6" s="26" t="s">
        <v>1078</v>
      </c>
      <c r="CU6" s="26" t="s">
        <v>1080</v>
      </c>
      <c r="CV6" s="26" t="s">
        <v>1081</v>
      </c>
      <c r="CW6" s="26" t="s">
        <v>1082</v>
      </c>
      <c r="CX6" s="26" t="s">
        <v>1083</v>
      </c>
      <c r="CY6" s="26" t="s">
        <v>1084</v>
      </c>
      <c r="CZ6" s="26" t="s">
        <v>1085</v>
      </c>
      <c r="DA6" s="26" t="s">
        <v>1086</v>
      </c>
      <c r="DB6" s="26" t="s">
        <v>1087</v>
      </c>
      <c r="DC6" s="26" t="s">
        <v>1088</v>
      </c>
      <c r="DD6" s="26" t="s">
        <v>1089</v>
      </c>
      <c r="DE6" s="26" t="s">
        <v>1090</v>
      </c>
      <c r="DF6" s="26" t="s">
        <v>1091</v>
      </c>
      <c r="DG6" s="26" t="s">
        <v>1092</v>
      </c>
      <c r="DH6" s="26" t="s">
        <v>1093</v>
      </c>
      <c r="DI6" s="26" t="s">
        <v>1094</v>
      </c>
      <c r="DJ6" s="26" t="s">
        <v>1128</v>
      </c>
      <c r="DK6" s="26" t="s">
        <v>1095</v>
      </c>
      <c r="DL6" s="26" t="s">
        <v>1096</v>
      </c>
      <c r="DM6" s="26" t="s">
        <v>1097</v>
      </c>
      <c r="DN6" s="26" t="s">
        <v>1098</v>
      </c>
      <c r="DO6" s="26" t="s">
        <v>1099</v>
      </c>
      <c r="DP6" s="26" t="s">
        <v>908</v>
      </c>
      <c r="DQ6" s="26" t="s">
        <v>1106</v>
      </c>
      <c r="DR6" s="26" t="s">
        <v>909</v>
      </c>
      <c r="DS6" s="26" t="s">
        <v>1104</v>
      </c>
      <c r="DT6" s="26" t="s">
        <v>910</v>
      </c>
      <c r="DU6" s="26" t="s">
        <v>1105</v>
      </c>
      <c r="DV6" s="26" t="s">
        <v>911</v>
      </c>
      <c r="DW6" s="26" t="s">
        <v>1103</v>
      </c>
      <c r="DX6" s="26" t="s">
        <v>912</v>
      </c>
      <c r="DY6" s="26" t="s">
        <v>913</v>
      </c>
      <c r="DZ6" s="26" t="s">
        <v>914</v>
      </c>
      <c r="EA6" s="26" t="s">
        <v>915</v>
      </c>
      <c r="EB6" s="26" t="s">
        <v>916</v>
      </c>
      <c r="EC6" s="26" t="s">
        <v>917</v>
      </c>
      <c r="ED6" s="26" t="s">
        <v>918</v>
      </c>
      <c r="EE6" s="26" t="s">
        <v>919</v>
      </c>
      <c r="EF6" s="26" t="s">
        <v>920</v>
      </c>
      <c r="EG6" s="26" t="s">
        <v>921</v>
      </c>
      <c r="EH6" s="170" t="s">
        <v>1640</v>
      </c>
      <c r="EI6" s="26" t="s">
        <v>1130</v>
      </c>
      <c r="EJ6" s="26" t="s">
        <v>1131</v>
      </c>
      <c r="EK6" s="26" t="s">
        <v>922</v>
      </c>
      <c r="EL6" s="26" t="s">
        <v>1153</v>
      </c>
      <c r="EM6" s="26" t="s">
        <v>1154</v>
      </c>
      <c r="EN6" s="26" t="s">
        <v>1155</v>
      </c>
      <c r="EO6" s="26" t="s">
        <v>923</v>
      </c>
      <c r="EP6" s="26" t="s">
        <v>1156</v>
      </c>
      <c r="EQ6" s="26" t="s">
        <v>1157</v>
      </c>
      <c r="ER6" s="26" t="s">
        <v>926</v>
      </c>
      <c r="ES6" s="26" t="s">
        <v>924</v>
      </c>
      <c r="ET6" s="26" t="s">
        <v>925</v>
      </c>
      <c r="EU6" s="26" t="s">
        <v>1158</v>
      </c>
      <c r="EV6" s="26" t="s">
        <v>1132</v>
      </c>
      <c r="EW6" s="26" t="s">
        <v>1133</v>
      </c>
      <c r="EX6" s="26" t="s">
        <v>1134</v>
      </c>
      <c r="EY6" s="26" t="s">
        <v>927</v>
      </c>
      <c r="EZ6" s="26" t="s">
        <v>928</v>
      </c>
      <c r="FA6" s="26" t="s">
        <v>929</v>
      </c>
      <c r="FB6" s="26" t="s">
        <v>930</v>
      </c>
      <c r="FC6" s="26" t="s">
        <v>931</v>
      </c>
      <c r="FD6" s="26" t="s">
        <v>932</v>
      </c>
      <c r="FE6" s="26" t="s">
        <v>933</v>
      </c>
      <c r="FF6" s="26" t="s">
        <v>934</v>
      </c>
      <c r="FG6" s="26" t="s">
        <v>935</v>
      </c>
      <c r="FH6" s="26" t="s">
        <v>936</v>
      </c>
      <c r="FI6" s="26" t="s">
        <v>937</v>
      </c>
      <c r="FJ6" s="26" t="s">
        <v>938</v>
      </c>
      <c r="FK6" s="26" t="s">
        <v>939</v>
      </c>
      <c r="FL6" s="26" t="s">
        <v>940</v>
      </c>
      <c r="FM6" s="26" t="s">
        <v>941</v>
      </c>
      <c r="FN6" s="26" t="s">
        <v>942</v>
      </c>
      <c r="FO6" s="26" t="s">
        <v>943</v>
      </c>
      <c r="FP6" s="26" t="s">
        <v>944</v>
      </c>
      <c r="FQ6" s="26" t="s">
        <v>945</v>
      </c>
      <c r="FR6" s="26" t="s">
        <v>946</v>
      </c>
      <c r="FS6" s="26" t="s">
        <v>947</v>
      </c>
      <c r="FT6" s="26" t="s">
        <v>948</v>
      </c>
      <c r="FU6" s="26" t="s">
        <v>949</v>
      </c>
      <c r="FV6" s="26" t="s">
        <v>950</v>
      </c>
      <c r="FW6" s="26" t="s">
        <v>951</v>
      </c>
      <c r="FX6" s="26" t="s">
        <v>952</v>
      </c>
      <c r="FY6" s="26" t="s">
        <v>953</v>
      </c>
      <c r="FZ6" s="26" t="s">
        <v>954</v>
      </c>
      <c r="GA6" s="26" t="s">
        <v>955</v>
      </c>
      <c r="GB6" s="26" t="s">
        <v>956</v>
      </c>
      <c r="GC6" s="26" t="s">
        <v>957</v>
      </c>
      <c r="GD6" s="26" t="s">
        <v>958</v>
      </c>
      <c r="GE6" s="26" t="s">
        <v>959</v>
      </c>
      <c r="GF6" s="26" t="s">
        <v>960</v>
      </c>
      <c r="GG6" s="26" t="s">
        <v>961</v>
      </c>
      <c r="GH6" s="26" t="s">
        <v>962</v>
      </c>
      <c r="GI6" s="26" t="s">
        <v>963</v>
      </c>
      <c r="GJ6" s="26" t="s">
        <v>964</v>
      </c>
      <c r="GK6" s="26" t="s">
        <v>965</v>
      </c>
      <c r="GL6" s="26" t="s">
        <v>966</v>
      </c>
      <c r="GM6" s="26" t="s">
        <v>967</v>
      </c>
      <c r="GN6" s="26" t="s">
        <v>968</v>
      </c>
      <c r="GO6" s="26" t="s">
        <v>969</v>
      </c>
      <c r="GP6" s="26" t="s">
        <v>970</v>
      </c>
      <c r="GQ6" s="26" t="s">
        <v>971</v>
      </c>
      <c r="GR6" s="26" t="s">
        <v>972</v>
      </c>
      <c r="GS6" s="26" t="s">
        <v>973</v>
      </c>
      <c r="GT6" s="26" t="s">
        <v>1135</v>
      </c>
      <c r="GU6" s="26" t="s">
        <v>974</v>
      </c>
      <c r="GV6" s="26" t="s">
        <v>975</v>
      </c>
      <c r="GW6" s="26" t="s">
        <v>976</v>
      </c>
      <c r="GX6" s="26" t="s">
        <v>979</v>
      </c>
      <c r="GY6" s="170" t="s">
        <v>539</v>
      </c>
      <c r="GZ6" s="26" t="s">
        <v>981</v>
      </c>
      <c r="HA6" s="26" t="s">
        <v>982</v>
      </c>
      <c r="HB6" s="26" t="s">
        <v>984</v>
      </c>
      <c r="HC6" s="26" t="s">
        <v>983</v>
      </c>
      <c r="HD6" s="26" t="s">
        <v>985</v>
      </c>
      <c r="HE6" s="26" t="s">
        <v>986</v>
      </c>
      <c r="HF6" s="170" t="s">
        <v>487</v>
      </c>
      <c r="HG6" s="26" t="s">
        <v>988</v>
      </c>
      <c r="HH6" s="170" t="s">
        <v>486</v>
      </c>
      <c r="HI6" s="26" t="s">
        <v>990</v>
      </c>
      <c r="HJ6" s="170" t="s">
        <v>490</v>
      </c>
      <c r="HK6" s="26" t="s">
        <v>992</v>
      </c>
      <c r="HL6" s="170" t="s">
        <v>489</v>
      </c>
      <c r="HM6" s="26" t="s">
        <v>994</v>
      </c>
      <c r="HN6" s="170" t="s">
        <v>484</v>
      </c>
      <c r="HO6" s="26" t="s">
        <v>996</v>
      </c>
      <c r="HP6" s="170" t="s">
        <v>485</v>
      </c>
      <c r="HQ6" s="26" t="s">
        <v>998</v>
      </c>
      <c r="HR6" s="170" t="s">
        <v>483</v>
      </c>
      <c r="HS6" s="26" t="s">
        <v>1136</v>
      </c>
      <c r="HT6" s="170" t="s">
        <v>488</v>
      </c>
      <c r="HU6" s="26" t="s">
        <v>1001</v>
      </c>
      <c r="HV6" s="26" t="s">
        <v>1002</v>
      </c>
      <c r="HW6" s="26" t="s">
        <v>1003</v>
      </c>
      <c r="HX6" s="26" t="s">
        <v>1004</v>
      </c>
    </row>
    <row r="7" spans="1:232" x14ac:dyDescent="0.25">
      <c r="A7" s="15"/>
      <c r="B7" s="160" t="str">
        <f>targets[Dsnulist]&amp;" "&amp;targets[D_indicatortype]&amp;" "&amp;targets[D_mechanismid]</f>
        <v xml:space="preserve">Paste Data Pack Values here (starting in cell C7)  </v>
      </c>
      <c r="C7" s="40" t="s">
        <v>1639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zoomScale="85" zoomScaleNormal="85" workbookViewId="0">
      <pane ySplit="4" topLeftCell="A5" activePane="bottomLeft" state="frozen"/>
      <selection sqref="A1:A2"/>
      <selection pane="bottomLeft" activeCell="F8" sqref="F8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71"/>
      <c r="C1" s="125" t="s">
        <v>101</v>
      </c>
      <c r="D1" s="2"/>
      <c r="J1" s="114" t="s">
        <v>1174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/>
      <c r="AU1" s="144" t="s">
        <v>1634</v>
      </c>
      <c r="AV1" s="118" t="s">
        <v>1176</v>
      </c>
      <c r="AW1" s="52" t="s">
        <v>1175</v>
      </c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112"/>
      <c r="BQ1" s="112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</row>
    <row r="2" spans="1:87" s="2" customFormat="1" x14ac:dyDescent="0.25">
      <c r="A2" s="17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36"/>
      <c r="D3" s="2"/>
      <c r="E3" s="5"/>
      <c r="F3" s="5"/>
      <c r="G3" s="5"/>
      <c r="H3" s="6"/>
      <c r="I3" s="6"/>
      <c r="J3" s="46" t="s">
        <v>102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54"/>
      <c r="AU3" s="149" t="s">
        <v>1632</v>
      </c>
      <c r="AV3" s="61" t="s">
        <v>745</v>
      </c>
      <c r="AW3" s="119" t="s">
        <v>102</v>
      </c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30" t="s">
        <v>431</v>
      </c>
      <c r="CH3" s="119" t="s">
        <v>141</v>
      </c>
      <c r="CI3" s="121"/>
    </row>
    <row r="4" spans="1:87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103</v>
      </c>
      <c r="K4" s="13" t="s">
        <v>104</v>
      </c>
      <c r="L4" s="13" t="s">
        <v>105</v>
      </c>
      <c r="M4" s="13" t="s">
        <v>106</v>
      </c>
      <c r="N4" s="13" t="s">
        <v>107</v>
      </c>
      <c r="O4" s="13" t="s">
        <v>108</v>
      </c>
      <c r="P4" s="13" t="s">
        <v>109</v>
      </c>
      <c r="Q4" s="13" t="s">
        <v>110</v>
      </c>
      <c r="R4" s="13" t="s">
        <v>111</v>
      </c>
      <c r="S4" s="13" t="s">
        <v>112</v>
      </c>
      <c r="T4" s="13" t="s">
        <v>113</v>
      </c>
      <c r="U4" s="13" t="s">
        <v>114</v>
      </c>
      <c r="V4" s="13" t="s">
        <v>115</v>
      </c>
      <c r="W4" s="13" t="s">
        <v>116</v>
      </c>
      <c r="X4" s="13" t="s">
        <v>117</v>
      </c>
      <c r="Y4" s="13" t="s">
        <v>118</v>
      </c>
      <c r="Z4" s="13" t="s">
        <v>119</v>
      </c>
      <c r="AA4" s="13" t="s">
        <v>120</v>
      </c>
      <c r="AB4" s="13" t="s">
        <v>121</v>
      </c>
      <c r="AC4" s="13" t="s">
        <v>122</v>
      </c>
      <c r="AD4" s="13" t="s">
        <v>123</v>
      </c>
      <c r="AE4" s="13" t="s">
        <v>124</v>
      </c>
      <c r="AF4" s="13" t="s">
        <v>125</v>
      </c>
      <c r="AG4" s="13" t="s">
        <v>126</v>
      </c>
      <c r="AH4" s="13" t="s">
        <v>127</v>
      </c>
      <c r="AI4" s="13" t="s">
        <v>128</v>
      </c>
      <c r="AJ4" s="13" t="s">
        <v>129</v>
      </c>
      <c r="AK4" s="13" t="s">
        <v>130</v>
      </c>
      <c r="AL4" s="13" t="s">
        <v>131</v>
      </c>
      <c r="AM4" s="13" t="s">
        <v>132</v>
      </c>
      <c r="AN4" s="13" t="s">
        <v>133</v>
      </c>
      <c r="AO4" s="13" t="s">
        <v>134</v>
      </c>
      <c r="AP4" s="13" t="s">
        <v>135</v>
      </c>
      <c r="AQ4" s="13" t="s">
        <v>136</v>
      </c>
      <c r="AR4" s="13" t="s">
        <v>137</v>
      </c>
      <c r="AS4" s="13" t="s">
        <v>138</v>
      </c>
      <c r="AT4" s="147" t="s">
        <v>1660</v>
      </c>
      <c r="AU4" s="150" t="s">
        <v>102</v>
      </c>
      <c r="AV4" s="10" t="s">
        <v>101</v>
      </c>
      <c r="AW4" s="122" t="s">
        <v>103</v>
      </c>
      <c r="AX4" s="123" t="s">
        <v>104</v>
      </c>
      <c r="AY4" s="123" t="s">
        <v>105</v>
      </c>
      <c r="AZ4" s="123" t="s">
        <v>106</v>
      </c>
      <c r="BA4" s="123" t="s">
        <v>107</v>
      </c>
      <c r="BB4" s="123" t="s">
        <v>108</v>
      </c>
      <c r="BC4" s="123" t="s">
        <v>109</v>
      </c>
      <c r="BD4" s="123" t="s">
        <v>110</v>
      </c>
      <c r="BE4" s="123" t="s">
        <v>111</v>
      </c>
      <c r="BF4" s="123" t="s">
        <v>112</v>
      </c>
      <c r="BG4" s="123" t="s">
        <v>113</v>
      </c>
      <c r="BH4" s="123" t="s">
        <v>114</v>
      </c>
      <c r="BI4" s="123" t="s">
        <v>115</v>
      </c>
      <c r="BJ4" s="123" t="s">
        <v>116</v>
      </c>
      <c r="BK4" s="123" t="s">
        <v>117</v>
      </c>
      <c r="BL4" s="123" t="s">
        <v>118</v>
      </c>
      <c r="BM4" s="123" t="s">
        <v>119</v>
      </c>
      <c r="BN4" s="123" t="s">
        <v>120</v>
      </c>
      <c r="BO4" s="123" t="s">
        <v>121</v>
      </c>
      <c r="BP4" s="123" t="s">
        <v>122</v>
      </c>
      <c r="BQ4" s="123" t="s">
        <v>123</v>
      </c>
      <c r="BR4" s="123" t="s">
        <v>124</v>
      </c>
      <c r="BS4" s="123" t="s">
        <v>125</v>
      </c>
      <c r="BT4" s="123" t="s">
        <v>126</v>
      </c>
      <c r="BU4" s="123" t="s">
        <v>127</v>
      </c>
      <c r="BV4" s="123" t="s">
        <v>128</v>
      </c>
      <c r="BW4" s="123" t="s">
        <v>129</v>
      </c>
      <c r="BX4" s="123" t="s">
        <v>130</v>
      </c>
      <c r="BY4" s="123" t="s">
        <v>131</v>
      </c>
      <c r="BZ4" s="123" t="s">
        <v>132</v>
      </c>
      <c r="CA4" s="123" t="s">
        <v>133</v>
      </c>
      <c r="CB4" s="123" t="s">
        <v>134</v>
      </c>
      <c r="CC4" s="123" t="s">
        <v>135</v>
      </c>
      <c r="CD4" s="123" t="s">
        <v>136</v>
      </c>
      <c r="CE4" s="123" t="s">
        <v>137</v>
      </c>
      <c r="CF4" s="123" t="s">
        <v>138</v>
      </c>
      <c r="CG4" s="131" t="s">
        <v>431</v>
      </c>
      <c r="CH4" s="122" t="s">
        <v>139</v>
      </c>
      <c r="CI4" s="124" t="s">
        <v>140</v>
      </c>
    </row>
    <row r="5" spans="1:87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W5" s="60">
        <f>SUBTOTAL(109,gend_gbv_T[gend_gbv_u10_f_pev])</f>
        <v>0</v>
      </c>
      <c r="AX5" s="60">
        <f>SUBTOTAL(109,gend_gbv_T[gend_gbv_u10_f_sv])</f>
        <v>0</v>
      </c>
      <c r="AY5" s="60">
        <f>SUBTOTAL(109,gend_gbv_T[gend_gbv_u10_m_pev])</f>
        <v>0</v>
      </c>
      <c r="AZ5" s="60">
        <f>SUBTOTAL(109,gend_gbv_T[gend_gbv_u10_m_sv])</f>
        <v>0</v>
      </c>
      <c r="BA5" s="60">
        <f>SUBTOTAL(109,gend_gbv_T[gend_gbv_1014_f_pev])</f>
        <v>0</v>
      </c>
      <c r="BB5" s="60">
        <f>SUBTOTAL(109,gend_gbv_T[gend_gbv_1014_f_sv])</f>
        <v>0</v>
      </c>
      <c r="BC5" s="60">
        <f>SUBTOTAL(109,gend_gbv_T[gend_gbv_1014_m_pev])</f>
        <v>0</v>
      </c>
      <c r="BD5" s="60">
        <f>SUBTOTAL(109,gend_gbv_T[gend_gbv_1014_m_sv])</f>
        <v>0</v>
      </c>
      <c r="BE5" s="60">
        <f>SUBTOTAL(109,gend_gbv_T[gend_gbv_1519_f_pev])</f>
        <v>0</v>
      </c>
      <c r="BF5" s="60">
        <f>SUBTOTAL(109,gend_gbv_T[gend_gbv_1519_f_sv])</f>
        <v>0</v>
      </c>
      <c r="BG5" s="60">
        <f>SUBTOTAL(109,gend_gbv_T[gend_gbv_1519_m_pev])</f>
        <v>0</v>
      </c>
      <c r="BH5" s="60">
        <f>SUBTOTAL(109,gend_gbv_T[gend_gbv_1519_m_sv])</f>
        <v>0</v>
      </c>
      <c r="BI5" s="60">
        <f>SUBTOTAL(109,gend_gbv_T[gend_gbv_2024_f_pev])</f>
        <v>0</v>
      </c>
      <c r="BJ5" s="60">
        <f>SUBTOTAL(109,gend_gbv_T[gend_gbv_2024_f_sv])</f>
        <v>0</v>
      </c>
      <c r="BK5" s="60">
        <f>SUBTOTAL(109,gend_gbv_T[gend_gbv_2024_m_pev])</f>
        <v>0</v>
      </c>
      <c r="BL5" s="60">
        <f>SUBTOTAL(109,gend_gbv_T[gend_gbv_2024_m_sv])</f>
        <v>0</v>
      </c>
      <c r="BM5" s="60">
        <f>SUBTOTAL(109,gend_gbv_T[gend_gbv_2529_f_pev])</f>
        <v>0</v>
      </c>
      <c r="BN5" s="60">
        <f>SUBTOTAL(109,gend_gbv_T[gend_gbv_2529_f_sv])</f>
        <v>0</v>
      </c>
      <c r="BO5" s="60">
        <f>SUBTOTAL(109,gend_gbv_T[gend_gbv_2529_m_pev])</f>
        <v>0</v>
      </c>
      <c r="BP5" s="60">
        <f>SUBTOTAL(109,gend_gbv_T[gend_gbv_2529_m_sv])</f>
        <v>0</v>
      </c>
      <c r="BQ5" s="60">
        <f>SUBTOTAL(109,gend_gbv_T[gend_gbv_3034_f_pev])</f>
        <v>0</v>
      </c>
      <c r="BR5" s="60">
        <f>SUBTOTAL(109,gend_gbv_T[gend_gbv_3034_f_sv])</f>
        <v>0</v>
      </c>
      <c r="BS5" s="60">
        <f>SUBTOTAL(109,gend_gbv_T[gend_gbv_3034_m_pev])</f>
        <v>0</v>
      </c>
      <c r="BT5" s="60">
        <f>SUBTOTAL(109,gend_gbv_T[gend_gbv_3034_m_sv])</f>
        <v>0</v>
      </c>
      <c r="BU5" s="60">
        <f>SUBTOTAL(109,gend_gbv_T[gend_gbv_3539_f_pev])</f>
        <v>0</v>
      </c>
      <c r="BV5" s="60">
        <f>SUBTOTAL(109,gend_gbv_T[gend_gbv_3539_f_sv])</f>
        <v>0</v>
      </c>
      <c r="BW5" s="60">
        <f>SUBTOTAL(109,gend_gbv_T[gend_gbv_3539_m_pev])</f>
        <v>0</v>
      </c>
      <c r="BX5" s="60">
        <f>SUBTOTAL(109,gend_gbv_T[gend_gbv_3539_m_sv])</f>
        <v>0</v>
      </c>
      <c r="BY5" s="60">
        <f>SUBTOTAL(109,gend_gbv_T[gend_gbv_4049_f_pev])</f>
        <v>0</v>
      </c>
      <c r="BZ5" s="60">
        <f>SUBTOTAL(109,gend_gbv_T[gend_gbv_4049_f_sv])</f>
        <v>0</v>
      </c>
      <c r="CA5" s="60">
        <f>SUBTOTAL(109,gend_gbv_T[gend_gbv_4049_m_pev])</f>
        <v>0</v>
      </c>
      <c r="CB5" s="60">
        <f>SUBTOTAL(109,gend_gbv_T[gend_gbv_4049_m_sv])</f>
        <v>0</v>
      </c>
      <c r="CC5" s="60">
        <f>SUBTOTAL(109,gend_gbv_T[gend_gbv_o50_f_pev])</f>
        <v>0</v>
      </c>
      <c r="CD5" s="60">
        <f>SUBTOTAL(109,gend_gbv_T[gend_gbv_o50_f_sv])</f>
        <v>0</v>
      </c>
      <c r="CE5" s="60">
        <f>SUBTOTAL(109,gend_gbv_T[gend_gbv_o50_m_pev])</f>
        <v>0</v>
      </c>
      <c r="CF5" s="60">
        <f>SUBTOTAL(109,gend_gbv_T[gend_gbv_o50_m_sv])</f>
        <v>0</v>
      </c>
      <c r="CG5" s="60">
        <f>SUBTOTAL(109,gend_gbv_T[gend_gbv_pep])</f>
        <v>0</v>
      </c>
      <c r="CH5" s="60">
        <f>SUBTOTAL(109,gend_gbv_T[gend_gbv_pev])</f>
        <v>0</v>
      </c>
      <c r="CI5" s="60">
        <f>SUBTOTAL(109,gend_gbv_T[gend_gbv_sv])</f>
        <v>0</v>
      </c>
    </row>
    <row r="6" spans="1:87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1177</v>
      </c>
      <c r="K6" s="26" t="s">
        <v>1178</v>
      </c>
      <c r="L6" s="26" t="s">
        <v>1179</v>
      </c>
      <c r="M6" s="26" t="s">
        <v>1180</v>
      </c>
      <c r="N6" s="26" t="s">
        <v>1181</v>
      </c>
      <c r="O6" s="26" t="s">
        <v>1182</v>
      </c>
      <c r="P6" s="26" t="s">
        <v>1183</v>
      </c>
      <c r="Q6" s="26" t="s">
        <v>1184</v>
      </c>
      <c r="R6" s="26" t="s">
        <v>1185</v>
      </c>
      <c r="S6" s="26" t="s">
        <v>1186</v>
      </c>
      <c r="T6" s="26" t="s">
        <v>1187</v>
      </c>
      <c r="U6" s="26" t="s">
        <v>1188</v>
      </c>
      <c r="V6" s="26" t="s">
        <v>1189</v>
      </c>
      <c r="W6" s="26" t="s">
        <v>1190</v>
      </c>
      <c r="X6" s="26" t="s">
        <v>1191</v>
      </c>
      <c r="Y6" s="26" t="s">
        <v>1192</v>
      </c>
      <c r="Z6" s="26" t="s">
        <v>1193</v>
      </c>
      <c r="AA6" s="26" t="s">
        <v>1194</v>
      </c>
      <c r="AB6" s="26" t="s">
        <v>1195</v>
      </c>
      <c r="AC6" s="26" t="s">
        <v>1196</v>
      </c>
      <c r="AD6" s="26" t="s">
        <v>1197</v>
      </c>
      <c r="AE6" s="26" t="s">
        <v>1198</v>
      </c>
      <c r="AF6" s="26" t="s">
        <v>1199</v>
      </c>
      <c r="AG6" s="26" t="s">
        <v>1200</v>
      </c>
      <c r="AH6" s="26" t="s">
        <v>1201</v>
      </c>
      <c r="AI6" s="26" t="s">
        <v>1202</v>
      </c>
      <c r="AJ6" s="26" t="s">
        <v>1203</v>
      </c>
      <c r="AK6" s="26" t="s">
        <v>1204</v>
      </c>
      <c r="AL6" s="26" t="s">
        <v>1205</v>
      </c>
      <c r="AM6" s="26" t="s">
        <v>1206</v>
      </c>
      <c r="AN6" s="26" t="s">
        <v>1207</v>
      </c>
      <c r="AO6" s="26" t="s">
        <v>1208</v>
      </c>
      <c r="AP6" s="26" t="s">
        <v>1209</v>
      </c>
      <c r="AQ6" s="26" t="s">
        <v>1210</v>
      </c>
      <c r="AR6" s="26" t="s">
        <v>1211</v>
      </c>
      <c r="AS6" s="26" t="s">
        <v>1212</v>
      </c>
      <c r="AT6" s="26" t="s">
        <v>1213</v>
      </c>
      <c r="AU6" s="26" t="s">
        <v>1630</v>
      </c>
      <c r="AV6" s="26" t="s">
        <v>1003</v>
      </c>
      <c r="AW6" s="26" t="s">
        <v>392</v>
      </c>
      <c r="AX6" s="26" t="s">
        <v>393</v>
      </c>
      <c r="AY6" s="26" t="s">
        <v>394</v>
      </c>
      <c r="AZ6" s="26" t="s">
        <v>395</v>
      </c>
      <c r="BA6" s="26" t="s">
        <v>396</v>
      </c>
      <c r="BB6" s="26" t="s">
        <v>397</v>
      </c>
      <c r="BC6" s="26" t="s">
        <v>398</v>
      </c>
      <c r="BD6" s="26" t="s">
        <v>399</v>
      </c>
      <c r="BE6" s="26" t="s">
        <v>400</v>
      </c>
      <c r="BF6" s="26" t="s">
        <v>401</v>
      </c>
      <c r="BG6" s="26" t="s">
        <v>402</v>
      </c>
      <c r="BH6" s="26" t="s">
        <v>403</v>
      </c>
      <c r="BI6" s="26" t="s">
        <v>404</v>
      </c>
      <c r="BJ6" s="26" t="s">
        <v>405</v>
      </c>
      <c r="BK6" s="26" t="s">
        <v>406</v>
      </c>
      <c r="BL6" s="26" t="s">
        <v>407</v>
      </c>
      <c r="BM6" s="26" t="s">
        <v>408</v>
      </c>
      <c r="BN6" s="26" t="s">
        <v>409</v>
      </c>
      <c r="BO6" s="26" t="s">
        <v>410</v>
      </c>
      <c r="BP6" s="26" t="s">
        <v>411</v>
      </c>
      <c r="BQ6" s="26" t="s">
        <v>412</v>
      </c>
      <c r="BR6" s="26" t="s">
        <v>413</v>
      </c>
      <c r="BS6" s="26" t="s">
        <v>414</v>
      </c>
      <c r="BT6" s="26" t="s">
        <v>415</v>
      </c>
      <c r="BU6" s="26" t="s">
        <v>416</v>
      </c>
      <c r="BV6" s="26" t="s">
        <v>417</v>
      </c>
      <c r="BW6" s="26" t="s">
        <v>418</v>
      </c>
      <c r="BX6" s="26" t="s">
        <v>419</v>
      </c>
      <c r="BY6" s="26" t="s">
        <v>420</v>
      </c>
      <c r="BZ6" s="26" t="s">
        <v>421</v>
      </c>
      <c r="CA6" s="26" t="s">
        <v>422</v>
      </c>
      <c r="CB6" s="26" t="s">
        <v>423</v>
      </c>
      <c r="CC6" s="26" t="s">
        <v>424</v>
      </c>
      <c r="CD6" s="26" t="s">
        <v>425</v>
      </c>
      <c r="CE6" s="26" t="s">
        <v>426</v>
      </c>
      <c r="CF6" s="26" t="s">
        <v>427</v>
      </c>
      <c r="CG6" s="26" t="s">
        <v>428</v>
      </c>
      <c r="CH6" s="26" t="s">
        <v>429</v>
      </c>
      <c r="CI6" s="26" t="s">
        <v>430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1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49">
        <f>SUMIF($AW$4:$CF$4,"*Physical*",gend_gbv_T[[#This Row],[gend_gbv_u10_f_pev]:[gend_gbv_o50_m_sv]])</f>
        <v>0</v>
      </c>
      <c r="CI7" s="49">
        <f>SUMIF($AW$4:$CF$4,"*Care*",gend_gbv_T[[#This Row],[gend_gbv_u10_f_pev]:[gend_gbv_o50_m_sv]])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/>
    </row>
    <row r="13" spans="1:8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/>
    </row>
    <row r="14" spans="1:8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/>
    </row>
    <row r="15" spans="1:8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/>
    </row>
    <row r="16" spans="1:8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/>
    </row>
    <row r="17" spans="1:4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/>
    </row>
    <row r="18" spans="1:4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/>
    </row>
    <row r="19" spans="1:4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/>
    </row>
    <row r="20" spans="1:4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/>
    </row>
    <row r="21" spans="1:4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/>
    </row>
    <row r="22" spans="1:4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/>
    </row>
    <row r="23" spans="1:4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/>
    </row>
    <row r="24" spans="1:4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/>
    </row>
    <row r="25" spans="1:4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/>
    </row>
    <row r="26" spans="1:4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/>
    </row>
    <row r="27" spans="1:4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/>
    </row>
    <row r="28" spans="1:4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/>
    </row>
    <row r="29" spans="1:4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/>
    </row>
    <row r="30" spans="1:4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/>
    </row>
    <row r="31" spans="1:4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/>
    </row>
    <row r="32" spans="1:4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/>
    </row>
    <row r="33" spans="1:4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/>
    </row>
    <row r="34" spans="1:4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/>
    </row>
    <row r="35" spans="1:4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/>
    </row>
    <row r="36" spans="1:4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/>
    </row>
    <row r="37" spans="1:4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/>
    </row>
    <row r="38" spans="1:4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/>
    </row>
    <row r="39" spans="1:4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/>
    </row>
    <row r="40" spans="1:4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/>
    </row>
    <row r="41" spans="1:4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/>
    </row>
    <row r="42" spans="1:4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/>
    </row>
    <row r="43" spans="1:4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/>
    </row>
    <row r="44" spans="1:4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/>
    </row>
    <row r="45" spans="1:4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/>
    </row>
    <row r="46" spans="1:4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/>
    </row>
    <row r="47" spans="1:4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/>
    </row>
    <row r="48" spans="1:4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/>
    </row>
    <row r="49" spans="1:4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/>
    </row>
    <row r="50" spans="1:4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/>
    </row>
    <row r="51" spans="1:4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/>
    </row>
    <row r="52" spans="1:4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/>
    </row>
    <row r="53" spans="1:4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/>
    </row>
    <row r="54" spans="1:4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/>
    </row>
    <row r="55" spans="1:4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/>
    </row>
    <row r="56" spans="1:4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/>
    </row>
    <row r="57" spans="1:4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/>
    </row>
    <row r="58" spans="1:4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/>
    </row>
    <row r="59" spans="1:4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/>
    </row>
    <row r="60" spans="1:4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/>
    </row>
    <row r="61" spans="1:4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/>
    </row>
    <row r="62" spans="1:4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/>
    </row>
    <row r="63" spans="1:4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/>
    </row>
    <row r="64" spans="1:4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/>
    </row>
    <row r="65" spans="1:4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/>
    </row>
    <row r="66" spans="1:4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/>
    </row>
    <row r="67" spans="1:4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/>
    </row>
    <row r="68" spans="1:4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/>
    </row>
    <row r="69" spans="1:4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/>
    </row>
    <row r="70" spans="1:4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/>
    </row>
    <row r="71" spans="1:4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/>
    </row>
    <row r="72" spans="1:4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/>
    </row>
    <row r="73" spans="1:4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/>
    </row>
    <row r="74" spans="1:4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/>
    </row>
    <row r="75" spans="1:4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/>
    </row>
    <row r="76" spans="1:4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/>
    </row>
    <row r="77" spans="1:4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/>
    </row>
    <row r="78" spans="1:4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/>
    </row>
    <row r="79" spans="1:4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/>
    </row>
    <row r="80" spans="1:4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/>
    </row>
    <row r="81" spans="1:4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/>
    </row>
    <row r="82" spans="1:4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/>
    </row>
    <row r="83" spans="1:4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/>
    </row>
    <row r="84" spans="1:4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/>
    </row>
    <row r="85" spans="1:4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/>
    </row>
    <row r="86" spans="1:4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/>
    </row>
    <row r="87" spans="1:4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/>
    </row>
    <row r="88" spans="1:4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/>
    </row>
    <row r="89" spans="1:4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/>
    </row>
    <row r="90" spans="1:4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/>
    </row>
    <row r="91" spans="1:4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/>
    </row>
    <row r="92" spans="1:4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/>
    </row>
    <row r="93" spans="1:4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/>
    </row>
    <row r="94" spans="1:4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/>
    </row>
    <row r="95" spans="1:4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/>
    </row>
    <row r="96" spans="1:4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/>
    </row>
    <row r="97" spans="1:4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/>
    </row>
    <row r="98" spans="1:4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/>
    </row>
    <row r="99" spans="1:4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/>
    </row>
    <row r="100" spans="1:4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/>
    </row>
    <row r="101" spans="1:4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/>
    </row>
    <row r="102" spans="1:4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/>
    </row>
    <row r="103" spans="1:4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/>
    </row>
    <row r="104" spans="1:4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/>
    </row>
    <row r="105" spans="1:4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/>
    </row>
    <row r="106" spans="1:4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/>
    </row>
    <row r="107" spans="1:4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/>
    </row>
    <row r="108" spans="1:4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/>
    </row>
    <row r="109" spans="1:4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/>
    </row>
    <row r="110" spans="1:4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/>
    </row>
    <row r="111" spans="1:4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/>
    </row>
    <row r="112" spans="1:4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/>
    </row>
    <row r="113" spans="1:4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/>
    </row>
    <row r="114" spans="1:4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/>
    </row>
    <row r="115" spans="1:4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/>
    </row>
    <row r="116" spans="1:4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/>
    </row>
    <row r="117" spans="1:4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/>
    </row>
    <row r="118" spans="1:4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/>
    </row>
    <row r="119" spans="1:4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/>
    </row>
    <row r="120" spans="1:4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/>
    </row>
    <row r="121" spans="1:4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/>
    </row>
    <row r="122" spans="1:4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/>
    </row>
    <row r="123" spans="1:4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/>
    </row>
    <row r="124" spans="1:4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/>
    </row>
    <row r="125" spans="1:4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/>
    </row>
    <row r="126" spans="1:4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/>
    </row>
    <row r="127" spans="1:4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/>
    </row>
    <row r="128" spans="1:4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/>
    </row>
    <row r="129" spans="1:4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/>
    </row>
    <row r="130" spans="1:4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/>
    </row>
    <row r="131" spans="1:4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/>
    </row>
    <row r="132" spans="1:4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/>
    </row>
    <row r="133" spans="1:4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/>
    </row>
    <row r="134" spans="1:4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/>
    </row>
    <row r="135" spans="1:4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/>
    </row>
    <row r="136" spans="1:4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/>
    </row>
    <row r="137" spans="1:4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/>
    </row>
    <row r="138" spans="1:4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/>
    </row>
    <row r="139" spans="1:4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/>
    </row>
    <row r="140" spans="1:4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/>
    </row>
    <row r="141" spans="1:4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/>
    </row>
    <row r="142" spans="1:4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/>
    </row>
    <row r="143" spans="1:4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/>
    </row>
    <row r="144" spans="1:4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/>
    </row>
    <row r="145" spans="1:4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/>
    </row>
    <row r="146" spans="1:4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/>
    </row>
    <row r="147" spans="1:4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/>
    </row>
    <row r="148" spans="1:4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/>
    </row>
    <row r="149" spans="1:4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/>
    </row>
    <row r="150" spans="1:4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/>
    </row>
    <row r="151" spans="1:4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/>
    </row>
    <row r="152" spans="1:4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/>
    </row>
    <row r="153" spans="1:4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/>
    </row>
    <row r="154" spans="1:4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/>
    </row>
    <row r="155" spans="1:4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/>
    </row>
    <row r="156" spans="1:4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/>
    </row>
    <row r="157" spans="1:4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/>
    </row>
    <row r="158" spans="1:4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/>
    </row>
    <row r="159" spans="1:4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/>
    </row>
    <row r="160" spans="1:4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/>
    </row>
    <row r="161" spans="1:4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/>
    </row>
    <row r="162" spans="1:4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/>
    </row>
    <row r="163" spans="1:4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/>
    </row>
    <row r="164" spans="1:4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/>
    </row>
    <row r="165" spans="1:4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/>
    </row>
    <row r="166" spans="1:4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/>
    </row>
    <row r="167" spans="1:4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/>
    </row>
    <row r="168" spans="1:4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/>
    </row>
    <row r="169" spans="1:4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/>
    </row>
    <row r="170" spans="1:4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/>
    </row>
    <row r="171" spans="1:4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/>
    </row>
    <row r="172" spans="1:4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/>
    </row>
    <row r="173" spans="1:4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/>
    </row>
    <row r="174" spans="1:4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/>
    </row>
    <row r="175" spans="1:4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/>
    </row>
    <row r="176" spans="1:4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/>
    </row>
    <row r="177" spans="1:4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/>
    </row>
    <row r="178" spans="1:4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/>
    </row>
    <row r="179" spans="1:4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/>
    </row>
    <row r="180" spans="1:4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/>
    </row>
    <row r="181" spans="1:4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/>
    </row>
    <row r="182" spans="1:4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/>
    </row>
    <row r="183" spans="1:4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/>
    </row>
    <row r="184" spans="1:4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/>
    </row>
    <row r="185" spans="1:4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/>
    </row>
    <row r="186" spans="1:4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/>
    </row>
    <row r="187" spans="1:4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/>
    </row>
    <row r="188" spans="1:4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/>
    </row>
    <row r="189" spans="1:4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/>
    </row>
    <row r="190" spans="1:4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/>
    </row>
    <row r="191" spans="1:4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/>
    </row>
    <row r="192" spans="1:4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/>
    </row>
    <row r="193" spans="1:4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/>
    </row>
    <row r="194" spans="1:4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/>
    </row>
    <row r="195" spans="1:4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/>
    </row>
    <row r="196" spans="1:4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/>
    </row>
    <row r="197" spans="1:4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/>
    </row>
    <row r="198" spans="1:4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/>
    </row>
    <row r="199" spans="1:4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/>
    </row>
    <row r="200" spans="1:4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/>
    </row>
    <row r="201" spans="1:4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/>
    </row>
    <row r="202" spans="1:4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/>
    </row>
    <row r="203" spans="1:4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/>
    </row>
    <row r="204" spans="1:4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/>
    </row>
    <row r="205" spans="1:4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/>
    </row>
    <row r="206" spans="1:4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/>
    </row>
    <row r="207" spans="1:4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/>
    </row>
    <row r="208" spans="1:4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/>
    </row>
    <row r="209" spans="1:4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/>
    </row>
    <row r="210" spans="1:4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/>
    </row>
    <row r="211" spans="1:4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/>
    </row>
    <row r="212" spans="1:4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/>
    </row>
    <row r="213" spans="1:4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/>
    </row>
    <row r="214" spans="1:4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/>
    </row>
    <row r="215" spans="1:4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/>
    </row>
    <row r="216" spans="1:4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/>
    </row>
    <row r="217" spans="1:4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/>
    </row>
    <row r="218" spans="1:4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/>
    </row>
    <row r="219" spans="1:4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/>
    </row>
    <row r="220" spans="1:4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/>
    </row>
    <row r="221" spans="1:4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/>
    </row>
    <row r="222" spans="1:4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/>
    </row>
    <row r="223" spans="1:4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/>
    </row>
    <row r="224" spans="1:4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/>
    </row>
    <row r="225" spans="1:4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/>
    </row>
    <row r="226" spans="1:4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/>
    </row>
    <row r="227" spans="1:4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/>
    </row>
    <row r="228" spans="1:4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/>
    </row>
    <row r="229" spans="1:4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/>
    </row>
    <row r="230" spans="1:4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/>
    </row>
    <row r="231" spans="1:4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/>
    </row>
    <row r="232" spans="1:4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/>
    </row>
    <row r="233" spans="1:4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/>
    </row>
    <row r="234" spans="1:4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/>
    </row>
    <row r="235" spans="1:4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/>
    </row>
    <row r="236" spans="1:4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/>
    </row>
    <row r="237" spans="1:4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/>
    </row>
    <row r="238" spans="1:4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/>
    </row>
    <row r="239" spans="1:4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/>
    </row>
    <row r="240" spans="1:4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/>
    </row>
    <row r="241" spans="1:4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/>
    </row>
    <row r="242" spans="1:4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/>
    </row>
    <row r="243" spans="1:4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/>
    </row>
    <row r="244" spans="1:4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/>
    </row>
    <row r="245" spans="1:4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/>
    </row>
    <row r="246" spans="1:4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/>
    </row>
    <row r="247" spans="1:4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/>
    </row>
    <row r="248" spans="1:4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/>
    </row>
    <row r="249" spans="1:4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/>
    </row>
    <row r="250" spans="1:4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/>
    </row>
    <row r="251" spans="1:4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/>
    </row>
    <row r="252" spans="1:4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/>
    </row>
    <row r="253" spans="1:4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/>
    </row>
    <row r="254" spans="1:4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/>
    </row>
    <row r="255" spans="1:4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/>
    </row>
    <row r="256" spans="1:4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/>
    </row>
    <row r="257" spans="1:4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/>
    </row>
    <row r="258" spans="1:4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/>
    </row>
    <row r="259" spans="1:4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/>
    </row>
    <row r="260" spans="1:4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/>
    </row>
    <row r="261" spans="1:4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/>
    </row>
    <row r="262" spans="1:4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/>
    </row>
    <row r="263" spans="1:4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/>
    </row>
    <row r="264" spans="1:4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/>
    </row>
    <row r="265" spans="1:4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/>
    </row>
    <row r="266" spans="1:4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/>
    </row>
    <row r="267" spans="1:4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/>
    </row>
    <row r="268" spans="1:4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/>
    </row>
    <row r="269" spans="1:4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/>
    </row>
    <row r="270" spans="1:4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/>
    </row>
    <row r="271" spans="1:4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/>
    </row>
    <row r="272" spans="1:4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/>
    </row>
    <row r="273" spans="1:4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/>
    </row>
    <row r="274" spans="1:4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/>
    </row>
    <row r="275" spans="1:4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/>
    </row>
    <row r="276" spans="1:4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/>
    </row>
    <row r="277" spans="1:4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/>
    </row>
    <row r="278" spans="1:4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/>
    </row>
    <row r="279" spans="1:4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/>
    </row>
    <row r="280" spans="1:4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/>
    </row>
    <row r="281" spans="1:4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/>
    </row>
    <row r="282" spans="1:4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/>
    </row>
    <row r="283" spans="1:4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/>
    </row>
    <row r="284" spans="1:4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/>
    </row>
    <row r="285" spans="1:4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/>
    </row>
    <row r="286" spans="1:4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/>
    </row>
    <row r="287" spans="1:4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/>
    </row>
    <row r="288" spans="1:4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/>
    </row>
    <row r="289" spans="1:4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/>
    </row>
    <row r="290" spans="1:4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/>
    </row>
    <row r="291" spans="1:4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/>
    </row>
    <row r="292" spans="1:4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/>
    </row>
    <row r="293" spans="1:4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/>
    </row>
    <row r="294" spans="1:4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/>
    </row>
    <row r="295" spans="1:4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/>
    </row>
    <row r="296" spans="1:4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/>
    </row>
    <row r="297" spans="1:4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/>
    </row>
    <row r="298" spans="1:4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/>
    </row>
    <row r="299" spans="1:4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/>
    </row>
    <row r="300" spans="1:4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/>
    </row>
    <row r="301" spans="1:4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/>
    </row>
    <row r="302" spans="1:4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/>
    </row>
    <row r="303" spans="1:4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/>
    </row>
    <row r="304" spans="1:4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/>
    </row>
    <row r="305" spans="1:4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/>
    </row>
    <row r="306" spans="1:4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/>
    </row>
    <row r="307" spans="1:4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/>
    </row>
    <row r="308" spans="1:4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/>
    </row>
    <row r="309" spans="1:4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/>
    </row>
    <row r="310" spans="1:4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/>
    </row>
    <row r="311" spans="1:4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/>
    </row>
    <row r="312" spans="1:4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/>
    </row>
    <row r="313" spans="1:4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/>
    </row>
    <row r="314" spans="1:4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/>
    </row>
    <row r="315" spans="1:4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/>
    </row>
    <row r="316" spans="1:4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/>
    </row>
    <row r="317" spans="1:4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/>
    </row>
    <row r="318" spans="1:4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/>
    </row>
    <row r="319" spans="1:4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/>
    </row>
    <row r="320" spans="1:4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/>
    </row>
    <row r="321" spans="1:4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/>
    </row>
    <row r="322" spans="1:4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/>
    </row>
    <row r="323" spans="1:4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/>
    </row>
    <row r="324" spans="1:4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/>
    </row>
    <row r="325" spans="1:4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/>
    </row>
    <row r="326" spans="1:4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/>
    </row>
    <row r="327" spans="1:4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/>
    </row>
    <row r="328" spans="1:4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/>
    </row>
    <row r="329" spans="1:4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/>
    </row>
    <row r="330" spans="1:4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/>
    </row>
    <row r="331" spans="1:4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/>
    </row>
    <row r="332" spans="1:4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/>
    </row>
    <row r="333" spans="1:4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/>
    </row>
    <row r="334" spans="1:4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/>
    </row>
    <row r="335" spans="1:4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/>
    </row>
    <row r="336" spans="1:4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/>
    </row>
    <row r="337" spans="1:4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/>
    </row>
    <row r="338" spans="1:4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/>
    </row>
    <row r="339" spans="1:4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/>
    </row>
    <row r="340" spans="1:4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/>
    </row>
    <row r="341" spans="1:4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/>
    </row>
    <row r="342" spans="1:4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/>
    </row>
    <row r="343" spans="1:4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/>
    </row>
    <row r="344" spans="1:4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/>
    </row>
    <row r="345" spans="1:4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/>
    </row>
    <row r="346" spans="1:4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/>
    </row>
    <row r="347" spans="1:4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/>
    </row>
    <row r="348" spans="1:4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/>
    </row>
    <row r="349" spans="1:4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/>
    </row>
    <row r="350" spans="1:4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/>
    </row>
    <row r="351" spans="1:4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/>
    </row>
    <row r="352" spans="1:4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/>
    </row>
    <row r="353" spans="1:4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/>
    </row>
    <row r="354" spans="1:4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/>
    </row>
    <row r="355" spans="1:4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/>
    </row>
    <row r="356" spans="1:4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/>
    </row>
    <row r="357" spans="1:4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/>
    </row>
    <row r="358" spans="1:4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/>
    </row>
    <row r="359" spans="1:4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/>
    </row>
    <row r="360" spans="1:4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/>
    </row>
    <row r="361" spans="1:4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/>
    </row>
    <row r="362" spans="1:4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/>
    </row>
    <row r="363" spans="1:4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/>
    </row>
    <row r="364" spans="1:4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/>
    </row>
    <row r="365" spans="1:4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/>
    </row>
    <row r="366" spans="1:4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/>
    </row>
    <row r="367" spans="1:4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/>
    </row>
    <row r="368" spans="1:4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/>
    </row>
    <row r="369" spans="1:4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/>
    </row>
    <row r="370" spans="1:4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/>
    </row>
    <row r="371" spans="1:4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/>
    </row>
    <row r="372" spans="1:4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/>
    </row>
    <row r="373" spans="1:4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/>
    </row>
    <row r="374" spans="1:4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/>
    </row>
    <row r="375" spans="1:4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/>
    </row>
    <row r="376" spans="1:4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/>
    </row>
    <row r="377" spans="1:4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/>
    </row>
    <row r="378" spans="1:4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/>
    </row>
    <row r="379" spans="1:4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/>
    </row>
    <row r="380" spans="1:4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/>
    </row>
    <row r="381" spans="1:4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/>
    </row>
    <row r="382" spans="1:4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/>
    </row>
    <row r="383" spans="1:4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/>
    </row>
    <row r="384" spans="1:4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/>
    </row>
    <row r="385" spans="1:4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/>
    </row>
    <row r="386" spans="1:4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/>
    </row>
    <row r="387" spans="1:4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/>
    </row>
    <row r="388" spans="1:4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/>
    </row>
    <row r="389" spans="1:4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/>
    </row>
    <row r="390" spans="1:4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/>
    </row>
    <row r="391" spans="1:4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/>
    </row>
    <row r="392" spans="1:4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/>
    </row>
    <row r="393" spans="1:4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/>
    </row>
    <row r="394" spans="1:4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/>
    </row>
    <row r="395" spans="1:4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/>
    </row>
    <row r="396" spans="1:4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/>
    </row>
    <row r="397" spans="1:4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/>
    </row>
    <row r="398" spans="1:4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/>
    </row>
    <row r="399" spans="1:4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/>
    </row>
    <row r="400" spans="1:4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/>
    </row>
    <row r="401" spans="1:4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/>
    </row>
    <row r="402" spans="1:4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/>
    </row>
    <row r="403" spans="1:4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/>
    </row>
    <row r="404" spans="1:4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/>
    </row>
    <row r="405" spans="1:4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/>
    </row>
    <row r="406" spans="1:4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/>
    </row>
    <row r="407" spans="1:4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/>
    </row>
    <row r="408" spans="1:4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/>
    </row>
    <row r="409" spans="1:4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/>
    </row>
    <row r="410" spans="1:4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/>
    </row>
    <row r="411" spans="1:4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/>
    </row>
    <row r="412" spans="1:4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/>
    </row>
    <row r="413" spans="1:4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/>
    </row>
    <row r="414" spans="1:4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/>
    </row>
    <row r="415" spans="1:4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/>
    </row>
    <row r="416" spans="1:4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/>
    </row>
    <row r="417" spans="1:4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/>
    </row>
    <row r="418" spans="1:4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/>
    </row>
    <row r="419" spans="1:4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/>
    </row>
    <row r="420" spans="1:4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/>
    </row>
    <row r="421" spans="1:4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/>
    </row>
    <row r="422" spans="1:4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/>
    </row>
    <row r="423" spans="1:4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/>
    </row>
    <row r="424" spans="1:4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/>
    </row>
    <row r="425" spans="1:4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/>
    </row>
    <row r="426" spans="1:4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/>
    </row>
    <row r="427" spans="1:4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/>
    </row>
    <row r="428" spans="1:4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/>
    </row>
    <row r="429" spans="1:4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/>
    </row>
    <row r="430" spans="1:4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/>
    </row>
    <row r="431" spans="1:4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/>
    </row>
    <row r="432" spans="1:4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/>
    </row>
    <row r="433" spans="1:4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/>
    </row>
    <row r="434" spans="1:4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/>
    </row>
    <row r="435" spans="1:4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/>
    </row>
    <row r="436" spans="1:4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/>
    </row>
    <row r="437" spans="1:4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/>
    </row>
    <row r="438" spans="1:4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/>
    </row>
    <row r="439" spans="1:4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/>
    </row>
    <row r="440" spans="1:4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/>
    </row>
    <row r="441" spans="1:4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/>
    </row>
    <row r="442" spans="1:4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/>
    </row>
    <row r="443" spans="1:4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/>
    </row>
    <row r="444" spans="1:4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/>
    </row>
    <row r="445" spans="1:4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/>
    </row>
    <row r="446" spans="1:4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/>
    </row>
    <row r="447" spans="1:4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/>
    </row>
    <row r="448" spans="1:4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/>
    </row>
    <row r="449" spans="1:4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/>
    </row>
    <row r="450" spans="1:4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/>
    </row>
    <row r="451" spans="1:4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/>
    </row>
    <row r="452" spans="1:4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/>
    </row>
    <row r="453" spans="1:4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/>
    </row>
    <row r="454" spans="1:4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/>
    </row>
    <row r="455" spans="1:4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/>
    </row>
    <row r="456" spans="1:4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/>
    </row>
    <row r="457" spans="1:4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/>
    </row>
    <row r="458" spans="1:4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/>
    </row>
    <row r="459" spans="1:4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/>
    </row>
    <row r="460" spans="1:4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/>
    </row>
    <row r="461" spans="1:4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/>
    </row>
    <row r="462" spans="1:4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/>
    </row>
    <row r="463" spans="1:4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/>
    </row>
    <row r="464" spans="1:4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/>
    </row>
    <row r="465" spans="1:4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/>
    </row>
    <row r="466" spans="1:4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/>
    </row>
    <row r="467" spans="1:4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/>
    </row>
    <row r="468" spans="1:4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/>
    </row>
    <row r="469" spans="1:4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/>
    </row>
    <row r="470" spans="1:4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/>
    </row>
    <row r="471" spans="1:4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/>
    </row>
    <row r="472" spans="1:4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/>
    </row>
    <row r="473" spans="1:4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/>
    </row>
    <row r="474" spans="1:4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/>
    </row>
    <row r="475" spans="1:4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/>
    </row>
    <row r="476" spans="1:4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/>
    </row>
    <row r="477" spans="1:4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/>
    </row>
    <row r="478" spans="1:4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/>
    </row>
    <row r="479" spans="1:4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/>
    </row>
    <row r="480" spans="1:4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/>
    </row>
    <row r="481" spans="1:4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/>
    </row>
    <row r="482" spans="1:4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/>
    </row>
    <row r="483" spans="1:4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/>
    </row>
    <row r="484" spans="1:4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/>
    </row>
    <row r="485" spans="1:4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/>
    </row>
    <row r="486" spans="1:4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/>
    </row>
    <row r="487" spans="1:4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/>
    </row>
    <row r="488" spans="1:4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/>
    </row>
    <row r="489" spans="1:4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/>
    </row>
    <row r="490" spans="1:4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/>
    </row>
    <row r="491" spans="1:4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/>
    </row>
    <row r="492" spans="1:4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/>
    </row>
    <row r="493" spans="1:4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/>
    </row>
    <row r="494" spans="1:4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/>
    </row>
    <row r="495" spans="1:4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/>
    </row>
    <row r="496" spans="1:4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/>
    </row>
    <row r="497" spans="1:4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/>
    </row>
    <row r="498" spans="1:4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/>
    </row>
    <row r="499" spans="1:4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/>
    </row>
    <row r="500" spans="1:4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/>
    </row>
    <row r="501" spans="1:4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/>
    </row>
    <row r="502" spans="1:4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/>
    </row>
    <row r="503" spans="1:4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/>
    </row>
    <row r="504" spans="1:4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/>
    </row>
    <row r="505" spans="1:4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/>
    </row>
    <row r="506" spans="1:4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/>
    </row>
    <row r="507" spans="1:4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/>
    </row>
    <row r="508" spans="1:4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/>
    </row>
    <row r="509" spans="1:4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/>
    </row>
    <row r="510" spans="1:4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/>
    </row>
    <row r="511" spans="1:4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/>
    </row>
    <row r="512" spans="1:4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/>
    </row>
    <row r="513" spans="1:4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/>
    </row>
    <row r="514" spans="1:4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/>
    </row>
    <row r="515" spans="1:4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/>
    </row>
    <row r="516" spans="1:4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/>
    </row>
    <row r="517" spans="1:4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/>
    </row>
    <row r="518" spans="1:4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/>
    </row>
    <row r="519" spans="1:4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/>
    </row>
    <row r="520" spans="1:4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/>
    </row>
    <row r="521" spans="1:4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/>
    </row>
    <row r="522" spans="1:4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/>
    </row>
    <row r="523" spans="1:4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/>
    </row>
    <row r="524" spans="1:4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/>
    </row>
    <row r="525" spans="1:4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/>
    </row>
    <row r="526" spans="1:4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/>
    </row>
    <row r="527" spans="1:4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/>
    </row>
    <row r="528" spans="1:4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/>
    </row>
    <row r="529" spans="1:4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/>
    </row>
    <row r="530" spans="1:4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/>
    </row>
    <row r="531" spans="1:4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/>
    </row>
    <row r="532" spans="1:4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/>
    </row>
    <row r="533" spans="1:4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/>
    </row>
    <row r="534" spans="1:4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/>
    </row>
    <row r="535" spans="1:4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/>
    </row>
    <row r="536" spans="1:4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/>
    </row>
    <row r="537" spans="1:4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/>
    </row>
    <row r="538" spans="1:4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/>
    </row>
    <row r="539" spans="1:4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/>
    </row>
    <row r="540" spans="1:4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/>
    </row>
    <row r="541" spans="1:4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/>
    </row>
    <row r="542" spans="1:4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/>
    </row>
    <row r="543" spans="1:4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/>
    </row>
    <row r="544" spans="1:4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/>
    </row>
    <row r="545" spans="1:4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/>
    </row>
    <row r="546" spans="1:4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/>
    </row>
    <row r="547" spans="1:4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/>
    </row>
    <row r="548" spans="1:4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/>
    </row>
    <row r="549" spans="1:4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/>
    </row>
    <row r="550" spans="1:4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/>
    </row>
    <row r="551" spans="1:4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/>
    </row>
    <row r="552" spans="1:4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/>
    </row>
    <row r="553" spans="1:4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/>
    </row>
    <row r="554" spans="1:4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/>
    </row>
    <row r="555" spans="1:4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/>
    </row>
    <row r="556" spans="1:4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/>
    </row>
    <row r="557" spans="1:4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/>
    </row>
    <row r="558" spans="1:4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/>
    </row>
    <row r="559" spans="1:4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/>
    </row>
    <row r="560" spans="1:4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/>
    </row>
    <row r="561" spans="1:4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/>
    </row>
    <row r="562" spans="1:4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/>
    </row>
    <row r="563" spans="1:4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/>
    </row>
    <row r="564" spans="1:4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/>
    </row>
    <row r="565" spans="1:4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/>
    </row>
    <row r="566" spans="1:4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/>
    </row>
    <row r="567" spans="1:4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/>
    </row>
    <row r="568" spans="1:4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/>
    </row>
    <row r="569" spans="1:4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/>
    </row>
    <row r="570" spans="1:4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/>
    </row>
    <row r="571" spans="1:4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/>
    </row>
    <row r="572" spans="1:4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/>
    </row>
    <row r="573" spans="1:4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/>
    </row>
    <row r="574" spans="1:4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/>
    </row>
    <row r="575" spans="1:4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/>
    </row>
    <row r="576" spans="1:4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/>
    </row>
    <row r="577" spans="1:4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/>
    </row>
    <row r="578" spans="1:4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/>
    </row>
    <row r="579" spans="1:4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/>
    </row>
    <row r="580" spans="1:4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/>
    </row>
    <row r="581" spans="1:4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/>
    </row>
    <row r="582" spans="1:4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/>
    </row>
    <row r="583" spans="1:4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/>
    </row>
    <row r="584" spans="1:4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/>
    </row>
    <row r="585" spans="1:4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/>
    </row>
    <row r="586" spans="1:4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/>
    </row>
    <row r="587" spans="1:4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/>
    </row>
    <row r="588" spans="1:4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/>
    </row>
    <row r="589" spans="1:4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/>
    </row>
    <row r="590" spans="1:4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/>
    </row>
    <row r="591" spans="1:4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/>
    </row>
    <row r="592" spans="1:4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/>
    </row>
    <row r="593" spans="1:4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/>
    </row>
    <row r="594" spans="1:4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/>
    </row>
    <row r="595" spans="1:4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/>
    </row>
    <row r="596" spans="1:4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/>
    </row>
    <row r="597" spans="1:4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/>
    </row>
    <row r="598" spans="1:4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/>
    </row>
    <row r="599" spans="1:4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/>
    </row>
    <row r="600" spans="1:4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/>
    </row>
    <row r="601" spans="1:4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/>
    </row>
    <row r="602" spans="1:4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/>
    </row>
    <row r="603" spans="1:4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/>
    </row>
    <row r="604" spans="1:4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/>
    </row>
    <row r="605" spans="1:4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/>
    </row>
    <row r="606" spans="1:4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/>
    </row>
    <row r="607" spans="1:4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/>
    </row>
    <row r="608" spans="1:4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/>
    </row>
    <row r="609" spans="1:4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/>
    </row>
    <row r="610" spans="1:4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/>
    </row>
    <row r="611" spans="1:4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/>
    </row>
    <row r="612" spans="1:4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/>
    </row>
    <row r="613" spans="1:4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/>
    </row>
    <row r="614" spans="1:4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/>
    </row>
    <row r="615" spans="1:4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/>
    </row>
    <row r="616" spans="1:4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/>
    </row>
    <row r="617" spans="1:4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/>
    </row>
    <row r="618" spans="1:4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/>
    </row>
    <row r="619" spans="1:4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/>
    </row>
    <row r="620" spans="1:4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/>
    </row>
    <row r="621" spans="1:4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/>
    </row>
    <row r="622" spans="1:4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/>
    </row>
    <row r="623" spans="1:4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/>
    </row>
    <row r="624" spans="1:4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/>
    </row>
    <row r="625" spans="1:4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/>
    </row>
    <row r="626" spans="1:4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/>
    </row>
    <row r="627" spans="1:4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/>
    </row>
    <row r="628" spans="1:4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/>
    </row>
    <row r="629" spans="1:4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/>
    </row>
    <row r="630" spans="1:4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/>
    </row>
    <row r="631" spans="1:4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/>
    </row>
    <row r="632" spans="1:4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/>
    </row>
    <row r="633" spans="1:4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/>
    </row>
    <row r="634" spans="1:4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/>
    </row>
    <row r="635" spans="1:4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/>
    </row>
    <row r="636" spans="1:4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/>
    </row>
    <row r="637" spans="1:4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/>
    </row>
    <row r="638" spans="1:4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/>
    </row>
    <row r="639" spans="1:4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/>
    </row>
    <row r="640" spans="1:4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/>
    </row>
    <row r="641" spans="1:4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/>
    </row>
    <row r="642" spans="1:4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/>
    </row>
    <row r="643" spans="1:4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/>
    </row>
    <row r="644" spans="1:4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/>
    </row>
    <row r="645" spans="1:4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/>
    </row>
    <row r="646" spans="1:4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/>
    </row>
    <row r="647" spans="1:4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/>
    </row>
    <row r="648" spans="1:4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/>
    </row>
    <row r="649" spans="1:4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/>
    </row>
    <row r="650" spans="1:4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/>
    </row>
    <row r="651" spans="1:4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/>
    </row>
    <row r="652" spans="1:4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/>
    </row>
    <row r="653" spans="1:4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/>
    </row>
    <row r="654" spans="1:4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/>
    </row>
    <row r="655" spans="1:4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/>
    </row>
    <row r="656" spans="1:4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/>
    </row>
    <row r="657" spans="1:4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/>
    </row>
    <row r="658" spans="1:4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/>
    </row>
    <row r="659" spans="1:4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/>
    </row>
    <row r="660" spans="1:4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/>
    </row>
    <row r="661" spans="1:4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/>
    </row>
    <row r="662" spans="1:4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/>
    </row>
    <row r="663" spans="1:4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/>
    </row>
    <row r="664" spans="1:4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/>
    </row>
    <row r="665" spans="1:4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/>
    </row>
    <row r="666" spans="1:4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/>
    </row>
    <row r="667" spans="1:4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/>
    </row>
    <row r="668" spans="1:4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/>
    </row>
    <row r="669" spans="1:4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/>
    </row>
    <row r="670" spans="1:4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/>
    </row>
    <row r="671" spans="1:4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/>
    </row>
    <row r="672" spans="1:4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/>
    </row>
    <row r="673" spans="1:4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/>
    </row>
    <row r="674" spans="1:4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/>
    </row>
    <row r="675" spans="1:4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/>
    </row>
    <row r="676" spans="1:4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/>
    </row>
    <row r="677" spans="1:4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/>
    </row>
    <row r="678" spans="1:4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/>
    </row>
    <row r="679" spans="1:4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/>
    </row>
    <row r="680" spans="1:4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/>
    </row>
    <row r="681" spans="1:4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/>
    </row>
    <row r="682" spans="1:4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/>
    </row>
    <row r="683" spans="1:4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/>
    </row>
    <row r="684" spans="1:4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/>
    </row>
    <row r="685" spans="1:4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/>
    </row>
    <row r="686" spans="1:4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/>
    </row>
    <row r="687" spans="1:4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/>
    </row>
    <row r="688" spans="1:4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/>
    </row>
    <row r="689" spans="1:4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/>
    </row>
    <row r="690" spans="1:4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/>
    </row>
    <row r="691" spans="1:4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/>
    </row>
    <row r="692" spans="1:4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/>
    </row>
    <row r="693" spans="1:4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/>
    </row>
    <row r="694" spans="1:4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/>
    </row>
    <row r="695" spans="1:4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/>
    </row>
    <row r="696" spans="1:4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/>
    </row>
    <row r="697" spans="1:4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/>
    </row>
    <row r="698" spans="1:4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/>
    </row>
    <row r="699" spans="1:4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/>
    </row>
    <row r="700" spans="1:4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/>
    </row>
    <row r="701" spans="1:4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/>
    </row>
    <row r="702" spans="1:4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/>
    </row>
    <row r="703" spans="1:4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/>
    </row>
    <row r="704" spans="1:4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/>
    </row>
    <row r="705" spans="1:4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/>
    </row>
    <row r="706" spans="1:4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/>
    </row>
    <row r="707" spans="1:4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/>
    </row>
    <row r="708" spans="1:4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/>
    </row>
    <row r="709" spans="1:4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/>
    </row>
    <row r="710" spans="1:4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/>
    </row>
    <row r="711" spans="1:4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/>
    </row>
    <row r="712" spans="1:4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/>
    </row>
    <row r="713" spans="1:4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/>
    </row>
    <row r="714" spans="1:4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/>
    </row>
    <row r="715" spans="1:4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/>
    </row>
    <row r="716" spans="1:4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/>
    </row>
    <row r="717" spans="1:4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/>
    </row>
    <row r="718" spans="1:4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/>
    </row>
    <row r="719" spans="1:4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/>
    </row>
    <row r="720" spans="1:4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/>
    </row>
    <row r="721" spans="1:4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/>
    </row>
    <row r="722" spans="1:4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/>
    </row>
    <row r="723" spans="1:4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/>
    </row>
    <row r="724" spans="1:4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/>
    </row>
    <row r="725" spans="1:4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/>
    </row>
    <row r="726" spans="1:4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/>
    </row>
    <row r="727" spans="1:4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/>
    </row>
    <row r="728" spans="1:4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/>
    </row>
    <row r="729" spans="1:4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/>
    </row>
    <row r="730" spans="1:4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/>
    </row>
    <row r="731" spans="1:4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/>
    </row>
    <row r="732" spans="1:4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/>
    </row>
    <row r="733" spans="1:4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/>
    </row>
    <row r="734" spans="1:4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/>
    </row>
    <row r="735" spans="1:4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/>
    </row>
    <row r="736" spans="1:4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/>
    </row>
    <row r="737" spans="1:4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/>
    </row>
    <row r="738" spans="1:4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/>
    </row>
    <row r="739" spans="1:4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/>
    </row>
    <row r="740" spans="1:4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/>
    </row>
    <row r="741" spans="1:4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/>
    </row>
    <row r="742" spans="1:4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/>
    </row>
    <row r="743" spans="1:4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/>
    </row>
    <row r="744" spans="1:4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/>
    </row>
    <row r="745" spans="1:4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/>
    </row>
    <row r="746" spans="1:4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/>
    </row>
    <row r="747" spans="1:4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/>
    </row>
    <row r="748" spans="1:4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/>
    </row>
    <row r="749" spans="1:4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/>
    </row>
    <row r="750" spans="1:4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/>
    </row>
    <row r="751" spans="1:4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/>
    </row>
    <row r="752" spans="1:4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/>
    </row>
    <row r="753" spans="1:4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/>
    </row>
    <row r="754" spans="1:4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/>
    </row>
    <row r="755" spans="1:4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/>
    </row>
    <row r="756" spans="1:4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/>
    </row>
    <row r="757" spans="1:4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/>
    </row>
    <row r="758" spans="1:4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/>
    </row>
    <row r="759" spans="1:4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/>
    </row>
    <row r="760" spans="1:4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/>
    </row>
    <row r="761" spans="1:4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/>
    </row>
    <row r="762" spans="1:4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/>
    </row>
    <row r="763" spans="1:4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/>
    </row>
    <row r="764" spans="1:4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/>
    </row>
    <row r="765" spans="1:4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/>
    </row>
    <row r="766" spans="1:4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/>
    </row>
    <row r="767" spans="1:4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/>
    </row>
    <row r="768" spans="1:4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/>
    </row>
    <row r="769" spans="1:4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/>
    </row>
    <row r="770" spans="1:4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/>
    </row>
    <row r="771" spans="1:4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/>
    </row>
    <row r="772" spans="1:4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/>
    </row>
    <row r="773" spans="1:4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/>
    </row>
    <row r="774" spans="1:4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/>
    </row>
    <row r="775" spans="1:4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/>
    </row>
    <row r="776" spans="1:4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/>
    </row>
    <row r="777" spans="1:4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/>
    </row>
    <row r="778" spans="1:4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/>
    </row>
    <row r="779" spans="1:4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/>
    </row>
    <row r="780" spans="1:4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/>
    </row>
    <row r="781" spans="1:4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/>
    </row>
    <row r="782" spans="1:4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/>
    </row>
    <row r="783" spans="1:4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/>
    </row>
    <row r="784" spans="1:4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/>
    </row>
    <row r="785" spans="1:4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/>
    </row>
    <row r="786" spans="1:4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/>
    </row>
    <row r="787" spans="1:4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/>
    </row>
    <row r="788" spans="1:4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/>
    </row>
    <row r="789" spans="1:4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/>
    </row>
    <row r="790" spans="1:4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/>
    </row>
    <row r="791" spans="1:4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/>
    </row>
    <row r="792" spans="1:4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/>
    </row>
    <row r="793" spans="1:4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/>
    </row>
    <row r="794" spans="1:4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/>
    </row>
    <row r="795" spans="1:4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/>
    </row>
    <row r="796" spans="1:4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/>
    </row>
    <row r="797" spans="1:4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/>
    </row>
    <row r="798" spans="1:4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/>
    </row>
    <row r="799" spans="1:4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/>
    </row>
    <row r="800" spans="1:4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/>
    </row>
    <row r="801" spans="1:4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/>
    </row>
    <row r="802" spans="1:4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/>
    </row>
    <row r="803" spans="1:4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/>
    </row>
    <row r="804" spans="1:4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/>
    </row>
    <row r="805" spans="1:4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/>
    </row>
    <row r="806" spans="1:4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/>
    </row>
    <row r="807" spans="1:4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/>
    </row>
    <row r="808" spans="1:4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/>
    </row>
    <row r="809" spans="1:4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/>
    </row>
    <row r="810" spans="1:4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/>
    </row>
    <row r="811" spans="1:4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/>
    </row>
    <row r="812" spans="1:4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/>
    </row>
    <row r="813" spans="1:4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/>
    </row>
    <row r="814" spans="1:4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/>
    </row>
    <row r="815" spans="1:4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/>
    </row>
    <row r="816" spans="1:4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/>
    </row>
    <row r="817" spans="1:4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/>
    </row>
    <row r="818" spans="1:4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/>
    </row>
    <row r="819" spans="1:4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/>
    </row>
    <row r="820" spans="1:4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/>
    </row>
    <row r="821" spans="1:4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/>
    </row>
    <row r="822" spans="1:4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/>
    </row>
    <row r="823" spans="1:4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/>
    </row>
    <row r="824" spans="1:4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/>
    </row>
    <row r="825" spans="1:4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/>
    </row>
    <row r="826" spans="1:4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/>
    </row>
    <row r="827" spans="1:4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/>
    </row>
    <row r="828" spans="1:4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/>
    </row>
    <row r="829" spans="1:4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/>
    </row>
    <row r="830" spans="1:4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/>
    </row>
    <row r="831" spans="1:4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/>
    </row>
    <row r="832" spans="1:4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/>
    </row>
    <row r="833" spans="1:4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/>
    </row>
    <row r="834" spans="1:4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/>
    </row>
    <row r="835" spans="1:4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/>
    </row>
    <row r="836" spans="1:4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/>
    </row>
    <row r="837" spans="1:4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/>
    </row>
    <row r="838" spans="1:4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/>
    </row>
    <row r="839" spans="1:4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/>
    </row>
    <row r="840" spans="1:4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/>
    </row>
    <row r="841" spans="1:4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/>
    </row>
    <row r="842" spans="1:4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/>
    </row>
    <row r="843" spans="1:4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/>
    </row>
    <row r="844" spans="1:4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/>
    </row>
    <row r="845" spans="1:4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/>
    </row>
    <row r="846" spans="1:4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/>
    </row>
    <row r="847" spans="1:4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/>
    </row>
    <row r="848" spans="1:4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/>
    </row>
    <row r="849" spans="1:4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/>
    </row>
    <row r="850" spans="1:4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/>
    </row>
    <row r="851" spans="1:4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/>
    </row>
    <row r="852" spans="1:4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/>
    </row>
    <row r="853" spans="1:4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/>
    </row>
    <row r="854" spans="1:4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/>
    </row>
    <row r="855" spans="1:4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/>
    </row>
    <row r="856" spans="1:4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/>
    </row>
    <row r="857" spans="1:4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/>
    </row>
    <row r="858" spans="1:4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/>
    </row>
    <row r="859" spans="1:4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/>
    </row>
    <row r="860" spans="1:4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/>
    </row>
    <row r="861" spans="1:4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/>
    </row>
    <row r="862" spans="1:4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/>
    </row>
    <row r="863" spans="1:4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/>
    </row>
    <row r="864" spans="1:4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/>
    </row>
    <row r="865" spans="1:4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/>
    </row>
    <row r="866" spans="1:4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/>
    </row>
    <row r="867" spans="1:4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/>
    </row>
    <row r="868" spans="1:4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/>
    </row>
    <row r="869" spans="1:4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/>
    </row>
    <row r="870" spans="1:4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/>
    </row>
    <row r="871" spans="1:4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/>
    </row>
    <row r="872" spans="1:4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/>
    </row>
    <row r="873" spans="1:4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/>
    </row>
    <row r="874" spans="1:4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/>
    </row>
    <row r="875" spans="1:4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/>
    </row>
    <row r="876" spans="1:4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/>
    </row>
    <row r="877" spans="1:4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/>
    </row>
    <row r="878" spans="1:4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/>
    </row>
    <row r="879" spans="1:4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/>
    </row>
    <row r="880" spans="1:4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/>
    </row>
    <row r="881" spans="1:4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/>
    </row>
    <row r="882" spans="1:4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/>
    </row>
    <row r="883" spans="1:4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/>
    </row>
    <row r="884" spans="1:4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/>
    </row>
    <row r="885" spans="1:4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/>
    </row>
    <row r="886" spans="1:4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/>
    </row>
    <row r="887" spans="1:4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/>
    </row>
    <row r="888" spans="1:4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/>
    </row>
    <row r="889" spans="1:4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/>
    </row>
    <row r="890" spans="1:4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/>
    </row>
    <row r="891" spans="1:4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/>
    </row>
    <row r="892" spans="1:4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/>
    </row>
    <row r="893" spans="1:4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/>
    </row>
    <row r="894" spans="1:4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/>
    </row>
    <row r="895" spans="1:4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/>
    </row>
    <row r="896" spans="1:4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/>
    </row>
    <row r="897" spans="1:4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/>
    </row>
    <row r="898" spans="1:4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/>
    </row>
    <row r="899" spans="1:4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/>
    </row>
    <row r="900" spans="1:4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/>
    </row>
    <row r="901" spans="1:4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/>
    </row>
    <row r="902" spans="1:4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/>
    </row>
    <row r="903" spans="1:4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/>
    </row>
    <row r="904" spans="1:4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/>
    </row>
    <row r="905" spans="1:4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/>
    </row>
    <row r="906" spans="1:4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/>
    </row>
    <row r="907" spans="1:4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/>
    </row>
    <row r="908" spans="1:4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/>
    </row>
    <row r="909" spans="1:4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/>
    </row>
    <row r="910" spans="1:4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/>
    </row>
    <row r="911" spans="1:4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/>
    </row>
    <row r="912" spans="1:4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/>
    </row>
    <row r="913" spans="1:4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/>
    </row>
    <row r="914" spans="1:4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/>
    </row>
    <row r="915" spans="1:4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/>
    </row>
    <row r="916" spans="1:4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/>
    </row>
    <row r="917" spans="1:4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/>
    </row>
    <row r="918" spans="1:4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/>
    </row>
    <row r="919" spans="1:4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/>
    </row>
    <row r="920" spans="1:4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/>
    </row>
    <row r="921" spans="1:4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/>
    </row>
    <row r="922" spans="1:4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/>
    </row>
    <row r="923" spans="1:4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/>
    </row>
    <row r="924" spans="1:4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/>
    </row>
    <row r="925" spans="1:4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/>
    </row>
    <row r="926" spans="1:4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/>
    </row>
    <row r="927" spans="1:4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/>
    </row>
    <row r="928" spans="1:4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/>
    </row>
    <row r="929" spans="1:4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/>
    </row>
    <row r="930" spans="1:4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/>
    </row>
    <row r="931" spans="1:4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/>
    </row>
    <row r="932" spans="1:4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/>
    </row>
    <row r="933" spans="1:4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/>
    </row>
    <row r="934" spans="1:4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/>
    </row>
    <row r="935" spans="1:4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/>
    </row>
    <row r="936" spans="1:4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/>
    </row>
    <row r="937" spans="1:4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/>
    </row>
    <row r="938" spans="1:4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/>
    </row>
    <row r="939" spans="1:4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/>
    </row>
    <row r="940" spans="1:4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/>
    </row>
    <row r="941" spans="1:4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/>
    </row>
    <row r="942" spans="1:4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/>
    </row>
    <row r="943" spans="1:4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/>
    </row>
    <row r="944" spans="1:4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/>
    </row>
    <row r="945" spans="1:4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/>
    </row>
    <row r="946" spans="1:4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/>
    </row>
    <row r="947" spans="1:4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/>
    </row>
    <row r="948" spans="1:4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/>
    </row>
    <row r="949" spans="1:4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/>
    </row>
    <row r="950" spans="1:4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/>
    </row>
    <row r="951" spans="1:4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/>
    </row>
    <row r="952" spans="1:4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/>
    </row>
    <row r="953" spans="1:4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/>
    </row>
    <row r="954" spans="1:4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/>
    </row>
    <row r="955" spans="1:4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/>
    </row>
    <row r="956" spans="1:4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/>
    </row>
    <row r="957" spans="1:4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/>
    </row>
    <row r="958" spans="1:4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/>
    </row>
    <row r="959" spans="1:4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/>
    </row>
    <row r="960" spans="1:4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/>
    </row>
    <row r="961" spans="1:4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/>
    </row>
    <row r="962" spans="1:4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/>
    </row>
    <row r="963" spans="1:4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/>
    </row>
    <row r="964" spans="1:4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/>
    </row>
    <row r="965" spans="1:4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/>
    </row>
    <row r="966" spans="1:4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/>
    </row>
    <row r="967" spans="1:4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/>
    </row>
    <row r="968" spans="1:4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/>
    </row>
    <row r="969" spans="1:4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/>
    </row>
    <row r="970" spans="1:4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/>
    </row>
    <row r="971" spans="1:4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/>
    </row>
    <row r="972" spans="1:4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/>
    </row>
    <row r="973" spans="1:4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/>
    </row>
    <row r="974" spans="1:4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/>
    </row>
    <row r="975" spans="1:4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/>
    </row>
    <row r="976" spans="1:4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/>
    </row>
    <row r="977" spans="1:4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/>
    </row>
    <row r="978" spans="1:4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/>
    </row>
    <row r="979" spans="1:4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/>
    </row>
    <row r="980" spans="1:4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/>
    </row>
    <row r="981" spans="1:4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/>
    </row>
    <row r="982" spans="1:4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/>
    </row>
    <row r="983" spans="1:4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/>
    </row>
    <row r="984" spans="1:4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/>
    </row>
    <row r="985" spans="1:4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/>
    </row>
    <row r="986" spans="1:4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/>
    </row>
    <row r="987" spans="1:4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/>
    </row>
    <row r="988" spans="1:4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/>
    </row>
    <row r="989" spans="1:4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/>
    </row>
    <row r="990" spans="1:4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/>
    </row>
    <row r="991" spans="1:4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/>
    </row>
    <row r="992" spans="1:4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/>
    </row>
    <row r="993" spans="1:4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/>
    </row>
    <row r="994" spans="1:4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/>
    </row>
    <row r="995" spans="1:4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/>
    </row>
    <row r="996" spans="1:4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/>
    </row>
    <row r="997" spans="1:4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/>
    </row>
    <row r="998" spans="1:4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/>
    </row>
    <row r="999" spans="1:4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/>
    </row>
    <row r="1000" spans="1:4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/>
    </row>
    <row r="1001" spans="1:4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/>
    </row>
    <row r="1002" spans="1:4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/>
    </row>
    <row r="1003" spans="1:4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/>
    </row>
    <row r="1004" spans="1:4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/>
    </row>
    <row r="1005" spans="1:4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/>
    </row>
    <row r="1006" spans="1:4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/>
    </row>
    <row r="1007" spans="1:4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/>
    </row>
    <row r="1008" spans="1:4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/>
    </row>
    <row r="1009" spans="1:4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/>
    </row>
    <row r="1010" spans="1:4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/>
    </row>
    <row r="1011" spans="1:4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/>
    </row>
    <row r="1012" spans="1:4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/>
    </row>
    <row r="1013" spans="1:4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/>
    </row>
    <row r="1014" spans="1:4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/>
    </row>
    <row r="1015" spans="1:4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/>
    </row>
    <row r="1016" spans="1:4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/>
    </row>
    <row r="1017" spans="1:4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/>
    </row>
    <row r="1018" spans="1:4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/>
    </row>
    <row r="1019" spans="1:4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/>
    </row>
    <row r="1020" spans="1:4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/>
    </row>
    <row r="1021" spans="1:4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/>
    </row>
    <row r="1022" spans="1:4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/>
    </row>
    <row r="1023" spans="1:4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/>
    </row>
    <row r="1024" spans="1:4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/>
    </row>
    <row r="1025" spans="1:4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/>
    </row>
    <row r="1026" spans="1:4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/>
    </row>
    <row r="1027" spans="1:4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/>
    </row>
    <row r="1028" spans="1:4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/>
    </row>
    <row r="1029" spans="1:4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/>
    </row>
    <row r="1030" spans="1:4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/>
    </row>
    <row r="1031" spans="1:4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/>
    </row>
    <row r="1032" spans="1:4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/>
    </row>
    <row r="1033" spans="1:4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/>
    </row>
    <row r="1034" spans="1:4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/>
    </row>
    <row r="1035" spans="1:4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/>
    </row>
    <row r="1036" spans="1:4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/>
    </row>
    <row r="1037" spans="1:4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/>
    </row>
    <row r="1038" spans="1:4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/>
    </row>
    <row r="1039" spans="1:4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/>
    </row>
    <row r="1040" spans="1:4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/>
    </row>
    <row r="1041" spans="1:4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/>
    </row>
    <row r="1042" spans="1:4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/>
    </row>
    <row r="1043" spans="1:4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/>
    </row>
    <row r="1044" spans="1:4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/>
    </row>
    <row r="1045" spans="1:4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/>
    </row>
    <row r="1046" spans="1:4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/>
    </row>
    <row r="1047" spans="1:4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/>
    </row>
    <row r="1048" spans="1:4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/>
    </row>
    <row r="1049" spans="1:4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/>
    </row>
    <row r="1050" spans="1:4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/>
    </row>
    <row r="1051" spans="1:4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/>
    </row>
    <row r="1052" spans="1:4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/>
    </row>
    <row r="1053" spans="1:4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/>
    </row>
    <row r="1054" spans="1:4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/>
    </row>
    <row r="1055" spans="1:4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/>
    </row>
    <row r="1056" spans="1:4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/>
    </row>
    <row r="1057" spans="1:4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/>
    </row>
    <row r="1058" spans="1:4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/>
    </row>
    <row r="1059" spans="1:4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/>
    </row>
    <row r="1060" spans="1:4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/>
    </row>
    <row r="1061" spans="1:4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/>
    </row>
    <row r="1062" spans="1:4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/>
    </row>
    <row r="1063" spans="1:4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/>
    </row>
    <row r="1064" spans="1:4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/>
    </row>
    <row r="1065" spans="1:4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/>
    </row>
    <row r="1066" spans="1:4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/>
    </row>
    <row r="1067" spans="1:4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/>
    </row>
    <row r="1068" spans="1:4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/>
    </row>
    <row r="1069" spans="1:4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/>
    </row>
    <row r="1070" spans="1:4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/>
    </row>
    <row r="1071" spans="1:4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/>
    </row>
    <row r="1072" spans="1:4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/>
    </row>
    <row r="1073" spans="1:4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/>
    </row>
    <row r="1074" spans="1:4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/>
    </row>
    <row r="1075" spans="1:4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/>
    </row>
    <row r="1076" spans="1:4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/>
    </row>
    <row r="1077" spans="1:4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/>
    </row>
    <row r="1078" spans="1:4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/>
    </row>
    <row r="1079" spans="1:4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/>
    </row>
    <row r="1080" spans="1:4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/>
    </row>
    <row r="1081" spans="1:4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/>
    </row>
    <row r="1082" spans="1:4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/>
    </row>
    <row r="1083" spans="1:4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/>
    </row>
    <row r="1084" spans="1:4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/>
    </row>
    <row r="1085" spans="1:4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/>
    </row>
    <row r="1086" spans="1:4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/>
    </row>
    <row r="1087" spans="1:4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/>
    </row>
    <row r="1088" spans="1:4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/>
    </row>
    <row r="1089" spans="1:4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/>
    </row>
    <row r="1090" spans="1:4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/>
    </row>
    <row r="1091" spans="1:4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/>
    </row>
    <row r="1092" spans="1:4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/>
    </row>
    <row r="1093" spans="1:4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/>
    </row>
    <row r="1094" spans="1:4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/>
    </row>
    <row r="1095" spans="1:4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/>
    </row>
    <row r="1096" spans="1:4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/>
    </row>
    <row r="1097" spans="1:4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/>
    </row>
    <row r="1098" spans="1:4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/>
    </row>
    <row r="1099" spans="1:4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/>
    </row>
    <row r="1100" spans="1:4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/>
    </row>
    <row r="1101" spans="1:4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/>
    </row>
    <row r="1102" spans="1:4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/>
    </row>
    <row r="1103" spans="1:4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/>
    </row>
    <row r="1104" spans="1:4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/>
    </row>
    <row r="1105" spans="1:4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/>
    </row>
    <row r="1106" spans="1:4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/>
    </row>
    <row r="1107" spans="1:4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/>
    </row>
    <row r="1108" spans="1:4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/>
    </row>
    <row r="1109" spans="1:4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/>
    </row>
    <row r="1110" spans="1:4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/>
    </row>
    <row r="1111" spans="1:4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/>
    </row>
    <row r="1112" spans="1:4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/>
    </row>
    <row r="1113" spans="1:4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/>
    </row>
    <row r="1114" spans="1:4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/>
    </row>
    <row r="1115" spans="1:4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/>
    </row>
    <row r="1116" spans="1:4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/>
    </row>
    <row r="1117" spans="1:4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/>
    </row>
    <row r="1118" spans="1:4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/>
    </row>
    <row r="1119" spans="1:4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/>
    </row>
    <row r="1120" spans="1:4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/>
    </row>
    <row r="1121" spans="1:4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/>
    </row>
    <row r="1122" spans="1:4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/>
    </row>
    <row r="1123" spans="1:4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/>
    </row>
    <row r="1124" spans="1:4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/>
    </row>
    <row r="1125" spans="1:4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/>
    </row>
    <row r="1126" spans="1:4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/>
    </row>
    <row r="1127" spans="1:4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/>
    </row>
    <row r="1128" spans="1:4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/>
    </row>
    <row r="1129" spans="1:4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/>
    </row>
    <row r="1130" spans="1:4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/>
    </row>
    <row r="1131" spans="1:4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/>
    </row>
    <row r="1132" spans="1:4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/>
    </row>
    <row r="1133" spans="1:4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/>
    </row>
    <row r="1134" spans="1:4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/>
    </row>
    <row r="1135" spans="1:4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/>
    </row>
    <row r="1136" spans="1:4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/>
    </row>
    <row r="1137" spans="1:4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/>
    </row>
    <row r="1138" spans="1:4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/>
    </row>
    <row r="1139" spans="1:4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/>
    </row>
    <row r="1140" spans="1:4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/>
    </row>
    <row r="1141" spans="1:4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/>
    </row>
    <row r="1142" spans="1:4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/>
    </row>
    <row r="1143" spans="1:4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/>
    </row>
    <row r="1144" spans="1:4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/>
    </row>
    <row r="1145" spans="1:4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/>
    </row>
    <row r="1146" spans="1:4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/>
    </row>
    <row r="1147" spans="1:4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/>
    </row>
    <row r="1148" spans="1:4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/>
    </row>
    <row r="1149" spans="1:4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/>
    </row>
    <row r="1150" spans="1:4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/>
    </row>
    <row r="1151" spans="1:4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/>
    </row>
    <row r="1152" spans="1:4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/>
    </row>
    <row r="1153" spans="3:4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/>
    </row>
    <row r="1154" spans="3:4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/>
    </row>
  </sheetData>
  <mergeCells count="1">
    <mergeCell ref="A1:A2"/>
  </mergeCells>
  <conditionalFormatting sqref="J7:AU7">
    <cfRule type="expression" dxfId="977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topLeftCell="BS1" zoomScale="85" zoomScaleNormal="85" workbookViewId="0">
      <pane ySplit="4" topLeftCell="A5" activePane="bottomLeft" state="frozen"/>
      <selection pane="bottomLeft" activeCell="CQ8" sqref="CQ8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71"/>
      <c r="C1" s="135" t="s">
        <v>143</v>
      </c>
      <c r="D1" s="2"/>
      <c r="J1" s="113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42" t="s">
        <v>1634</v>
      </c>
      <c r="BD1" s="143"/>
      <c r="BE1" s="143"/>
      <c r="BF1" s="52" t="s">
        <v>1176</v>
      </c>
      <c r="BG1" s="113" t="s">
        <v>1175</v>
      </c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162"/>
      <c r="CA1" s="162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</row>
    <row r="2" spans="1:105" s="2" customFormat="1" x14ac:dyDescent="0.25">
      <c r="A2" s="17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144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6" t="s">
        <v>146</v>
      </c>
      <c r="AQ3" s="48"/>
      <c r="AR3" s="47"/>
      <c r="AS3" s="46" t="s">
        <v>1659</v>
      </c>
      <c r="AT3" s="51"/>
      <c r="AU3" s="51"/>
      <c r="AV3" s="51"/>
      <c r="AW3" s="51"/>
      <c r="AX3" s="51"/>
      <c r="AY3" s="51"/>
      <c r="AZ3" s="51"/>
      <c r="BA3" s="51"/>
      <c r="BB3" s="50"/>
      <c r="BC3" s="153" t="s">
        <v>1632</v>
      </c>
      <c r="BD3" s="153"/>
      <c r="BE3" s="153"/>
      <c r="BF3" s="61" t="s">
        <v>745</v>
      </c>
      <c r="BG3" s="119" t="s">
        <v>144</v>
      </c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19" t="s">
        <v>145</v>
      </c>
      <c r="CN3" s="121"/>
      <c r="CO3" s="119" t="s">
        <v>146</v>
      </c>
      <c r="CP3" s="120"/>
      <c r="CQ3" s="121"/>
      <c r="CR3" s="119" t="s">
        <v>147</v>
      </c>
      <c r="CS3" s="126"/>
      <c r="CT3" s="126"/>
      <c r="CU3" s="126"/>
      <c r="CV3" s="126"/>
      <c r="CW3" s="126"/>
      <c r="CX3" s="126"/>
      <c r="CY3" s="126"/>
      <c r="CZ3" s="126"/>
      <c r="DA3" s="127"/>
    </row>
    <row r="4" spans="1:105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148</v>
      </c>
      <c r="K4" s="13" t="s">
        <v>149</v>
      </c>
      <c r="L4" s="13" t="s">
        <v>150</v>
      </c>
      <c r="M4" s="13" t="s">
        <v>151</v>
      </c>
      <c r="N4" s="13" t="s">
        <v>152</v>
      </c>
      <c r="O4" s="13" t="s">
        <v>153</v>
      </c>
      <c r="P4" s="13" t="s">
        <v>154</v>
      </c>
      <c r="Q4" s="13" t="s">
        <v>155</v>
      </c>
      <c r="R4" s="13" t="s">
        <v>156</v>
      </c>
      <c r="S4" s="13" t="s">
        <v>157</v>
      </c>
      <c r="T4" s="13" t="s">
        <v>158</v>
      </c>
      <c r="U4" s="13" t="s">
        <v>159</v>
      </c>
      <c r="V4" s="13" t="s">
        <v>160</v>
      </c>
      <c r="W4" s="13" t="s">
        <v>161</v>
      </c>
      <c r="X4" s="13" t="s">
        <v>162</v>
      </c>
      <c r="Y4" s="13" t="s">
        <v>163</v>
      </c>
      <c r="Z4" s="13" t="s">
        <v>164</v>
      </c>
      <c r="AA4" s="13" t="s">
        <v>165</v>
      </c>
      <c r="AB4" s="13" t="s">
        <v>166</v>
      </c>
      <c r="AC4" s="13" t="s">
        <v>167</v>
      </c>
      <c r="AD4" s="13" t="s">
        <v>168</v>
      </c>
      <c r="AE4" s="13" t="s">
        <v>169</v>
      </c>
      <c r="AF4" s="13" t="s">
        <v>170</v>
      </c>
      <c r="AG4" s="13" t="s">
        <v>171</v>
      </c>
      <c r="AH4" s="13" t="s">
        <v>172</v>
      </c>
      <c r="AI4" s="13" t="s">
        <v>173</v>
      </c>
      <c r="AJ4" s="13" t="s">
        <v>174</v>
      </c>
      <c r="AK4" s="13" t="s">
        <v>175</v>
      </c>
      <c r="AL4" s="13" t="s">
        <v>176</v>
      </c>
      <c r="AM4" s="13" t="s">
        <v>177</v>
      </c>
      <c r="AN4" s="13" t="s">
        <v>178</v>
      </c>
      <c r="AO4" s="13" t="s">
        <v>179</v>
      </c>
      <c r="AP4" s="8" t="s">
        <v>182</v>
      </c>
      <c r="AQ4" s="13" t="s">
        <v>183</v>
      </c>
      <c r="AR4" s="9" t="s">
        <v>184</v>
      </c>
      <c r="AS4" s="8" t="s">
        <v>185</v>
      </c>
      <c r="AT4" s="13" t="s">
        <v>186</v>
      </c>
      <c r="AU4" s="13" t="s">
        <v>187</v>
      </c>
      <c r="AV4" s="13" t="s">
        <v>188</v>
      </c>
      <c r="AW4" s="13" t="s">
        <v>189</v>
      </c>
      <c r="AX4" s="13" t="s">
        <v>190</v>
      </c>
      <c r="AY4" s="13" t="s">
        <v>191</v>
      </c>
      <c r="AZ4" s="13" t="s">
        <v>192</v>
      </c>
      <c r="BA4" s="13" t="s">
        <v>193</v>
      </c>
      <c r="BB4" s="9" t="s">
        <v>194</v>
      </c>
      <c r="BC4" s="152" t="s">
        <v>144</v>
      </c>
      <c r="BD4" s="152" t="s">
        <v>146</v>
      </c>
      <c r="BE4" s="152" t="s">
        <v>1661</v>
      </c>
      <c r="BF4" s="10" t="s">
        <v>143</v>
      </c>
      <c r="BG4" s="122" t="s">
        <v>148</v>
      </c>
      <c r="BH4" s="123" t="s">
        <v>149</v>
      </c>
      <c r="BI4" s="123" t="s">
        <v>150</v>
      </c>
      <c r="BJ4" s="123" t="s">
        <v>151</v>
      </c>
      <c r="BK4" s="123" t="s">
        <v>152</v>
      </c>
      <c r="BL4" s="123" t="s">
        <v>153</v>
      </c>
      <c r="BM4" s="123" t="s">
        <v>154</v>
      </c>
      <c r="BN4" s="123" t="s">
        <v>155</v>
      </c>
      <c r="BO4" s="123" t="s">
        <v>156</v>
      </c>
      <c r="BP4" s="123" t="s">
        <v>157</v>
      </c>
      <c r="BQ4" s="123" t="s">
        <v>158</v>
      </c>
      <c r="BR4" s="123" t="s">
        <v>159</v>
      </c>
      <c r="BS4" s="123" t="s">
        <v>160</v>
      </c>
      <c r="BT4" s="123" t="s">
        <v>161</v>
      </c>
      <c r="BU4" s="123" t="s">
        <v>162</v>
      </c>
      <c r="BV4" s="123" t="s">
        <v>163</v>
      </c>
      <c r="BW4" s="123" t="s">
        <v>164</v>
      </c>
      <c r="BX4" s="123" t="s">
        <v>165</v>
      </c>
      <c r="BY4" s="123" t="s">
        <v>166</v>
      </c>
      <c r="BZ4" s="123" t="s">
        <v>167</v>
      </c>
      <c r="CA4" s="123" t="s">
        <v>168</v>
      </c>
      <c r="CB4" s="123" t="s">
        <v>169</v>
      </c>
      <c r="CC4" s="123" t="s">
        <v>170</v>
      </c>
      <c r="CD4" s="123" t="s">
        <v>171</v>
      </c>
      <c r="CE4" s="123" t="s">
        <v>172</v>
      </c>
      <c r="CF4" s="123" t="s">
        <v>173</v>
      </c>
      <c r="CG4" s="123" t="s">
        <v>174</v>
      </c>
      <c r="CH4" s="123" t="s">
        <v>175</v>
      </c>
      <c r="CI4" s="123" t="s">
        <v>176</v>
      </c>
      <c r="CJ4" s="123" t="s">
        <v>177</v>
      </c>
      <c r="CK4" s="123" t="s">
        <v>178</v>
      </c>
      <c r="CL4" s="123" t="s">
        <v>179</v>
      </c>
      <c r="CM4" s="122" t="s">
        <v>180</v>
      </c>
      <c r="CN4" s="124" t="s">
        <v>181</v>
      </c>
      <c r="CO4" s="122" t="s">
        <v>182</v>
      </c>
      <c r="CP4" s="123" t="s">
        <v>183</v>
      </c>
      <c r="CQ4" s="124" t="s">
        <v>184</v>
      </c>
      <c r="CR4" s="122" t="s">
        <v>185</v>
      </c>
      <c r="CS4" s="123" t="s">
        <v>186</v>
      </c>
      <c r="CT4" s="123" t="s">
        <v>187</v>
      </c>
      <c r="CU4" s="123" t="s">
        <v>188</v>
      </c>
      <c r="CV4" s="123" t="s">
        <v>189</v>
      </c>
      <c r="CW4" s="123" t="s">
        <v>190</v>
      </c>
      <c r="CX4" s="123" t="s">
        <v>191</v>
      </c>
      <c r="CY4" s="123" t="s">
        <v>192</v>
      </c>
      <c r="CZ4" s="123" t="s">
        <v>193</v>
      </c>
      <c r="DA4" s="124" t="s">
        <v>194</v>
      </c>
    </row>
    <row r="5" spans="1:105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G5" s="62">
        <f>SUBTOTAL(109,hts_self_T[hts_self_1014_f_direct])</f>
        <v>0</v>
      </c>
      <c r="BH5" s="62">
        <f>SUBTOTAL(109,hts_self_T[hts_self_1014_f_unasst])</f>
        <v>0</v>
      </c>
      <c r="BI5" s="62">
        <f>SUBTOTAL(109,hts_self_T[hts_self_1014_m_direct])</f>
        <v>0</v>
      </c>
      <c r="BJ5" s="62">
        <f>SUBTOTAL(109,hts_self_T[hts_self_1014_m_unasst])</f>
        <v>0</v>
      </c>
      <c r="BK5" s="62">
        <f>SUBTOTAL(109,hts_self_T[hts_self_1519_f_direct])</f>
        <v>0</v>
      </c>
      <c r="BL5" s="62">
        <f>SUBTOTAL(109,hts_self_T[hts_self_1519_f_unasst])</f>
        <v>0</v>
      </c>
      <c r="BM5" s="62">
        <f>SUBTOTAL(109,hts_self_T[hts_self_1519_m_direct])</f>
        <v>0</v>
      </c>
      <c r="BN5" s="62">
        <f>SUBTOTAL(109,hts_self_T[hts_self_1519_m_unasst])</f>
        <v>0</v>
      </c>
      <c r="BO5" s="62">
        <f>SUBTOTAL(109,hts_self_T[hts_self_2024_f_direct])</f>
        <v>0</v>
      </c>
      <c r="BP5" s="62">
        <f>SUBTOTAL(109,hts_self_T[hts_self_2024_f_unasst])</f>
        <v>0</v>
      </c>
      <c r="BQ5" s="62">
        <f>SUBTOTAL(109,hts_self_T[hts_self_2024_m_direct])</f>
        <v>0</v>
      </c>
      <c r="BR5" s="62">
        <f>SUBTOTAL(109,hts_self_T[hts_self_2024_m_unasst])</f>
        <v>0</v>
      </c>
      <c r="BS5" s="62">
        <f>SUBTOTAL(109,hts_self_T[hts_self_2529_f_direct])</f>
        <v>0</v>
      </c>
      <c r="BT5" s="62">
        <f>SUBTOTAL(109,hts_self_T[hts_self_2529_f_unasst])</f>
        <v>0</v>
      </c>
      <c r="BU5" s="62">
        <f>SUBTOTAL(109,hts_self_T[hts_self_2529_m_direct])</f>
        <v>0</v>
      </c>
      <c r="BV5" s="62">
        <f>SUBTOTAL(109,hts_self_T[hts_self_2529_m_unasst])</f>
        <v>0</v>
      </c>
      <c r="BW5" s="62">
        <f>SUBTOTAL(109,hts_self_T[hts_self_3034_f_direct])</f>
        <v>0</v>
      </c>
      <c r="BX5" s="62">
        <f>SUBTOTAL(109,hts_self_T[hts_self_3034_f_unasst])</f>
        <v>0</v>
      </c>
      <c r="BY5" s="62">
        <f>SUBTOTAL(109,hts_self_T[hts_self_3034_m_direct])</f>
        <v>0</v>
      </c>
      <c r="BZ5" s="62">
        <f>SUBTOTAL(109,hts_self_T[hts_self_3034_m_unasst])</f>
        <v>0</v>
      </c>
      <c r="CA5" s="62">
        <f>SUBTOTAL(109,hts_self_T[hts_self_3539_f_direct])</f>
        <v>0</v>
      </c>
      <c r="CB5" s="62">
        <f>SUBTOTAL(109,hts_self_T[hts_self_3539_f_unasst])</f>
        <v>0</v>
      </c>
      <c r="CC5" s="62">
        <f>SUBTOTAL(109,hts_self_T[hts_self_3539_m_direct])</f>
        <v>0</v>
      </c>
      <c r="CD5" s="62">
        <f>SUBTOTAL(109,hts_self_T[hts_self_3539_m_unasst])</f>
        <v>0</v>
      </c>
      <c r="CE5" s="62">
        <f>SUBTOTAL(109,hts_self_T[hts_self_4049_f_direct])</f>
        <v>0</v>
      </c>
      <c r="CF5" s="62">
        <f>SUBTOTAL(109,hts_self_T[hts_self_4049_f_unasst])</f>
        <v>0</v>
      </c>
      <c r="CG5" s="62">
        <f>SUBTOTAL(109,hts_self_T[hts_self_4049_m_direct])</f>
        <v>0</v>
      </c>
      <c r="CH5" s="62">
        <f>SUBTOTAL(109,hts_self_T[hts_self_4049_m_unasst])</f>
        <v>0</v>
      </c>
      <c r="CI5" s="62">
        <f>SUBTOTAL(109,hts_self_T[hts_self_o50_f_direct])</f>
        <v>0</v>
      </c>
      <c r="CJ5" s="62">
        <f>SUBTOTAL(109,hts_self_T[hts_self_o50_f_unasst])</f>
        <v>0</v>
      </c>
      <c r="CK5" s="62">
        <f>SUBTOTAL(109,hts_self_T[hts_self_o50_m_direct])</f>
        <v>0</v>
      </c>
      <c r="CL5" s="62">
        <f>SUBTOTAL(109,hts_self_T[hts_self_o50_m_unasst])</f>
        <v>0</v>
      </c>
      <c r="CM5" s="62">
        <f ca="1">SUBTOTAL(109,hts_self_T[hts_self_direct])</f>
        <v>0</v>
      </c>
      <c r="CN5" s="62">
        <f>SUBTOTAL(109,hts_self_T[hts_self_unasst])</f>
        <v>0</v>
      </c>
      <c r="CO5" s="62">
        <f>SUBTOTAL(109,hts_self_T[hts_self_unasst_oth])</f>
        <v>0</v>
      </c>
      <c r="CP5" s="62">
        <f>SUBTOTAL(109,hts_self_T[hts_self_unasst_self])</f>
        <v>0</v>
      </c>
      <c r="CQ5" s="62">
        <f>SUBTOTAL(109,hts_self_T[hts_self_unasst_partner])</f>
        <v>0</v>
      </c>
      <c r="CR5" s="62">
        <f>SUBTOTAL(109,hts_self_T[hts_self_fsw_direct])</f>
        <v>0</v>
      </c>
      <c r="CS5" s="62">
        <f>SUBTOTAL(109,hts_self_T[hts_self_fsw_unasst])</f>
        <v>0</v>
      </c>
      <c r="CT5" s="62">
        <f>SUBTOTAL(109,hts_self_T[hts_self_msm_direct])</f>
        <v>0</v>
      </c>
      <c r="CU5" s="62">
        <f>SUBTOTAL(109,hts_self_T[hts_self_msm_unasst])</f>
        <v>0</v>
      </c>
      <c r="CV5" s="62">
        <f>SUBTOTAL(109,hts_self_T[hts_self_prison_direct])</f>
        <v>0</v>
      </c>
      <c r="CW5" s="62">
        <f>SUBTOTAL(109,hts_self_T[hts_self_prison_unasst])</f>
        <v>0</v>
      </c>
      <c r="CX5" s="62">
        <f>SUBTOTAL(109,hts_self_T[hts_self_pwid_direct])</f>
        <v>0</v>
      </c>
      <c r="CY5" s="62">
        <f>SUBTOTAL(109,hts_self_T[hts_self_pwid_unasst])</f>
        <v>0</v>
      </c>
      <c r="CZ5" s="62">
        <f>SUBTOTAL(109,hts_self_T[hts_self_tg_direct])</f>
        <v>0</v>
      </c>
      <c r="DA5" s="62">
        <f>SUBTOTAL(109,hts_self_T[hts_self_tg_unasst])</f>
        <v>0</v>
      </c>
    </row>
    <row r="6" spans="1:105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1214</v>
      </c>
      <c r="K6" s="26" t="s">
        <v>1215</v>
      </c>
      <c r="L6" s="26" t="s">
        <v>1216</v>
      </c>
      <c r="M6" s="26" t="s">
        <v>1217</v>
      </c>
      <c r="N6" s="26" t="s">
        <v>1218</v>
      </c>
      <c r="O6" s="26" t="s">
        <v>1219</v>
      </c>
      <c r="P6" s="26" t="s">
        <v>1220</v>
      </c>
      <c r="Q6" s="26" t="s">
        <v>1221</v>
      </c>
      <c r="R6" s="26" t="s">
        <v>1222</v>
      </c>
      <c r="S6" s="26" t="s">
        <v>1223</v>
      </c>
      <c r="T6" s="26" t="s">
        <v>1224</v>
      </c>
      <c r="U6" s="26" t="s">
        <v>1225</v>
      </c>
      <c r="V6" s="26" t="s">
        <v>1226</v>
      </c>
      <c r="W6" s="26" t="s">
        <v>1227</v>
      </c>
      <c r="X6" s="26" t="s">
        <v>1228</v>
      </c>
      <c r="Y6" s="26" t="s">
        <v>1229</v>
      </c>
      <c r="Z6" s="26" t="s">
        <v>1230</v>
      </c>
      <c r="AA6" s="26" t="s">
        <v>1231</v>
      </c>
      <c r="AB6" s="26" t="s">
        <v>1232</v>
      </c>
      <c r="AC6" s="26" t="s">
        <v>1233</v>
      </c>
      <c r="AD6" s="26" t="s">
        <v>1234</v>
      </c>
      <c r="AE6" s="26" t="s">
        <v>1235</v>
      </c>
      <c r="AF6" s="26" t="s">
        <v>1236</v>
      </c>
      <c r="AG6" s="26" t="s">
        <v>1237</v>
      </c>
      <c r="AH6" s="26" t="s">
        <v>1238</v>
      </c>
      <c r="AI6" s="26" t="s">
        <v>1239</v>
      </c>
      <c r="AJ6" s="26" t="s">
        <v>1240</v>
      </c>
      <c r="AK6" s="26" t="s">
        <v>1241</v>
      </c>
      <c r="AL6" s="26" t="s">
        <v>1242</v>
      </c>
      <c r="AM6" s="26" t="s">
        <v>1243</v>
      </c>
      <c r="AN6" s="26" t="s">
        <v>1244</v>
      </c>
      <c r="AO6" s="26" t="s">
        <v>1245</v>
      </c>
      <c r="AP6" s="26" t="s">
        <v>1246</v>
      </c>
      <c r="AQ6" s="26" t="s">
        <v>1247</v>
      </c>
      <c r="AR6" s="26" t="s">
        <v>1248</v>
      </c>
      <c r="AS6" s="26" t="s">
        <v>1249</v>
      </c>
      <c r="AT6" s="26" t="s">
        <v>1250</v>
      </c>
      <c r="AU6" s="26" t="s">
        <v>1251</v>
      </c>
      <c r="AV6" s="26" t="s">
        <v>1252</v>
      </c>
      <c r="AW6" s="26" t="s">
        <v>1253</v>
      </c>
      <c r="AX6" s="26" t="s">
        <v>1254</v>
      </c>
      <c r="AY6" s="26" t="s">
        <v>1255</v>
      </c>
      <c r="AZ6" s="26" t="s">
        <v>1256</v>
      </c>
      <c r="BA6" s="26" t="s">
        <v>1257</v>
      </c>
      <c r="BB6" s="26" t="s">
        <v>1258</v>
      </c>
      <c r="BC6" s="26" t="s">
        <v>1630</v>
      </c>
      <c r="BD6" s="26" t="s">
        <v>1631</v>
      </c>
      <c r="BE6" s="26" t="s">
        <v>1633</v>
      </c>
      <c r="BF6" s="26" t="s">
        <v>972</v>
      </c>
      <c r="BG6" s="26" t="s">
        <v>434</v>
      </c>
      <c r="BH6" s="26" t="s">
        <v>435</v>
      </c>
      <c r="BI6" s="26" t="s">
        <v>436</v>
      </c>
      <c r="BJ6" s="26" t="s">
        <v>437</v>
      </c>
      <c r="BK6" s="26" t="s">
        <v>438</v>
      </c>
      <c r="BL6" s="26" t="s">
        <v>439</v>
      </c>
      <c r="BM6" s="26" t="s">
        <v>440</v>
      </c>
      <c r="BN6" s="26" t="s">
        <v>441</v>
      </c>
      <c r="BO6" s="26" t="s">
        <v>442</v>
      </c>
      <c r="BP6" s="26" t="s">
        <v>443</v>
      </c>
      <c r="BQ6" s="26" t="s">
        <v>444</v>
      </c>
      <c r="BR6" s="26" t="s">
        <v>445</v>
      </c>
      <c r="BS6" s="26" t="s">
        <v>446</v>
      </c>
      <c r="BT6" s="26" t="s">
        <v>447</v>
      </c>
      <c r="BU6" s="26" t="s">
        <v>448</v>
      </c>
      <c r="BV6" s="26" t="s">
        <v>449</v>
      </c>
      <c r="BW6" s="26" t="s">
        <v>450</v>
      </c>
      <c r="BX6" s="26" t="s">
        <v>451</v>
      </c>
      <c r="BY6" s="26" t="s">
        <v>452</v>
      </c>
      <c r="BZ6" s="26" t="s">
        <v>453</v>
      </c>
      <c r="CA6" s="26" t="s">
        <v>454</v>
      </c>
      <c r="CB6" s="26" t="s">
        <v>455</v>
      </c>
      <c r="CC6" s="26" t="s">
        <v>456</v>
      </c>
      <c r="CD6" s="26" t="s">
        <v>457</v>
      </c>
      <c r="CE6" s="26" t="s">
        <v>458</v>
      </c>
      <c r="CF6" s="26" t="s">
        <v>459</v>
      </c>
      <c r="CG6" s="26" t="s">
        <v>460</v>
      </c>
      <c r="CH6" s="26" t="s">
        <v>461</v>
      </c>
      <c r="CI6" s="26" t="s">
        <v>462</v>
      </c>
      <c r="CJ6" s="26" t="s">
        <v>463</v>
      </c>
      <c r="CK6" s="26" t="s">
        <v>464</v>
      </c>
      <c r="CL6" s="26" t="s">
        <v>465</v>
      </c>
      <c r="CM6" s="26" t="s">
        <v>466</v>
      </c>
      <c r="CN6" s="26" t="s">
        <v>467</v>
      </c>
      <c r="CO6" s="26" t="s">
        <v>468</v>
      </c>
      <c r="CP6" s="26" t="s">
        <v>469</v>
      </c>
      <c r="CQ6" s="26" t="s">
        <v>470</v>
      </c>
      <c r="CR6" s="26" t="s">
        <v>471</v>
      </c>
      <c r="CS6" s="26" t="s">
        <v>472</v>
      </c>
      <c r="CT6" s="26" t="s">
        <v>473</v>
      </c>
      <c r="CU6" s="26" t="s">
        <v>474</v>
      </c>
      <c r="CV6" s="26" t="s">
        <v>475</v>
      </c>
      <c r="CW6" s="26" t="s">
        <v>476</v>
      </c>
      <c r="CX6" s="26" t="s">
        <v>477</v>
      </c>
      <c r="CY6" s="26" t="s">
        <v>478</v>
      </c>
      <c r="CZ6" s="26" t="s">
        <v>479</v>
      </c>
      <c r="DA6" s="26" t="s">
        <v>480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1">
        <f>SUM(hts_self_T[[#This Row],[A_hts_self_1014_f_direct]:[A_hts_self_o50_m_unasst]])</f>
        <v>0</v>
      </c>
      <c r="BD7" s="161">
        <f>SUM(hts_self_T[[#This Row],[A_hts_self_unasst_oth]:[A_hts_self_unasst_partner]])</f>
        <v>0</v>
      </c>
      <c r="BE7" s="164">
        <f>SUM(hts_self_T[[#This Row],[A_hts_self_fsw_direct]:[A_hts_self_tg_unasst]])</f>
        <v>0</v>
      </c>
      <c r="BF7" s="42"/>
      <c r="BG7" s="42">
        <f>hts_self_T[[D_hts_self_fy19]:[D_hts_self_fy19]]*hts_self_T[A_hts_self_1014_f_direct]</f>
        <v>0</v>
      </c>
      <c r="BH7" s="42">
        <f>hts_self_T[[D_hts_self_fy19]:[D_hts_self_fy19]]*hts_self_T[A_hts_self_1014_f_unasst]</f>
        <v>0</v>
      </c>
      <c r="BI7" s="42">
        <f>hts_self_T[[D_hts_self_fy19]:[D_hts_self_fy19]]*hts_self_T[A_hts_self_1014_m_direct]</f>
        <v>0</v>
      </c>
      <c r="BJ7" s="42">
        <f>hts_self_T[[D_hts_self_fy19]:[D_hts_self_fy19]]*hts_self_T[A_hts_self_1014_m_unasst]</f>
        <v>0</v>
      </c>
      <c r="BK7" s="42">
        <f>hts_self_T[[D_hts_self_fy19]:[D_hts_self_fy19]]*hts_self_T[A_hts_self_1519_f_direct]</f>
        <v>0</v>
      </c>
      <c r="BL7" s="42">
        <f>hts_self_T[[D_hts_self_fy19]:[D_hts_self_fy19]]*hts_self_T[A_hts_self_1519_f_unasst]</f>
        <v>0</v>
      </c>
      <c r="BM7" s="42">
        <f>hts_self_T[[D_hts_self_fy19]:[D_hts_self_fy19]]*hts_self_T[A_hts_self_1519_m_direct]</f>
        <v>0</v>
      </c>
      <c r="BN7" s="42">
        <f>hts_self_T[[D_hts_self_fy19]:[D_hts_self_fy19]]*hts_self_T[A_hts_self_1519_m_unasst]</f>
        <v>0</v>
      </c>
      <c r="BO7" s="42">
        <f>hts_self_T[[D_hts_self_fy19]:[D_hts_self_fy19]]*hts_self_T[A_hts_self_2024_f_direct]</f>
        <v>0</v>
      </c>
      <c r="BP7" s="42">
        <f>hts_self_T[[D_hts_self_fy19]:[D_hts_self_fy19]]*hts_self_T[A_hts_self_2024_f_unasst]</f>
        <v>0</v>
      </c>
      <c r="BQ7" s="42">
        <f>hts_self_T[[D_hts_self_fy19]:[D_hts_self_fy19]]*hts_self_T[A_hts_self_2024_m_direct]</f>
        <v>0</v>
      </c>
      <c r="BR7" s="42">
        <f>hts_self_T[[D_hts_self_fy19]:[D_hts_self_fy19]]*hts_self_T[A_hts_self_2024_m_unasst]</f>
        <v>0</v>
      </c>
      <c r="BS7" s="42">
        <f>hts_self_T[[D_hts_self_fy19]:[D_hts_self_fy19]]*hts_self_T[A_hts_self_2529_f_direct]</f>
        <v>0</v>
      </c>
      <c r="BT7" s="42">
        <f>hts_self_T[[D_hts_self_fy19]:[D_hts_self_fy19]]*hts_self_T[A_hts_self_2529_f_unasst]</f>
        <v>0</v>
      </c>
      <c r="BU7" s="42">
        <f>hts_self_T[[D_hts_self_fy19]:[D_hts_self_fy19]]*hts_self_T[A_hts_self_2529_m_direct]</f>
        <v>0</v>
      </c>
      <c r="BV7" s="42">
        <f>hts_self_T[[D_hts_self_fy19]:[D_hts_self_fy19]]*hts_self_T[A_hts_self_2529_m_unasst]</f>
        <v>0</v>
      </c>
      <c r="BW7" s="42">
        <f>hts_self_T[[D_hts_self_fy19]:[D_hts_self_fy19]]*hts_self_T[A_hts_self_3034_f_direct]</f>
        <v>0</v>
      </c>
      <c r="BX7" s="42">
        <f>hts_self_T[[D_hts_self_fy19]:[D_hts_self_fy19]]*hts_self_T[A_hts_self_3034_f_unasst]</f>
        <v>0</v>
      </c>
      <c r="BY7" s="42">
        <f>hts_self_T[[D_hts_self_fy19]:[D_hts_self_fy19]]*hts_self_T[A_hts_self_3034_m_direct]</f>
        <v>0</v>
      </c>
      <c r="BZ7" s="42">
        <f>hts_self_T[[D_hts_self_fy19]:[D_hts_self_fy19]]*hts_self_T[A_hts_self_3034_m_unasst]</f>
        <v>0</v>
      </c>
      <c r="CA7" s="42">
        <f>hts_self_T[[D_hts_self_fy19]:[D_hts_self_fy19]]*hts_self_T[A_hts_self_3539_f_direct]</f>
        <v>0</v>
      </c>
      <c r="CB7" s="42">
        <f>hts_self_T[[D_hts_self_fy19]:[D_hts_self_fy19]]*hts_self_T[A_hts_self_3539_f_unasst]</f>
        <v>0</v>
      </c>
      <c r="CC7" s="42">
        <f>hts_self_T[[D_hts_self_fy19]:[D_hts_self_fy19]]*hts_self_T[A_hts_self_3539_m_direct]</f>
        <v>0</v>
      </c>
      <c r="CD7" s="42">
        <f>hts_self_T[[D_hts_self_fy19]:[D_hts_self_fy19]]*hts_self_T[A_hts_self_3539_m_unasst]</f>
        <v>0</v>
      </c>
      <c r="CE7" s="42">
        <f>hts_self_T[[D_hts_self_fy19]:[D_hts_self_fy19]]*hts_self_T[A_hts_self_4049_f_direct]</f>
        <v>0</v>
      </c>
      <c r="CF7" s="42">
        <f>hts_self_T[[D_hts_self_fy19]:[D_hts_self_fy19]]*hts_self_T[A_hts_self_4049_f_unasst]</f>
        <v>0</v>
      </c>
      <c r="CG7" s="42">
        <f>hts_self_T[[D_hts_self_fy19]:[D_hts_self_fy19]]*hts_self_T[A_hts_self_4049_m_direct]</f>
        <v>0</v>
      </c>
      <c r="CH7" s="42">
        <f>hts_self_T[[D_hts_self_fy19]:[D_hts_self_fy19]]*hts_self_T[A_hts_self_4049_m_unasst]</f>
        <v>0</v>
      </c>
      <c r="CI7" s="42">
        <f>hts_self_T[[D_hts_self_fy19]:[D_hts_self_fy19]]*hts_self_T[A_hts_self_o50_f_direct]</f>
        <v>0</v>
      </c>
      <c r="CJ7" s="42">
        <f>hts_self_T[[D_hts_self_fy19]:[D_hts_self_fy19]]*hts_self_T[A_hts_self_o50_f_unasst]</f>
        <v>0</v>
      </c>
      <c r="CK7" s="42">
        <f>hts_self_T[[D_hts_self_fy19]:[D_hts_self_fy19]]*hts_self_T[A_hts_self_o50_m_direct]</f>
        <v>0</v>
      </c>
      <c r="CL7" s="42">
        <f>hts_self_T[[D_hts_self_fy19]:[D_hts_self_fy19]]*hts_self_T[A_hts_self_o50_m_unasst]</f>
        <v>0</v>
      </c>
      <c r="CM7" s="42">
        <f ca="1">SUMIF($BG$4:$CL$5,"*Directly*",hts_self_T[[#This Row],[hts_self_1014_f_direct]:[hts_self_o50_m_unasst]])</f>
        <v>0</v>
      </c>
      <c r="CN7" s="42">
        <f>SUMIF($BG$4:$CL$4,"*Unassisted*",hts_self_T[[#This Row],[hts_self_1014_f_direct]:[hts_self_o50_m_unasst]])</f>
        <v>0</v>
      </c>
      <c r="CO7" s="42">
        <f>hts_self_T[[#This Row],[hts_self_unasst]:[hts_self_unasst]]*hts_self_T[A_hts_self_unasst_oth]</f>
        <v>0</v>
      </c>
      <c r="CP7" s="42">
        <f>hts_self_T[[#This Row],[hts_self_unasst]:[hts_self_unasst]]*hts_self_T[A_hts_self_unasst_self]</f>
        <v>0</v>
      </c>
      <c r="CQ7" s="42">
        <f>hts_self_T[[#This Row],[hts_self_unasst]:[hts_self_unasst]]*hts_self_T[A_hts_self_unasst_partner]</f>
        <v>0</v>
      </c>
      <c r="CR7" s="42">
        <f>hts_self_T[[D_hts_self_fy19]:[D_hts_self_fy19]]*hts_self_T[A_hts_self_fsw_direct]</f>
        <v>0</v>
      </c>
      <c r="CS7" s="42">
        <f>hts_self_T[[D_hts_self_fy19]:[D_hts_self_fy19]]*hts_self_T[A_hts_self_fsw_unasst]</f>
        <v>0</v>
      </c>
      <c r="CT7" s="42">
        <f>hts_self_T[[D_hts_self_fy19]:[D_hts_self_fy19]]*hts_self_T[A_hts_self_msm_direct]</f>
        <v>0</v>
      </c>
      <c r="CU7" s="42">
        <f>hts_self_T[[D_hts_self_fy19]:[D_hts_self_fy19]]*hts_self_T[A_hts_self_msm_unasst]</f>
        <v>0</v>
      </c>
      <c r="CV7" s="42">
        <f>hts_self_T[[D_hts_self_fy19]:[D_hts_self_fy19]]*hts_self_T[A_hts_self_prison_direct]</f>
        <v>0</v>
      </c>
      <c r="CW7" s="42">
        <f>hts_self_T[[D_hts_self_fy19]:[D_hts_self_fy19]]*hts_self_T[A_hts_self_prison_unasst]</f>
        <v>0</v>
      </c>
      <c r="CX7" s="42">
        <f>hts_self_T[[D_hts_self_fy19]:[D_hts_self_fy19]]*hts_self_T[A_hts_self_pwid_direct]</f>
        <v>0</v>
      </c>
      <c r="CY7" s="42">
        <f>hts_self_T[[D_hts_self_fy19]:[D_hts_self_fy19]]*hts_self_T[A_hts_self_pwid_unasst]</f>
        <v>0</v>
      </c>
      <c r="CZ7" s="42">
        <f>hts_self_T[[D_hts_self_fy19]:[D_hts_self_fy19]]*hts_self_T[A_hts_self_tg_direct]</f>
        <v>0</v>
      </c>
      <c r="DA7" s="42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/>
    </row>
    <row r="13" spans="1:105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/>
    </row>
    <row r="14" spans="1:105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/>
    </row>
    <row r="15" spans="1:105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/>
    </row>
    <row r="16" spans="1:105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/>
    </row>
    <row r="17" spans="1:5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/>
    </row>
    <row r="18" spans="1:5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/>
    </row>
    <row r="19" spans="1:5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/>
    </row>
    <row r="20" spans="1:5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/>
    </row>
    <row r="21" spans="1:5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/>
    </row>
    <row r="22" spans="1:5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/>
    </row>
    <row r="23" spans="1:5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/>
    </row>
    <row r="24" spans="1:5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/>
    </row>
    <row r="25" spans="1:5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/>
    </row>
    <row r="26" spans="1:5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/>
    </row>
    <row r="27" spans="1:5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/>
    </row>
    <row r="28" spans="1:5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/>
    </row>
    <row r="29" spans="1:5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/>
    </row>
    <row r="30" spans="1:5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/>
    </row>
    <row r="31" spans="1:5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/>
    </row>
    <row r="32" spans="1:5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/>
    </row>
    <row r="33" spans="1:5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/>
    </row>
    <row r="34" spans="1:5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/>
    </row>
    <row r="35" spans="1:5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/>
    </row>
    <row r="36" spans="1:5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/>
    </row>
    <row r="37" spans="1:5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/>
    </row>
    <row r="38" spans="1:5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/>
    </row>
    <row r="39" spans="1:5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/>
    </row>
    <row r="40" spans="1:5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/>
    </row>
    <row r="41" spans="1:5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/>
    </row>
    <row r="42" spans="1:5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/>
    </row>
    <row r="43" spans="1:5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/>
    </row>
    <row r="44" spans="1:5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/>
    </row>
    <row r="45" spans="1:5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/>
    </row>
    <row r="46" spans="1:5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/>
    </row>
    <row r="47" spans="1:5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/>
    </row>
    <row r="48" spans="1:5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/>
    </row>
    <row r="49" spans="1:5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/>
    </row>
    <row r="50" spans="1:5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/>
    </row>
    <row r="51" spans="1:5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/>
    </row>
    <row r="52" spans="1:5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/>
    </row>
    <row r="53" spans="1:5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/>
    </row>
    <row r="54" spans="1:5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/>
    </row>
    <row r="55" spans="1:5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/>
    </row>
    <row r="56" spans="1:5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/>
    </row>
    <row r="57" spans="1:5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/>
    </row>
    <row r="58" spans="1:5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/>
    </row>
    <row r="59" spans="1:5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/>
    </row>
    <row r="60" spans="1:5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/>
    </row>
    <row r="61" spans="1:5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/>
    </row>
    <row r="62" spans="1:5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/>
    </row>
    <row r="63" spans="1:5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/>
    </row>
    <row r="64" spans="1:5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/>
    </row>
    <row r="65" spans="1:5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/>
    </row>
    <row r="66" spans="1:5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/>
    </row>
    <row r="67" spans="1:5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/>
    </row>
    <row r="68" spans="1:5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/>
    </row>
    <row r="69" spans="1:5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/>
    </row>
    <row r="70" spans="1:5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/>
    </row>
    <row r="71" spans="1:5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/>
    </row>
    <row r="72" spans="1:5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/>
    </row>
    <row r="73" spans="1:5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/>
    </row>
    <row r="74" spans="1:5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/>
    </row>
    <row r="75" spans="1:5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/>
    </row>
    <row r="76" spans="1:5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/>
    </row>
    <row r="77" spans="1:5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/>
    </row>
    <row r="78" spans="1:5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/>
    </row>
    <row r="79" spans="1:5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/>
    </row>
    <row r="80" spans="1:5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/>
    </row>
    <row r="81" spans="1:5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/>
    </row>
    <row r="82" spans="1:5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/>
    </row>
    <row r="83" spans="1:5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/>
    </row>
    <row r="84" spans="1:5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/>
    </row>
    <row r="85" spans="1:5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/>
    </row>
    <row r="86" spans="1:5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/>
    </row>
    <row r="87" spans="1:5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/>
    </row>
    <row r="88" spans="1:5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/>
    </row>
    <row r="89" spans="1:5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/>
    </row>
    <row r="90" spans="1:5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/>
    </row>
    <row r="91" spans="1:5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/>
    </row>
    <row r="92" spans="1:5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/>
    </row>
    <row r="93" spans="1:5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/>
    </row>
    <row r="94" spans="1:5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/>
    </row>
    <row r="95" spans="1:5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/>
    </row>
    <row r="96" spans="1:5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/>
    </row>
    <row r="97" spans="1:5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/>
    </row>
    <row r="98" spans="1:5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/>
    </row>
    <row r="99" spans="1:5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/>
    </row>
    <row r="100" spans="1:5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/>
    </row>
    <row r="101" spans="1:5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/>
    </row>
    <row r="102" spans="1:5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/>
    </row>
    <row r="103" spans="1:5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/>
    </row>
    <row r="104" spans="1:5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/>
    </row>
    <row r="105" spans="1:5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/>
    </row>
    <row r="106" spans="1:5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/>
    </row>
    <row r="107" spans="1:5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/>
    </row>
    <row r="108" spans="1:5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/>
    </row>
    <row r="109" spans="1:5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/>
    </row>
    <row r="110" spans="1:5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/>
    </row>
    <row r="111" spans="1:5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/>
    </row>
    <row r="112" spans="1:5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/>
    </row>
    <row r="113" spans="1:5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/>
    </row>
    <row r="114" spans="1:5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/>
    </row>
    <row r="115" spans="1:5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/>
    </row>
    <row r="116" spans="1:5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/>
    </row>
    <row r="117" spans="1:5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/>
    </row>
    <row r="118" spans="1:5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/>
    </row>
    <row r="119" spans="1:5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/>
    </row>
    <row r="120" spans="1:5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/>
    </row>
    <row r="121" spans="1:5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/>
    </row>
    <row r="122" spans="1:5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/>
    </row>
    <row r="123" spans="1:5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/>
    </row>
    <row r="124" spans="1:5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/>
    </row>
    <row r="125" spans="1:5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/>
    </row>
    <row r="126" spans="1:5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/>
    </row>
    <row r="127" spans="1:5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/>
    </row>
    <row r="128" spans="1:5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/>
    </row>
    <row r="129" spans="1:5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/>
    </row>
    <row r="130" spans="1:5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/>
    </row>
    <row r="131" spans="1:5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/>
    </row>
    <row r="132" spans="1:5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/>
    </row>
    <row r="133" spans="1:5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/>
    </row>
    <row r="134" spans="1:5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/>
    </row>
    <row r="135" spans="1:5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/>
    </row>
    <row r="136" spans="1:5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/>
    </row>
    <row r="137" spans="1:5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/>
    </row>
    <row r="138" spans="1:5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/>
    </row>
    <row r="139" spans="1:5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/>
    </row>
    <row r="140" spans="1:5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/>
    </row>
    <row r="141" spans="1:5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/>
    </row>
    <row r="142" spans="1:5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/>
    </row>
    <row r="143" spans="1:5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/>
    </row>
    <row r="144" spans="1:5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/>
    </row>
    <row r="145" spans="1:5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/>
    </row>
    <row r="146" spans="1:5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/>
    </row>
    <row r="147" spans="1:5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/>
    </row>
    <row r="148" spans="1:5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/>
    </row>
    <row r="149" spans="1:5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/>
    </row>
    <row r="150" spans="1:5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/>
    </row>
    <row r="151" spans="1:5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/>
    </row>
    <row r="152" spans="1:5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/>
    </row>
    <row r="153" spans="1:5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/>
    </row>
    <row r="154" spans="1:5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/>
    </row>
    <row r="155" spans="1:5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/>
    </row>
    <row r="156" spans="1:5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/>
    </row>
    <row r="157" spans="1:5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/>
    </row>
    <row r="158" spans="1:5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/>
    </row>
    <row r="159" spans="1:5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/>
    </row>
    <row r="160" spans="1:5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/>
    </row>
    <row r="161" spans="1:5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/>
    </row>
    <row r="162" spans="1:5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/>
    </row>
    <row r="163" spans="1:5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/>
    </row>
    <row r="164" spans="1:5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/>
    </row>
    <row r="165" spans="1:5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/>
    </row>
    <row r="166" spans="1:5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/>
    </row>
    <row r="167" spans="1:5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/>
    </row>
    <row r="168" spans="1:5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/>
    </row>
    <row r="169" spans="1:5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/>
    </row>
    <row r="170" spans="1:5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/>
    </row>
    <row r="171" spans="1:5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/>
    </row>
    <row r="172" spans="1:5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/>
    </row>
    <row r="173" spans="1:5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/>
    </row>
    <row r="174" spans="1:5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/>
    </row>
    <row r="175" spans="1:5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/>
    </row>
    <row r="176" spans="1:5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/>
    </row>
    <row r="177" spans="1:5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/>
    </row>
    <row r="178" spans="1:5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/>
    </row>
    <row r="179" spans="1:5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/>
    </row>
    <row r="180" spans="1:5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/>
    </row>
    <row r="181" spans="1:5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/>
    </row>
    <row r="182" spans="1:5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/>
    </row>
    <row r="183" spans="1:5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/>
    </row>
    <row r="184" spans="1:5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/>
    </row>
    <row r="185" spans="1:5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/>
    </row>
    <row r="186" spans="1:5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/>
    </row>
    <row r="187" spans="1:5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/>
    </row>
    <row r="188" spans="1:5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/>
    </row>
    <row r="189" spans="1:5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/>
    </row>
    <row r="190" spans="1:5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/>
    </row>
    <row r="191" spans="1:5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/>
    </row>
    <row r="192" spans="1:5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/>
    </row>
    <row r="193" spans="1:5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/>
    </row>
    <row r="194" spans="1:5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/>
    </row>
    <row r="195" spans="1:5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/>
    </row>
    <row r="196" spans="1:5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/>
    </row>
    <row r="197" spans="1:5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/>
    </row>
    <row r="198" spans="1:5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/>
    </row>
    <row r="199" spans="1:5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/>
    </row>
    <row r="200" spans="1:5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/>
    </row>
    <row r="201" spans="1:5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/>
    </row>
    <row r="202" spans="1:5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/>
    </row>
    <row r="203" spans="1:5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/>
    </row>
    <row r="204" spans="1:5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/>
    </row>
    <row r="205" spans="1:5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/>
    </row>
    <row r="206" spans="1:5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/>
    </row>
    <row r="207" spans="1:5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/>
    </row>
    <row r="208" spans="1:5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/>
    </row>
    <row r="209" spans="1:5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/>
    </row>
    <row r="210" spans="1:5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/>
    </row>
    <row r="211" spans="1:5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/>
    </row>
    <row r="212" spans="1:5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/>
    </row>
    <row r="213" spans="1:5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/>
    </row>
    <row r="214" spans="1:5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/>
    </row>
    <row r="215" spans="1:5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/>
    </row>
    <row r="216" spans="1:5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/>
    </row>
    <row r="217" spans="1:5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/>
    </row>
    <row r="218" spans="1:5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/>
    </row>
    <row r="219" spans="1:5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/>
    </row>
    <row r="220" spans="1:5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/>
    </row>
    <row r="221" spans="1:5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/>
    </row>
    <row r="222" spans="1:5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/>
    </row>
    <row r="223" spans="1:5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/>
    </row>
    <row r="224" spans="1:5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/>
    </row>
    <row r="225" spans="1:5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/>
    </row>
    <row r="226" spans="1:5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/>
    </row>
    <row r="227" spans="1:5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/>
    </row>
    <row r="228" spans="1:5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/>
    </row>
    <row r="229" spans="1:5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/>
    </row>
    <row r="230" spans="1:5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/>
    </row>
    <row r="231" spans="1:5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/>
    </row>
    <row r="232" spans="1:5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/>
    </row>
    <row r="233" spans="1:5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/>
    </row>
    <row r="234" spans="1:5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/>
    </row>
    <row r="235" spans="1:5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/>
    </row>
    <row r="236" spans="1:5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/>
    </row>
    <row r="237" spans="1:5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/>
    </row>
    <row r="238" spans="1:5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/>
    </row>
    <row r="239" spans="1:5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/>
    </row>
    <row r="240" spans="1:5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/>
    </row>
    <row r="241" spans="1:5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/>
    </row>
    <row r="242" spans="1:5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/>
    </row>
    <row r="243" spans="1:5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/>
    </row>
    <row r="244" spans="1:5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/>
    </row>
    <row r="245" spans="1:5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/>
    </row>
    <row r="246" spans="1:5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/>
    </row>
    <row r="247" spans="1:5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/>
    </row>
    <row r="248" spans="1:5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/>
    </row>
    <row r="249" spans="1:5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/>
    </row>
    <row r="250" spans="1:5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/>
    </row>
    <row r="251" spans="1:5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/>
    </row>
    <row r="252" spans="1:5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/>
    </row>
    <row r="253" spans="1:5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/>
    </row>
    <row r="254" spans="1:5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/>
    </row>
    <row r="255" spans="1:5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/>
    </row>
    <row r="256" spans="1:5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/>
    </row>
    <row r="257" spans="1:5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/>
    </row>
    <row r="258" spans="1:5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/>
    </row>
    <row r="259" spans="1:5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/>
    </row>
    <row r="260" spans="1:5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/>
    </row>
    <row r="261" spans="1:5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/>
    </row>
    <row r="262" spans="1:5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/>
    </row>
    <row r="263" spans="1:5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/>
    </row>
    <row r="264" spans="1:5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/>
    </row>
    <row r="265" spans="1:5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/>
    </row>
    <row r="266" spans="1:5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/>
    </row>
    <row r="267" spans="1:5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/>
    </row>
    <row r="268" spans="1:5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/>
    </row>
    <row r="269" spans="1:5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/>
    </row>
    <row r="270" spans="1:5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/>
    </row>
    <row r="271" spans="1:5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/>
    </row>
    <row r="272" spans="1:5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/>
    </row>
    <row r="273" spans="1:5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/>
    </row>
    <row r="274" spans="1:5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/>
    </row>
    <row r="275" spans="1:5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/>
    </row>
    <row r="276" spans="1:5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/>
    </row>
    <row r="277" spans="1:5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/>
    </row>
    <row r="278" spans="1:5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/>
    </row>
    <row r="279" spans="1:5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/>
    </row>
    <row r="280" spans="1:5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/>
    </row>
    <row r="281" spans="1:5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/>
    </row>
    <row r="282" spans="1:5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/>
    </row>
    <row r="283" spans="1:5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/>
    </row>
    <row r="284" spans="1:5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/>
    </row>
    <row r="285" spans="1:5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/>
    </row>
    <row r="286" spans="1:5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/>
    </row>
    <row r="287" spans="1:5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/>
    </row>
    <row r="288" spans="1:5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/>
    </row>
    <row r="289" spans="1:5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/>
    </row>
    <row r="290" spans="1:5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/>
    </row>
    <row r="291" spans="1:5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/>
    </row>
    <row r="292" spans="1:5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/>
    </row>
    <row r="293" spans="1:5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/>
    </row>
    <row r="294" spans="1:5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/>
    </row>
    <row r="295" spans="1:5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/>
    </row>
    <row r="296" spans="1:5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/>
    </row>
    <row r="297" spans="1:5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/>
    </row>
    <row r="298" spans="1:5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/>
    </row>
    <row r="299" spans="1:5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/>
    </row>
    <row r="300" spans="1:5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/>
    </row>
    <row r="301" spans="1:5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/>
    </row>
    <row r="302" spans="1:5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/>
    </row>
    <row r="303" spans="1:5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/>
    </row>
    <row r="304" spans="1:5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/>
    </row>
    <row r="305" spans="1:5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/>
    </row>
    <row r="306" spans="1:5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/>
    </row>
    <row r="307" spans="1:5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/>
    </row>
    <row r="308" spans="1:5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/>
    </row>
    <row r="309" spans="1:5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/>
    </row>
    <row r="310" spans="1:5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/>
    </row>
    <row r="311" spans="1:5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/>
    </row>
    <row r="312" spans="1:5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/>
    </row>
    <row r="313" spans="1:5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/>
    </row>
    <row r="314" spans="1:5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/>
    </row>
    <row r="315" spans="1:5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/>
    </row>
    <row r="316" spans="1:5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/>
    </row>
    <row r="317" spans="1:5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/>
    </row>
    <row r="318" spans="1:5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/>
    </row>
    <row r="319" spans="1:5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/>
    </row>
    <row r="320" spans="1:5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/>
    </row>
    <row r="321" spans="1:5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/>
    </row>
    <row r="322" spans="1:5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/>
    </row>
    <row r="323" spans="1:5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/>
    </row>
    <row r="324" spans="1:5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/>
    </row>
    <row r="325" spans="1:5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/>
    </row>
    <row r="326" spans="1:5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/>
    </row>
    <row r="327" spans="1:5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/>
    </row>
    <row r="328" spans="1:5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/>
    </row>
    <row r="329" spans="1:5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/>
    </row>
    <row r="330" spans="1:5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/>
    </row>
    <row r="331" spans="1:5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/>
    </row>
    <row r="332" spans="1:5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/>
    </row>
    <row r="333" spans="1:5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/>
    </row>
    <row r="334" spans="1:5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/>
    </row>
    <row r="335" spans="1:5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/>
    </row>
    <row r="336" spans="1:5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/>
    </row>
    <row r="337" spans="1:5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/>
    </row>
    <row r="338" spans="1:5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/>
    </row>
    <row r="339" spans="1:5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/>
    </row>
    <row r="340" spans="1:5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/>
    </row>
    <row r="341" spans="1:5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/>
    </row>
    <row r="342" spans="1:5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/>
    </row>
    <row r="343" spans="1:5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/>
    </row>
    <row r="344" spans="1:5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/>
    </row>
    <row r="345" spans="1:5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/>
    </row>
    <row r="346" spans="1:5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/>
    </row>
    <row r="347" spans="1:5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/>
    </row>
    <row r="348" spans="1:5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/>
    </row>
    <row r="349" spans="1:5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/>
    </row>
    <row r="350" spans="1:5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/>
    </row>
    <row r="351" spans="1:5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/>
    </row>
    <row r="352" spans="1:5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/>
    </row>
    <row r="353" spans="1:5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/>
    </row>
    <row r="354" spans="1:5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/>
    </row>
    <row r="355" spans="1:5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/>
    </row>
    <row r="356" spans="1:5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/>
    </row>
    <row r="357" spans="1:5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/>
    </row>
    <row r="358" spans="1:5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/>
    </row>
    <row r="359" spans="1:5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/>
    </row>
    <row r="360" spans="1:5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/>
    </row>
    <row r="361" spans="1:5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/>
    </row>
    <row r="362" spans="1:5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/>
    </row>
    <row r="363" spans="1:5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/>
    </row>
    <row r="364" spans="1:5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/>
    </row>
    <row r="365" spans="1:5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/>
    </row>
    <row r="366" spans="1:5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/>
    </row>
    <row r="367" spans="1:5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/>
    </row>
    <row r="368" spans="1:5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/>
    </row>
    <row r="369" spans="1:5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/>
    </row>
    <row r="370" spans="1:5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/>
    </row>
    <row r="371" spans="1:5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/>
    </row>
    <row r="372" spans="1:5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/>
    </row>
    <row r="373" spans="1:5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/>
    </row>
    <row r="374" spans="1:5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/>
    </row>
    <row r="375" spans="1:5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/>
    </row>
    <row r="376" spans="1:5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/>
    </row>
    <row r="377" spans="1:5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/>
    </row>
    <row r="378" spans="1:5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/>
    </row>
    <row r="379" spans="1:5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/>
    </row>
    <row r="380" spans="1:5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/>
    </row>
    <row r="381" spans="1:5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/>
    </row>
    <row r="382" spans="1:5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/>
    </row>
    <row r="383" spans="1:5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/>
    </row>
    <row r="384" spans="1:5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/>
    </row>
    <row r="385" spans="1:5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/>
    </row>
    <row r="386" spans="1:5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/>
    </row>
    <row r="387" spans="1:5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/>
    </row>
    <row r="388" spans="1:5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/>
    </row>
    <row r="389" spans="1:5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/>
    </row>
    <row r="390" spans="1:5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/>
    </row>
    <row r="391" spans="1:5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/>
    </row>
    <row r="392" spans="1:5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/>
    </row>
    <row r="393" spans="1:5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/>
    </row>
    <row r="394" spans="1:5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/>
    </row>
    <row r="395" spans="1:5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/>
    </row>
    <row r="396" spans="1:5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/>
    </row>
    <row r="397" spans="1:5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/>
    </row>
    <row r="398" spans="1:5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/>
    </row>
    <row r="399" spans="1:5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/>
    </row>
    <row r="400" spans="1:5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/>
    </row>
    <row r="401" spans="1:5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/>
    </row>
    <row r="402" spans="1:5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/>
    </row>
    <row r="403" spans="1:5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/>
    </row>
    <row r="404" spans="1:5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/>
    </row>
    <row r="405" spans="1:5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/>
    </row>
    <row r="406" spans="1:5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/>
    </row>
    <row r="407" spans="1:5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/>
    </row>
    <row r="408" spans="1:5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/>
    </row>
    <row r="409" spans="1:5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/>
    </row>
    <row r="410" spans="1:5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/>
    </row>
    <row r="411" spans="1:5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/>
    </row>
    <row r="412" spans="1:5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/>
    </row>
    <row r="413" spans="1:5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/>
    </row>
    <row r="414" spans="1:5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/>
    </row>
    <row r="415" spans="1:5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/>
    </row>
    <row r="416" spans="1:5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/>
    </row>
    <row r="417" spans="1:5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/>
    </row>
    <row r="418" spans="1:5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/>
    </row>
    <row r="419" spans="1:5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/>
    </row>
    <row r="420" spans="1:5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/>
    </row>
    <row r="421" spans="1:5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/>
    </row>
    <row r="422" spans="1:5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/>
    </row>
    <row r="423" spans="1:5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/>
    </row>
    <row r="424" spans="1:5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/>
    </row>
    <row r="425" spans="1:5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/>
    </row>
    <row r="426" spans="1:5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/>
    </row>
    <row r="427" spans="1:5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/>
    </row>
    <row r="428" spans="1:5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/>
    </row>
    <row r="429" spans="1:5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/>
    </row>
    <row r="430" spans="1:5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/>
    </row>
    <row r="431" spans="1:5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/>
    </row>
    <row r="432" spans="1:5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/>
    </row>
    <row r="433" spans="1:5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/>
    </row>
    <row r="434" spans="1:5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/>
    </row>
    <row r="435" spans="1:5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/>
    </row>
    <row r="436" spans="1:5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/>
    </row>
    <row r="437" spans="1:5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/>
    </row>
    <row r="438" spans="1:5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/>
    </row>
    <row r="439" spans="1:5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/>
    </row>
    <row r="440" spans="1:5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/>
    </row>
    <row r="441" spans="1:5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/>
    </row>
    <row r="442" spans="1:5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/>
    </row>
    <row r="443" spans="1:5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/>
    </row>
    <row r="444" spans="1:5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/>
    </row>
    <row r="445" spans="1:5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/>
    </row>
    <row r="446" spans="1:5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/>
    </row>
    <row r="447" spans="1:5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/>
    </row>
    <row r="448" spans="1:5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/>
    </row>
    <row r="449" spans="1:5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/>
    </row>
    <row r="450" spans="1:5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/>
    </row>
    <row r="451" spans="1:5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/>
    </row>
    <row r="452" spans="1:5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/>
    </row>
    <row r="453" spans="1:5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/>
    </row>
    <row r="454" spans="1:5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/>
    </row>
    <row r="455" spans="1:5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/>
    </row>
    <row r="456" spans="1:5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/>
    </row>
    <row r="457" spans="1:5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/>
    </row>
    <row r="458" spans="1:5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/>
    </row>
    <row r="459" spans="1:5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/>
    </row>
    <row r="460" spans="1:5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/>
    </row>
    <row r="461" spans="1:5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/>
    </row>
    <row r="462" spans="1:5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/>
    </row>
    <row r="463" spans="1:5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/>
    </row>
    <row r="464" spans="1:5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/>
    </row>
    <row r="465" spans="1:5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/>
    </row>
    <row r="466" spans="1:5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/>
    </row>
    <row r="467" spans="1:5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/>
    </row>
    <row r="468" spans="1:5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/>
    </row>
    <row r="469" spans="1:5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/>
    </row>
    <row r="470" spans="1:5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/>
    </row>
    <row r="471" spans="1:5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/>
    </row>
    <row r="472" spans="1:5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/>
    </row>
    <row r="473" spans="1:5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/>
    </row>
    <row r="474" spans="1:5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/>
    </row>
    <row r="475" spans="1:5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/>
    </row>
    <row r="476" spans="1:5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/>
    </row>
    <row r="477" spans="1:5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/>
    </row>
    <row r="478" spans="1:5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/>
    </row>
    <row r="479" spans="1:5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/>
    </row>
    <row r="480" spans="1:5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/>
    </row>
    <row r="481" spans="1:5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/>
    </row>
    <row r="482" spans="1:5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/>
    </row>
    <row r="483" spans="1:5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/>
    </row>
    <row r="484" spans="1:5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/>
    </row>
    <row r="485" spans="1:5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/>
    </row>
    <row r="486" spans="1:5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/>
    </row>
    <row r="487" spans="1:5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/>
    </row>
    <row r="488" spans="1:5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/>
    </row>
    <row r="489" spans="1:5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/>
    </row>
    <row r="490" spans="1:5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/>
    </row>
    <row r="491" spans="1:5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/>
    </row>
    <row r="492" spans="1:5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/>
    </row>
    <row r="493" spans="1:5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/>
    </row>
    <row r="494" spans="1:5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/>
    </row>
    <row r="495" spans="1:5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/>
    </row>
    <row r="496" spans="1:5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/>
    </row>
    <row r="497" spans="1:5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/>
    </row>
    <row r="498" spans="1:5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/>
    </row>
    <row r="499" spans="1:5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/>
    </row>
    <row r="500" spans="1:5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/>
    </row>
    <row r="501" spans="1:5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/>
    </row>
    <row r="502" spans="1:5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/>
    </row>
    <row r="503" spans="1:5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/>
    </row>
    <row r="504" spans="1:5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/>
    </row>
    <row r="505" spans="1:5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/>
    </row>
    <row r="506" spans="1:5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/>
    </row>
    <row r="507" spans="1:5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/>
    </row>
    <row r="508" spans="1:5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/>
    </row>
    <row r="509" spans="1:5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/>
    </row>
    <row r="510" spans="1:5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/>
    </row>
    <row r="511" spans="1:5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/>
    </row>
    <row r="512" spans="1:5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/>
    </row>
    <row r="513" spans="1:5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/>
    </row>
    <row r="514" spans="1:5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/>
    </row>
    <row r="515" spans="1:5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/>
    </row>
    <row r="516" spans="1:5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/>
    </row>
    <row r="517" spans="1:5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/>
    </row>
    <row r="518" spans="1:5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/>
    </row>
    <row r="519" spans="1:5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/>
    </row>
    <row r="520" spans="1:5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/>
    </row>
    <row r="521" spans="1:5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/>
    </row>
    <row r="522" spans="1:5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/>
    </row>
    <row r="523" spans="1:5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/>
    </row>
    <row r="524" spans="1:5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/>
    </row>
    <row r="525" spans="1:5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/>
    </row>
    <row r="526" spans="1:5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/>
    </row>
    <row r="527" spans="1:5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/>
    </row>
    <row r="528" spans="1:5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/>
    </row>
    <row r="529" spans="1:5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/>
    </row>
    <row r="530" spans="1:5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/>
    </row>
    <row r="531" spans="1:5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/>
    </row>
    <row r="532" spans="1:5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/>
    </row>
    <row r="533" spans="1:5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/>
    </row>
    <row r="534" spans="1:5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/>
    </row>
    <row r="535" spans="1:5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/>
    </row>
    <row r="536" spans="1:5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/>
    </row>
    <row r="537" spans="1:5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/>
    </row>
    <row r="538" spans="1:5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/>
    </row>
    <row r="539" spans="1:5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/>
    </row>
    <row r="540" spans="1:5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/>
    </row>
    <row r="541" spans="1:5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/>
    </row>
    <row r="542" spans="1:5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/>
    </row>
    <row r="543" spans="1:5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/>
    </row>
    <row r="544" spans="1:5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/>
    </row>
    <row r="545" spans="1:5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/>
    </row>
    <row r="546" spans="1:5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/>
    </row>
    <row r="547" spans="1:5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/>
    </row>
    <row r="548" spans="1:5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/>
    </row>
    <row r="549" spans="1:5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/>
    </row>
    <row r="550" spans="1:5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/>
    </row>
    <row r="551" spans="1:5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/>
    </row>
    <row r="552" spans="1:5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/>
    </row>
    <row r="553" spans="1:5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/>
    </row>
    <row r="554" spans="1:5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/>
    </row>
    <row r="555" spans="1:5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/>
    </row>
    <row r="556" spans="1:5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/>
    </row>
    <row r="557" spans="1:5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/>
    </row>
    <row r="558" spans="1:5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/>
    </row>
    <row r="559" spans="1:5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/>
    </row>
    <row r="560" spans="1:5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/>
    </row>
    <row r="561" spans="1:5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/>
    </row>
    <row r="562" spans="1:5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/>
    </row>
    <row r="563" spans="1:5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/>
    </row>
    <row r="564" spans="1:5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/>
    </row>
    <row r="565" spans="1:5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/>
    </row>
    <row r="566" spans="1:5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/>
    </row>
    <row r="567" spans="1:5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/>
    </row>
    <row r="568" spans="1:5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/>
    </row>
    <row r="569" spans="1:5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/>
    </row>
    <row r="570" spans="1:5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/>
    </row>
    <row r="571" spans="1:5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/>
    </row>
    <row r="572" spans="1:5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/>
    </row>
    <row r="573" spans="1:5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/>
    </row>
    <row r="574" spans="1:5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/>
    </row>
    <row r="575" spans="1:5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/>
    </row>
    <row r="576" spans="1:5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/>
    </row>
    <row r="577" spans="1:5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/>
    </row>
    <row r="578" spans="1:5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/>
    </row>
    <row r="579" spans="1:5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/>
    </row>
    <row r="580" spans="1:5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/>
    </row>
    <row r="581" spans="1:5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/>
    </row>
    <row r="582" spans="1:5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/>
    </row>
    <row r="583" spans="1:5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/>
    </row>
    <row r="584" spans="1:5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/>
    </row>
    <row r="585" spans="1:5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/>
    </row>
    <row r="586" spans="1:5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/>
    </row>
    <row r="587" spans="1:5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/>
    </row>
    <row r="588" spans="1:5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/>
    </row>
    <row r="589" spans="1:5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/>
    </row>
    <row r="590" spans="1:5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/>
    </row>
    <row r="591" spans="1:5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/>
    </row>
    <row r="592" spans="1:5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/>
    </row>
    <row r="593" spans="1:5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/>
    </row>
    <row r="594" spans="1:5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/>
    </row>
    <row r="595" spans="1:5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/>
    </row>
    <row r="596" spans="1:5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/>
    </row>
    <row r="597" spans="1:5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/>
    </row>
    <row r="598" spans="1:5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/>
    </row>
    <row r="599" spans="1:5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/>
    </row>
    <row r="600" spans="1:5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/>
    </row>
    <row r="601" spans="1:5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/>
    </row>
    <row r="602" spans="1:5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/>
    </row>
    <row r="603" spans="1:5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/>
    </row>
    <row r="604" spans="1:5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/>
    </row>
    <row r="605" spans="1:5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/>
    </row>
    <row r="606" spans="1:5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/>
    </row>
    <row r="607" spans="1:5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/>
    </row>
    <row r="608" spans="1:5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/>
    </row>
    <row r="609" spans="1:5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/>
    </row>
    <row r="610" spans="1:5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/>
    </row>
    <row r="611" spans="1:5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/>
    </row>
    <row r="612" spans="1:5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/>
    </row>
    <row r="613" spans="1:5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/>
    </row>
    <row r="614" spans="1:5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/>
    </row>
    <row r="615" spans="1:5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/>
    </row>
    <row r="616" spans="1:5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/>
    </row>
    <row r="617" spans="1:5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/>
    </row>
    <row r="618" spans="1:5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/>
    </row>
    <row r="619" spans="1:5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/>
    </row>
    <row r="620" spans="1:5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/>
    </row>
    <row r="621" spans="1:5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/>
    </row>
    <row r="622" spans="1:5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/>
    </row>
    <row r="623" spans="1:5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/>
    </row>
    <row r="624" spans="1:5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/>
    </row>
    <row r="625" spans="1:5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/>
    </row>
    <row r="626" spans="1:5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/>
    </row>
    <row r="627" spans="1:5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/>
    </row>
    <row r="628" spans="1:5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/>
    </row>
    <row r="629" spans="1:5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/>
    </row>
    <row r="630" spans="1:5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/>
    </row>
    <row r="631" spans="1:5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/>
    </row>
    <row r="632" spans="1:5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/>
    </row>
    <row r="633" spans="1:5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/>
    </row>
    <row r="634" spans="1:5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/>
    </row>
    <row r="635" spans="1:5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/>
    </row>
    <row r="636" spans="1:5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/>
    </row>
    <row r="637" spans="1:5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/>
    </row>
    <row r="638" spans="1:5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/>
    </row>
    <row r="639" spans="1:5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/>
    </row>
    <row r="640" spans="1:5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/>
    </row>
    <row r="641" spans="1:5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/>
    </row>
    <row r="642" spans="1:5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/>
    </row>
    <row r="643" spans="1:5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/>
    </row>
    <row r="644" spans="1:5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/>
    </row>
    <row r="645" spans="1:5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/>
    </row>
    <row r="646" spans="1:5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/>
    </row>
    <row r="647" spans="1:5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/>
    </row>
    <row r="648" spans="1:5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/>
    </row>
    <row r="649" spans="1:5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/>
    </row>
    <row r="650" spans="1:5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/>
    </row>
    <row r="651" spans="1:5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/>
    </row>
    <row r="652" spans="1:5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/>
    </row>
    <row r="653" spans="1:5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/>
    </row>
    <row r="654" spans="1:5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/>
    </row>
    <row r="655" spans="1:5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/>
    </row>
    <row r="656" spans="1:5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/>
    </row>
    <row r="657" spans="1:5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/>
    </row>
    <row r="658" spans="1:5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/>
    </row>
    <row r="659" spans="1:5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/>
    </row>
    <row r="660" spans="1:5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/>
    </row>
    <row r="661" spans="1:5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/>
    </row>
    <row r="662" spans="1:5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/>
    </row>
    <row r="663" spans="1:5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/>
    </row>
    <row r="664" spans="1:5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/>
    </row>
    <row r="665" spans="1:5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/>
    </row>
    <row r="666" spans="1:5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/>
    </row>
    <row r="667" spans="1:5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/>
    </row>
    <row r="668" spans="1:5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/>
    </row>
    <row r="669" spans="1:5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/>
    </row>
    <row r="670" spans="1:5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/>
    </row>
    <row r="671" spans="1:5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/>
    </row>
    <row r="672" spans="1:5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/>
    </row>
    <row r="673" spans="1:5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/>
    </row>
    <row r="674" spans="1:5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/>
    </row>
    <row r="675" spans="1:5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/>
    </row>
    <row r="676" spans="1:5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/>
    </row>
    <row r="677" spans="1:5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/>
    </row>
    <row r="678" spans="1:5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/>
    </row>
    <row r="679" spans="1:5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/>
    </row>
    <row r="680" spans="1:5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/>
    </row>
    <row r="681" spans="1:5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/>
    </row>
    <row r="682" spans="1:5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/>
    </row>
    <row r="683" spans="1:5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/>
    </row>
    <row r="684" spans="1:5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/>
    </row>
    <row r="685" spans="1:5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/>
    </row>
    <row r="686" spans="1:5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/>
    </row>
    <row r="687" spans="1:5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/>
    </row>
    <row r="688" spans="1:5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/>
    </row>
    <row r="689" spans="1:5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/>
    </row>
    <row r="690" spans="1:5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/>
    </row>
    <row r="691" spans="1:5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/>
    </row>
    <row r="692" spans="1:5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/>
    </row>
    <row r="693" spans="1:5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/>
    </row>
    <row r="694" spans="1:5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/>
    </row>
    <row r="695" spans="1:5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/>
    </row>
    <row r="696" spans="1:5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/>
    </row>
    <row r="697" spans="1:5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/>
    </row>
    <row r="698" spans="1:5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/>
    </row>
    <row r="699" spans="1:5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/>
    </row>
    <row r="700" spans="1:5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/>
    </row>
    <row r="701" spans="1:5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/>
    </row>
    <row r="702" spans="1:5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/>
    </row>
    <row r="703" spans="1:5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/>
    </row>
    <row r="704" spans="1:5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/>
    </row>
    <row r="705" spans="1:5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/>
    </row>
    <row r="706" spans="1:5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/>
    </row>
    <row r="707" spans="1:5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/>
    </row>
    <row r="708" spans="1:5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/>
    </row>
    <row r="709" spans="1:5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/>
    </row>
    <row r="710" spans="1:5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/>
    </row>
    <row r="711" spans="1:5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/>
    </row>
    <row r="712" spans="1:5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/>
    </row>
    <row r="713" spans="1:5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/>
    </row>
    <row r="714" spans="1:5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/>
    </row>
    <row r="715" spans="1:5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/>
    </row>
    <row r="716" spans="1:5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/>
    </row>
    <row r="717" spans="1:5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/>
    </row>
    <row r="718" spans="1:5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/>
    </row>
    <row r="719" spans="1:5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/>
    </row>
    <row r="720" spans="1:5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/>
    </row>
    <row r="721" spans="1:5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/>
    </row>
    <row r="722" spans="1:5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/>
    </row>
    <row r="723" spans="1:5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/>
    </row>
    <row r="724" spans="1:5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/>
    </row>
    <row r="725" spans="1:5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/>
    </row>
    <row r="726" spans="1:5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/>
    </row>
    <row r="727" spans="1:5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/>
    </row>
    <row r="728" spans="1:5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/>
    </row>
    <row r="729" spans="1:5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/>
    </row>
    <row r="730" spans="1:5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/>
    </row>
    <row r="731" spans="1:5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/>
    </row>
    <row r="732" spans="1:5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/>
    </row>
    <row r="733" spans="1:5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/>
    </row>
    <row r="734" spans="1:5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/>
    </row>
    <row r="735" spans="1:5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/>
    </row>
    <row r="736" spans="1:5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/>
    </row>
    <row r="737" spans="1:5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/>
    </row>
    <row r="738" spans="1:5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/>
    </row>
    <row r="739" spans="1:5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/>
    </row>
    <row r="740" spans="1:5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/>
    </row>
    <row r="741" spans="1:5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/>
    </row>
    <row r="742" spans="1:5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/>
    </row>
    <row r="743" spans="1:5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/>
    </row>
    <row r="744" spans="1:5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/>
    </row>
    <row r="745" spans="1:5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/>
    </row>
    <row r="746" spans="1:5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/>
    </row>
    <row r="747" spans="1:5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/>
    </row>
    <row r="748" spans="1:5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/>
    </row>
    <row r="749" spans="1:5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/>
    </row>
    <row r="750" spans="1:5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/>
    </row>
    <row r="751" spans="1:5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/>
    </row>
    <row r="752" spans="1:5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/>
    </row>
    <row r="753" spans="1:5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/>
    </row>
    <row r="754" spans="1:5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/>
    </row>
    <row r="755" spans="1:5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/>
    </row>
    <row r="756" spans="1:5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/>
    </row>
    <row r="757" spans="1:5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/>
    </row>
    <row r="758" spans="1:5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/>
    </row>
    <row r="759" spans="1:5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/>
    </row>
    <row r="760" spans="1:5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/>
    </row>
    <row r="761" spans="1:5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/>
    </row>
    <row r="762" spans="1:5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/>
    </row>
    <row r="763" spans="1:5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/>
    </row>
    <row r="764" spans="1:5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/>
    </row>
    <row r="765" spans="1:5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/>
    </row>
    <row r="766" spans="1:5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/>
    </row>
    <row r="767" spans="1:5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/>
    </row>
    <row r="768" spans="1:5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/>
    </row>
    <row r="769" spans="1:5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/>
    </row>
    <row r="770" spans="1:5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/>
    </row>
    <row r="771" spans="1:5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/>
    </row>
    <row r="772" spans="1:5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/>
    </row>
    <row r="773" spans="1:5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/>
    </row>
    <row r="774" spans="1:5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/>
    </row>
    <row r="775" spans="1:5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/>
    </row>
    <row r="776" spans="1:5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/>
    </row>
    <row r="777" spans="1:5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/>
    </row>
    <row r="778" spans="1:5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/>
    </row>
    <row r="779" spans="1:5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/>
    </row>
    <row r="780" spans="1:5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/>
    </row>
    <row r="781" spans="1:5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/>
    </row>
    <row r="782" spans="1:5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/>
    </row>
    <row r="783" spans="1:5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/>
    </row>
    <row r="784" spans="1:5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/>
    </row>
    <row r="785" spans="1:5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/>
    </row>
    <row r="786" spans="1:5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/>
    </row>
    <row r="787" spans="1:5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/>
    </row>
    <row r="788" spans="1:5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/>
    </row>
    <row r="789" spans="1:5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/>
    </row>
    <row r="790" spans="1:5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/>
    </row>
    <row r="791" spans="1:5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/>
    </row>
    <row r="792" spans="1:5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/>
    </row>
    <row r="793" spans="1:5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/>
    </row>
    <row r="794" spans="1:5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/>
    </row>
    <row r="795" spans="1:5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/>
    </row>
    <row r="796" spans="1:5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/>
    </row>
    <row r="797" spans="1:5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/>
    </row>
    <row r="798" spans="1:5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/>
    </row>
    <row r="799" spans="1:5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/>
    </row>
    <row r="800" spans="1:5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/>
    </row>
    <row r="801" spans="1:5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/>
    </row>
    <row r="802" spans="1:5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/>
    </row>
    <row r="803" spans="1:5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/>
    </row>
    <row r="804" spans="1:5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/>
    </row>
    <row r="805" spans="1:5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/>
    </row>
    <row r="806" spans="1:5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/>
    </row>
    <row r="807" spans="1:5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/>
    </row>
    <row r="808" spans="1:5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/>
    </row>
    <row r="809" spans="1:5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/>
    </row>
    <row r="810" spans="1:5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/>
    </row>
    <row r="811" spans="1:5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/>
    </row>
    <row r="812" spans="1:5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/>
    </row>
    <row r="813" spans="1:5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/>
    </row>
    <row r="814" spans="1:5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/>
    </row>
    <row r="815" spans="1:5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/>
    </row>
    <row r="816" spans="1:5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/>
    </row>
    <row r="817" spans="1:5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/>
    </row>
    <row r="818" spans="1:5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/>
    </row>
    <row r="819" spans="1:5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/>
    </row>
    <row r="820" spans="1:5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/>
    </row>
    <row r="821" spans="1:5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/>
    </row>
    <row r="822" spans="1:5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/>
    </row>
    <row r="823" spans="1:5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/>
    </row>
    <row r="824" spans="1:5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/>
    </row>
    <row r="825" spans="1:5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/>
    </row>
    <row r="826" spans="1:5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/>
    </row>
    <row r="827" spans="1:5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/>
    </row>
    <row r="828" spans="1:5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/>
    </row>
    <row r="829" spans="1:5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/>
    </row>
    <row r="830" spans="1:5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/>
    </row>
    <row r="831" spans="1:5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/>
    </row>
    <row r="832" spans="1:5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/>
    </row>
    <row r="833" spans="1:5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/>
    </row>
    <row r="834" spans="1:5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/>
    </row>
    <row r="835" spans="1:5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/>
    </row>
    <row r="836" spans="1:5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/>
    </row>
    <row r="837" spans="1:5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/>
    </row>
    <row r="838" spans="1:5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/>
    </row>
    <row r="839" spans="1:5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/>
    </row>
    <row r="840" spans="1:5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/>
    </row>
    <row r="841" spans="1:5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/>
    </row>
    <row r="842" spans="1:5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/>
    </row>
    <row r="843" spans="1:5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/>
    </row>
    <row r="844" spans="1:5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/>
    </row>
    <row r="845" spans="1:5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/>
    </row>
    <row r="846" spans="1:5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/>
    </row>
    <row r="847" spans="1:5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/>
    </row>
    <row r="848" spans="1:5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/>
    </row>
    <row r="849" spans="1:5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/>
    </row>
    <row r="850" spans="1:5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/>
    </row>
    <row r="851" spans="1:5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/>
    </row>
    <row r="852" spans="1:5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/>
    </row>
    <row r="853" spans="1:5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/>
    </row>
    <row r="854" spans="1:5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/>
    </row>
    <row r="855" spans="1:5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/>
    </row>
    <row r="856" spans="1:5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/>
    </row>
    <row r="857" spans="1:5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/>
    </row>
    <row r="858" spans="1:5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/>
    </row>
    <row r="859" spans="1:5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/>
    </row>
    <row r="860" spans="1:5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/>
    </row>
    <row r="861" spans="1:5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/>
    </row>
    <row r="862" spans="1:5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/>
    </row>
    <row r="863" spans="1:5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/>
    </row>
    <row r="864" spans="1:5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/>
    </row>
    <row r="865" spans="1:5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/>
    </row>
    <row r="866" spans="1:5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/>
    </row>
    <row r="867" spans="1:5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/>
    </row>
    <row r="868" spans="1:5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/>
    </row>
    <row r="869" spans="1:5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/>
    </row>
    <row r="870" spans="1:5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/>
    </row>
    <row r="871" spans="1:5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/>
    </row>
    <row r="872" spans="1:5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/>
    </row>
    <row r="873" spans="1:5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/>
    </row>
    <row r="874" spans="1:5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/>
    </row>
    <row r="875" spans="1:5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/>
    </row>
    <row r="876" spans="1:5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/>
    </row>
    <row r="877" spans="1:5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/>
    </row>
    <row r="878" spans="1:5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/>
    </row>
    <row r="879" spans="1:5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/>
    </row>
    <row r="880" spans="1:5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/>
    </row>
    <row r="881" spans="1:5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/>
    </row>
    <row r="882" spans="1:5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/>
    </row>
    <row r="883" spans="1:5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/>
    </row>
    <row r="884" spans="1:5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/>
    </row>
    <row r="885" spans="1:5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/>
    </row>
    <row r="886" spans="1:5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/>
    </row>
    <row r="887" spans="1:5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/>
    </row>
    <row r="888" spans="1:5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/>
    </row>
    <row r="889" spans="1:5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/>
    </row>
    <row r="890" spans="1:5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/>
    </row>
    <row r="891" spans="1:5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/>
    </row>
    <row r="892" spans="1:5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/>
    </row>
    <row r="893" spans="1:5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/>
    </row>
    <row r="894" spans="1:5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/>
    </row>
    <row r="895" spans="1:5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/>
    </row>
    <row r="896" spans="1:5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/>
    </row>
    <row r="897" spans="1:5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/>
    </row>
    <row r="898" spans="1:5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/>
    </row>
    <row r="899" spans="1:5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/>
    </row>
    <row r="900" spans="1:5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/>
    </row>
    <row r="901" spans="1:5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/>
    </row>
    <row r="902" spans="1:5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/>
    </row>
    <row r="903" spans="1:5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/>
    </row>
    <row r="904" spans="1:5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/>
    </row>
    <row r="905" spans="1:5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/>
    </row>
    <row r="906" spans="1:5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/>
    </row>
    <row r="907" spans="1:5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/>
    </row>
    <row r="908" spans="1:5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/>
    </row>
    <row r="909" spans="1:5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/>
    </row>
    <row r="910" spans="1:5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/>
    </row>
    <row r="911" spans="1:5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/>
    </row>
    <row r="912" spans="1:5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/>
    </row>
    <row r="913" spans="1:5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/>
    </row>
    <row r="914" spans="1:5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/>
    </row>
    <row r="915" spans="1:5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/>
    </row>
    <row r="916" spans="1:5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/>
    </row>
    <row r="917" spans="1:5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/>
    </row>
    <row r="918" spans="1:5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/>
    </row>
    <row r="919" spans="1:5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/>
    </row>
    <row r="920" spans="1:5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/>
    </row>
    <row r="921" spans="1:5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/>
    </row>
    <row r="922" spans="1:5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/>
    </row>
    <row r="923" spans="1:5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/>
    </row>
    <row r="924" spans="1:5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/>
    </row>
    <row r="925" spans="1:5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/>
    </row>
    <row r="926" spans="1:5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/>
    </row>
    <row r="927" spans="1:5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/>
    </row>
    <row r="928" spans="1:5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/>
    </row>
    <row r="929" spans="1:5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/>
    </row>
    <row r="930" spans="1:5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/>
    </row>
    <row r="931" spans="1:5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/>
    </row>
    <row r="932" spans="1:5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/>
    </row>
    <row r="933" spans="1:5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/>
    </row>
    <row r="934" spans="1:5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/>
    </row>
    <row r="935" spans="1:5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/>
    </row>
    <row r="936" spans="1:5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/>
    </row>
    <row r="937" spans="1:5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/>
    </row>
    <row r="938" spans="1:5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/>
    </row>
    <row r="939" spans="1:5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/>
    </row>
    <row r="940" spans="1:5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/>
    </row>
    <row r="941" spans="1:5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/>
    </row>
    <row r="942" spans="1:5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/>
    </row>
    <row r="943" spans="1:5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/>
    </row>
    <row r="944" spans="1:5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/>
    </row>
    <row r="945" spans="1:5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/>
    </row>
    <row r="946" spans="1:5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/>
    </row>
    <row r="947" spans="1:5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/>
    </row>
    <row r="948" spans="1:5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/>
    </row>
    <row r="949" spans="1:5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/>
    </row>
    <row r="950" spans="1:5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/>
    </row>
    <row r="951" spans="1:5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/>
    </row>
    <row r="952" spans="1:5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/>
    </row>
    <row r="953" spans="1:5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/>
    </row>
    <row r="954" spans="1:5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/>
    </row>
    <row r="955" spans="1:5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/>
    </row>
    <row r="956" spans="1:5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/>
    </row>
    <row r="957" spans="1:5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/>
    </row>
    <row r="958" spans="1:5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/>
    </row>
    <row r="959" spans="1:5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/>
    </row>
    <row r="960" spans="1:5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/>
    </row>
    <row r="961" spans="1:5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/>
    </row>
    <row r="962" spans="1:5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/>
    </row>
    <row r="963" spans="1:5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/>
    </row>
    <row r="964" spans="1:5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/>
    </row>
    <row r="965" spans="1:5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/>
    </row>
    <row r="966" spans="1:5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/>
    </row>
    <row r="967" spans="1:5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/>
    </row>
    <row r="968" spans="1:5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/>
    </row>
    <row r="969" spans="1:5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/>
    </row>
    <row r="970" spans="1:5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/>
    </row>
    <row r="971" spans="1:5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/>
    </row>
    <row r="972" spans="1:5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/>
    </row>
    <row r="973" spans="1:5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/>
    </row>
    <row r="974" spans="1:5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/>
    </row>
    <row r="975" spans="1:5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/>
    </row>
    <row r="976" spans="1:5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/>
    </row>
    <row r="977" spans="1:5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/>
    </row>
    <row r="978" spans="1:5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/>
    </row>
    <row r="979" spans="1:5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/>
    </row>
    <row r="980" spans="1:5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/>
    </row>
    <row r="981" spans="1:5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/>
    </row>
    <row r="982" spans="1:5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/>
    </row>
    <row r="983" spans="1:5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/>
    </row>
    <row r="984" spans="1:5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/>
    </row>
    <row r="985" spans="1:5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/>
    </row>
    <row r="986" spans="1:5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/>
    </row>
    <row r="987" spans="1:5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/>
    </row>
    <row r="988" spans="1:5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/>
    </row>
    <row r="989" spans="1:5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/>
    </row>
    <row r="990" spans="1:5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/>
    </row>
    <row r="991" spans="1:5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/>
    </row>
    <row r="992" spans="1:5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/>
    </row>
    <row r="993" spans="1:5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/>
    </row>
    <row r="994" spans="1:5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/>
    </row>
    <row r="995" spans="1:5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/>
    </row>
    <row r="996" spans="1:5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/>
    </row>
    <row r="997" spans="1:5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/>
    </row>
    <row r="998" spans="1:5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/>
    </row>
    <row r="999" spans="1:5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/>
    </row>
    <row r="1000" spans="1:5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/>
    </row>
    <row r="1001" spans="1:5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/>
    </row>
    <row r="1002" spans="1:5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/>
    </row>
    <row r="1003" spans="1:5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/>
    </row>
    <row r="1004" spans="1:5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/>
    </row>
    <row r="1005" spans="1:5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/>
    </row>
    <row r="1006" spans="1:5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/>
    </row>
    <row r="1007" spans="1:5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/>
    </row>
    <row r="1008" spans="1:5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/>
    </row>
    <row r="1009" spans="1:5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/>
    </row>
    <row r="1010" spans="1:5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/>
    </row>
    <row r="1011" spans="1:5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/>
    </row>
    <row r="1012" spans="1:5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/>
    </row>
    <row r="1013" spans="1:5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/>
    </row>
    <row r="1014" spans="1:5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/>
    </row>
    <row r="1015" spans="1:5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/>
    </row>
    <row r="1016" spans="1:5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/>
    </row>
    <row r="1017" spans="1:5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/>
    </row>
    <row r="1018" spans="1:5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/>
    </row>
    <row r="1019" spans="1:5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/>
    </row>
    <row r="1020" spans="1:5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/>
    </row>
    <row r="1021" spans="1:5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/>
    </row>
    <row r="1022" spans="1:5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/>
    </row>
    <row r="1023" spans="1:5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/>
    </row>
    <row r="1024" spans="1:5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/>
    </row>
    <row r="1025" spans="1:5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/>
    </row>
    <row r="1026" spans="1:5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/>
    </row>
    <row r="1027" spans="1:5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/>
    </row>
    <row r="1028" spans="1:5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/>
    </row>
    <row r="1029" spans="1:5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/>
    </row>
    <row r="1030" spans="1:5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/>
    </row>
    <row r="1031" spans="1:5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/>
    </row>
    <row r="1032" spans="1:5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/>
    </row>
    <row r="1033" spans="1:5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/>
    </row>
    <row r="1034" spans="1:5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/>
    </row>
    <row r="1035" spans="1:5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/>
    </row>
    <row r="1036" spans="1:5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/>
    </row>
    <row r="1037" spans="1:5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/>
    </row>
    <row r="1038" spans="1:5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/>
    </row>
    <row r="1039" spans="1:5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/>
    </row>
    <row r="1040" spans="1:5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/>
    </row>
    <row r="1041" spans="1:5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/>
    </row>
    <row r="1042" spans="1:5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/>
    </row>
    <row r="1043" spans="1:5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/>
    </row>
    <row r="1044" spans="1:5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/>
    </row>
    <row r="1045" spans="1:5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/>
    </row>
    <row r="1046" spans="1:5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/>
    </row>
    <row r="1047" spans="1:5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/>
    </row>
    <row r="1048" spans="1:5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/>
    </row>
    <row r="1049" spans="1:5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/>
    </row>
    <row r="1050" spans="1:5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/>
    </row>
    <row r="1051" spans="1:5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/>
    </row>
    <row r="1052" spans="1:5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/>
    </row>
    <row r="1053" spans="1:5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/>
    </row>
    <row r="1054" spans="1:5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/>
    </row>
    <row r="1055" spans="1:5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/>
    </row>
    <row r="1056" spans="1:5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/>
    </row>
    <row r="1057" spans="1:5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/>
    </row>
    <row r="1058" spans="1:5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/>
    </row>
    <row r="1059" spans="1:5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/>
    </row>
    <row r="1060" spans="1:5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/>
    </row>
    <row r="1061" spans="1:5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/>
    </row>
    <row r="1062" spans="1:5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/>
    </row>
    <row r="1063" spans="1:5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/>
    </row>
    <row r="1064" spans="1:5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/>
    </row>
    <row r="1065" spans="1:5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/>
    </row>
    <row r="1066" spans="1:5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/>
    </row>
    <row r="1067" spans="1:5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/>
    </row>
    <row r="1068" spans="1:5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/>
    </row>
    <row r="1069" spans="1:5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/>
    </row>
    <row r="1070" spans="1:5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/>
    </row>
    <row r="1071" spans="1:5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/>
    </row>
    <row r="1072" spans="1:5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/>
    </row>
    <row r="1073" spans="1:5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/>
    </row>
    <row r="1074" spans="1:5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/>
    </row>
    <row r="1075" spans="1:5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/>
    </row>
    <row r="1076" spans="1:5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/>
    </row>
    <row r="1077" spans="1:5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/>
    </row>
    <row r="1078" spans="1:5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/>
    </row>
    <row r="1079" spans="1:5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/>
    </row>
    <row r="1080" spans="1:5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/>
    </row>
    <row r="1081" spans="1:5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/>
    </row>
    <row r="1082" spans="1:5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/>
    </row>
    <row r="1083" spans="1:5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/>
    </row>
    <row r="1084" spans="1:5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/>
    </row>
    <row r="1085" spans="1:5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/>
    </row>
    <row r="1086" spans="1:5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/>
    </row>
    <row r="1087" spans="1:5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/>
    </row>
    <row r="1088" spans="1:5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/>
    </row>
    <row r="1089" spans="1:5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/>
    </row>
    <row r="1090" spans="1:5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/>
    </row>
    <row r="1091" spans="1:5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/>
    </row>
    <row r="1092" spans="1:5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/>
    </row>
    <row r="1093" spans="1:5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/>
    </row>
    <row r="1094" spans="1:5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/>
    </row>
    <row r="1095" spans="1:5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/>
    </row>
    <row r="1096" spans="1:5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/>
    </row>
    <row r="1097" spans="1:5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/>
    </row>
    <row r="1098" spans="1:5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/>
    </row>
    <row r="1099" spans="1:5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/>
    </row>
    <row r="1100" spans="1:5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/>
    </row>
    <row r="1101" spans="1:5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/>
    </row>
    <row r="1102" spans="1:5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/>
    </row>
    <row r="1103" spans="1:5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/>
    </row>
    <row r="1104" spans="1:5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/>
    </row>
    <row r="1105" spans="1:5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/>
    </row>
    <row r="1106" spans="1:5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/>
    </row>
    <row r="1107" spans="1:5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/>
    </row>
    <row r="1108" spans="1:5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/>
    </row>
    <row r="1109" spans="1:5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/>
    </row>
    <row r="1110" spans="1:5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/>
    </row>
    <row r="1111" spans="1:5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/>
    </row>
    <row r="1112" spans="1:5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/>
    </row>
    <row r="1113" spans="1:5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/>
    </row>
    <row r="1114" spans="1:5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/>
    </row>
    <row r="1115" spans="1:5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/>
    </row>
    <row r="1116" spans="1:5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/>
    </row>
    <row r="1117" spans="1:5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/>
    </row>
    <row r="1118" spans="1:5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/>
    </row>
    <row r="1119" spans="1:5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/>
    </row>
    <row r="1120" spans="1:5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/>
    </row>
    <row r="1121" spans="1:5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/>
    </row>
    <row r="1122" spans="1:5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/>
    </row>
    <row r="1123" spans="1:5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/>
    </row>
    <row r="1124" spans="1:5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/>
    </row>
    <row r="1125" spans="1:5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/>
    </row>
    <row r="1126" spans="1:5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/>
    </row>
    <row r="1127" spans="1:5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/>
    </row>
    <row r="1128" spans="1:5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/>
    </row>
    <row r="1129" spans="1:5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/>
    </row>
    <row r="1130" spans="1:5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/>
    </row>
    <row r="1131" spans="1:5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/>
    </row>
    <row r="1132" spans="1:5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/>
    </row>
    <row r="1133" spans="1:5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/>
    </row>
    <row r="1134" spans="1:5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/>
    </row>
    <row r="1135" spans="1:5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/>
    </row>
    <row r="1136" spans="1:5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/>
    </row>
    <row r="1137" spans="1:5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/>
    </row>
    <row r="1138" spans="1:5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/>
    </row>
    <row r="1139" spans="1:5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/>
    </row>
    <row r="1140" spans="1:5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/>
    </row>
    <row r="1141" spans="1:5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/>
    </row>
    <row r="1142" spans="1:5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/>
    </row>
    <row r="1143" spans="1:5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/>
    </row>
    <row r="1144" spans="1:5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/>
    </row>
    <row r="1145" spans="1:5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/>
    </row>
    <row r="1146" spans="1:5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/>
    </row>
    <row r="1147" spans="1:5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/>
    </row>
    <row r="1148" spans="1:5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/>
    </row>
    <row r="1149" spans="1:5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/>
    </row>
    <row r="1150" spans="1:5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/>
    </row>
    <row r="1151" spans="1:5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/>
    </row>
    <row r="1152" spans="1:5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/>
    </row>
    <row r="1153" spans="3:5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/>
    </row>
    <row r="1154" spans="3:5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/>
    </row>
  </sheetData>
  <mergeCells count="1">
    <mergeCell ref="A1:A2"/>
  </mergeCells>
  <conditionalFormatting sqref="J7:BE7">
    <cfRule type="expression" dxfId="889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1154"/>
  <sheetViews>
    <sheetView showGridLines="0" zoomScale="85" zoomScaleNormal="85" workbookViewId="0">
      <pane ySplit="4" topLeftCell="A5" activePane="bottomLeft" state="frozen"/>
      <selection pane="bottomLeft" activeCell="O6" sqref="O6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13" width="11.5703125" style="1" customWidth="1"/>
    <col min="14" max="15" width="11.5703125" style="104" customWidth="1"/>
    <col min="16" max="16384" width="9.140625" style="104"/>
  </cols>
  <sheetData>
    <row r="1" spans="1:15" s="1" customFormat="1" ht="23.25" x14ac:dyDescent="0.35">
      <c r="A1" s="171"/>
      <c r="C1" s="135" t="s">
        <v>195</v>
      </c>
      <c r="D1" s="2"/>
      <c r="J1" s="167" t="s">
        <v>1174</v>
      </c>
      <c r="K1" s="128"/>
      <c r="L1" s="167" t="s">
        <v>1634</v>
      </c>
      <c r="M1" s="167" t="s">
        <v>1176</v>
      </c>
      <c r="N1" s="167" t="s">
        <v>1175</v>
      </c>
      <c r="O1" s="168"/>
    </row>
    <row r="2" spans="1:15" s="2" customFormat="1" x14ac:dyDescent="0.25">
      <c r="A2" s="17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</row>
    <row r="3" spans="1:1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12</v>
      </c>
      <c r="K3" s="48"/>
      <c r="L3" s="169" t="s">
        <v>1632</v>
      </c>
      <c r="M3" s="61" t="s">
        <v>745</v>
      </c>
      <c r="N3" s="119" t="s">
        <v>12</v>
      </c>
      <c r="O3" s="121"/>
    </row>
    <row r="4" spans="1:15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13</v>
      </c>
      <c r="K4" s="13" t="s">
        <v>14</v>
      </c>
      <c r="L4" s="158" t="s">
        <v>144</v>
      </c>
      <c r="M4" s="10" t="s">
        <v>195</v>
      </c>
      <c r="N4" s="122" t="s">
        <v>13</v>
      </c>
      <c r="O4" s="124" t="s">
        <v>14</v>
      </c>
    </row>
    <row r="5" spans="1:15" x14ac:dyDescent="0.25">
      <c r="A5" s="14"/>
      <c r="C5" s="1" t="s">
        <v>1101</v>
      </c>
      <c r="J5" s="62"/>
      <c r="K5" s="62"/>
      <c r="L5" s="62"/>
      <c r="N5" s="62">
        <f>SUBTOTAL(109,kp_mat_T[kp_mat_f])</f>
        <v>0</v>
      </c>
      <c r="O5" s="62">
        <f>SUBTOTAL(109,kp_mat_T[kp_mat_m])</f>
        <v>0</v>
      </c>
    </row>
    <row r="6" spans="1:15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1679</v>
      </c>
      <c r="K6" s="26" t="s">
        <v>1680</v>
      </c>
      <c r="L6" s="26" t="s">
        <v>1630</v>
      </c>
      <c r="M6" s="26" t="s">
        <v>1002</v>
      </c>
      <c r="N6" s="26" t="s">
        <v>481</v>
      </c>
      <c r="O6" s="26" t="s">
        <v>482</v>
      </c>
    </row>
    <row r="7" spans="1:1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161">
        <f>SUM(kp_mat_T[[A_kp_mat_f]:[A_kp_mat_m]])</f>
        <v>0</v>
      </c>
      <c r="M7" s="42"/>
      <c r="N7" s="42">
        <f>kp_mat_T[[#This Row],[D_kp_mat_fy19]:[D_kp_mat_fy19]]*kp_mat_T[A_kp_mat_f]</f>
        <v>0</v>
      </c>
      <c r="O7" s="42">
        <f>kp_mat_T[[#This Row],[D_kp_mat_fy19]:[D_kp_mat_fy19]]*kp_mat_T[A_kp_mat_m]</f>
        <v>0</v>
      </c>
    </row>
    <row r="8" spans="1:1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</row>
    <row r="9" spans="1:1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1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1:1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1:15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</row>
    <row r="13" spans="1:15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</row>
    <row r="14" spans="1:15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</row>
    <row r="15" spans="1:15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</row>
    <row r="16" spans="1:15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</row>
    <row r="17" spans="1:13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</row>
    <row r="18" spans="1:13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</row>
    <row r="19" spans="1:13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</row>
    <row r="20" spans="1:13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</row>
    <row r="21" spans="1:13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</row>
    <row r="22" spans="1:13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</row>
    <row r="23" spans="1:13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</row>
    <row r="24" spans="1:13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</row>
    <row r="25" spans="1:13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</row>
    <row r="26" spans="1:13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</row>
    <row r="27" spans="1:13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</row>
    <row r="28" spans="1:13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</row>
    <row r="29" spans="1:13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</row>
    <row r="30" spans="1:13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</row>
    <row r="31" spans="1:13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</row>
    <row r="32" spans="1:13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</row>
    <row r="33" spans="1:13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</row>
    <row r="34" spans="1:13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</row>
    <row r="35" spans="1:13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</row>
    <row r="36" spans="1:13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</row>
    <row r="37" spans="1:13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</row>
    <row r="38" spans="1:13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</row>
    <row r="39" spans="1:13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</row>
    <row r="40" spans="1:13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</row>
    <row r="41" spans="1:13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</row>
    <row r="42" spans="1:13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</row>
    <row r="43" spans="1:13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</row>
    <row r="44" spans="1:13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</row>
    <row r="45" spans="1:13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</row>
    <row r="46" spans="1:13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</row>
    <row r="47" spans="1:13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</row>
    <row r="48" spans="1:13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</row>
    <row r="49" spans="1:13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</row>
    <row r="50" spans="1:13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</row>
    <row r="51" spans="1:13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</row>
    <row r="52" spans="1:13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</row>
    <row r="53" spans="1:13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</row>
    <row r="54" spans="1:13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</row>
    <row r="55" spans="1:13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</row>
    <row r="56" spans="1:13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</row>
    <row r="57" spans="1:13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</row>
    <row r="58" spans="1:13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</row>
    <row r="59" spans="1:13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</row>
    <row r="60" spans="1:13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</row>
    <row r="61" spans="1:13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</row>
    <row r="62" spans="1:13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</row>
    <row r="63" spans="1:13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</row>
    <row r="64" spans="1:13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</row>
    <row r="65" spans="1:13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</row>
    <row r="66" spans="1:13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</row>
    <row r="67" spans="1:13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</row>
    <row r="68" spans="1:13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</row>
    <row r="69" spans="1:13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</row>
    <row r="70" spans="1:13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</row>
    <row r="71" spans="1:13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</row>
    <row r="72" spans="1:13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</row>
    <row r="73" spans="1:13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</row>
    <row r="74" spans="1:13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</row>
    <row r="75" spans="1:13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</row>
    <row r="76" spans="1:13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</row>
    <row r="77" spans="1:13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</row>
    <row r="78" spans="1:13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</row>
    <row r="79" spans="1:13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</row>
    <row r="80" spans="1:13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</row>
    <row r="81" spans="1:13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</row>
    <row r="82" spans="1:13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</row>
    <row r="83" spans="1:13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</row>
    <row r="84" spans="1:13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</row>
    <row r="85" spans="1:13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</row>
    <row r="86" spans="1:13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</row>
    <row r="87" spans="1:13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</row>
    <row r="88" spans="1:13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</row>
    <row r="89" spans="1:13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</row>
    <row r="90" spans="1:13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</row>
    <row r="91" spans="1:13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</row>
    <row r="92" spans="1:13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</row>
    <row r="93" spans="1:13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</row>
    <row r="94" spans="1:13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</row>
    <row r="95" spans="1:13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</row>
    <row r="96" spans="1:13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</row>
    <row r="97" spans="1:13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</row>
    <row r="98" spans="1:13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</row>
    <row r="99" spans="1:13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</row>
    <row r="100" spans="1:13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3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</row>
    <row r="102" spans="1:13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</row>
    <row r="103" spans="1:13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</row>
    <row r="104" spans="1:13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</row>
    <row r="105" spans="1:13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</row>
    <row r="106" spans="1:13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</row>
    <row r="107" spans="1:13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</row>
    <row r="108" spans="1:13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</row>
    <row r="109" spans="1:13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</row>
    <row r="110" spans="1:13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</row>
    <row r="111" spans="1:13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</row>
    <row r="112" spans="1:13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</row>
    <row r="113" spans="1:13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</row>
    <row r="114" spans="1:13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</row>
    <row r="115" spans="1:13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</row>
    <row r="116" spans="1:13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</row>
    <row r="117" spans="1:13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</row>
    <row r="118" spans="1:13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</row>
    <row r="119" spans="1:13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</row>
    <row r="120" spans="1:13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</row>
    <row r="121" spans="1:13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</row>
    <row r="122" spans="1:13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</row>
    <row r="123" spans="1:13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</row>
    <row r="124" spans="1:13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</row>
    <row r="125" spans="1:13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</row>
    <row r="126" spans="1:13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</row>
    <row r="127" spans="1:13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</row>
    <row r="128" spans="1:13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</row>
    <row r="129" spans="1:13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</row>
    <row r="130" spans="1:13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</row>
    <row r="131" spans="1:13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</row>
    <row r="132" spans="1:13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</row>
    <row r="133" spans="1:13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</row>
    <row r="134" spans="1:13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</row>
    <row r="135" spans="1:13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</row>
    <row r="136" spans="1:13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</row>
    <row r="137" spans="1:13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</row>
    <row r="138" spans="1:13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</row>
    <row r="139" spans="1:13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</row>
    <row r="140" spans="1:13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</row>
    <row r="141" spans="1:13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</row>
    <row r="142" spans="1:13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</row>
    <row r="143" spans="1:13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</row>
    <row r="144" spans="1:13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</row>
    <row r="145" spans="1:13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</row>
    <row r="146" spans="1:13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</row>
    <row r="147" spans="1:13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</row>
    <row r="148" spans="1:13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</row>
    <row r="149" spans="1:13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</row>
    <row r="150" spans="1:13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</row>
    <row r="151" spans="1:13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</row>
    <row r="152" spans="1:13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</row>
    <row r="153" spans="1:13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</row>
    <row r="154" spans="1:13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</row>
    <row r="155" spans="1:13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</row>
    <row r="156" spans="1:13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</row>
    <row r="157" spans="1:13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</row>
    <row r="158" spans="1:13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</row>
    <row r="159" spans="1:13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</row>
    <row r="160" spans="1:13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</row>
    <row r="161" spans="1:13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</row>
    <row r="162" spans="1:13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</row>
    <row r="163" spans="1:13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</row>
    <row r="164" spans="1:13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</row>
    <row r="165" spans="1:13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</row>
    <row r="166" spans="1:13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</row>
    <row r="167" spans="1:13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</row>
    <row r="168" spans="1:13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</row>
    <row r="169" spans="1:13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</row>
    <row r="170" spans="1:13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</row>
    <row r="171" spans="1:13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</row>
    <row r="172" spans="1:13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</row>
    <row r="173" spans="1:13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</row>
    <row r="174" spans="1:13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</row>
    <row r="175" spans="1:13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</row>
    <row r="176" spans="1:13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</row>
    <row r="177" spans="1:13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</row>
    <row r="178" spans="1:13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</row>
    <row r="179" spans="1:13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</row>
    <row r="180" spans="1:13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</row>
    <row r="181" spans="1:13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</row>
    <row r="182" spans="1:13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</row>
    <row r="183" spans="1:13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</row>
    <row r="184" spans="1:13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</row>
    <row r="185" spans="1:13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</row>
    <row r="186" spans="1:13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</row>
    <row r="187" spans="1:13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</row>
    <row r="188" spans="1:13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</row>
    <row r="189" spans="1:13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</row>
    <row r="190" spans="1:13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</row>
    <row r="191" spans="1:13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</row>
    <row r="192" spans="1:13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</row>
    <row r="193" spans="1:13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</row>
    <row r="194" spans="1:13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</row>
    <row r="195" spans="1:13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</row>
    <row r="196" spans="1:13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</row>
    <row r="197" spans="1:13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</row>
    <row r="198" spans="1:13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</row>
    <row r="199" spans="1:13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</row>
    <row r="200" spans="1:13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</row>
    <row r="201" spans="1:13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</row>
    <row r="202" spans="1:13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</row>
    <row r="203" spans="1:13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</row>
    <row r="204" spans="1:13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</row>
    <row r="205" spans="1:13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</row>
    <row r="206" spans="1:13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</row>
    <row r="207" spans="1:13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</row>
    <row r="208" spans="1:13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</row>
    <row r="209" spans="1:13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</row>
    <row r="210" spans="1:13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</row>
    <row r="211" spans="1:13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</row>
    <row r="212" spans="1:13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</row>
    <row r="213" spans="1:13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</row>
    <row r="214" spans="1:13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</row>
    <row r="215" spans="1:13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</row>
    <row r="216" spans="1:13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</row>
    <row r="217" spans="1:13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</row>
    <row r="218" spans="1:13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</row>
    <row r="219" spans="1:13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</row>
    <row r="220" spans="1:13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</row>
    <row r="221" spans="1:13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</row>
    <row r="222" spans="1:13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</row>
    <row r="223" spans="1:13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</row>
    <row r="224" spans="1:13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</row>
    <row r="225" spans="1:13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</row>
    <row r="226" spans="1:13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</row>
    <row r="227" spans="1:13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</row>
    <row r="228" spans="1:13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</row>
    <row r="229" spans="1:13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</row>
    <row r="230" spans="1:13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</row>
    <row r="231" spans="1:13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</row>
    <row r="232" spans="1:13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</row>
    <row r="233" spans="1:13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</row>
    <row r="234" spans="1:13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</row>
    <row r="235" spans="1:13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</row>
    <row r="236" spans="1:13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</row>
    <row r="237" spans="1:13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</row>
    <row r="238" spans="1:13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</row>
    <row r="239" spans="1:13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</row>
    <row r="240" spans="1:13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</row>
    <row r="241" spans="1:13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</row>
    <row r="242" spans="1:13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</row>
    <row r="243" spans="1:13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</row>
    <row r="244" spans="1:13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</row>
    <row r="245" spans="1:13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</row>
    <row r="246" spans="1:13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</row>
    <row r="247" spans="1:13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</row>
    <row r="248" spans="1:13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</row>
    <row r="249" spans="1:13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</row>
    <row r="250" spans="1:13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</row>
    <row r="251" spans="1:13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</row>
    <row r="252" spans="1:13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</row>
    <row r="253" spans="1:13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</row>
    <row r="254" spans="1:13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</row>
    <row r="255" spans="1:13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</row>
    <row r="256" spans="1:13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</row>
    <row r="257" spans="1:13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</row>
    <row r="258" spans="1:13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</row>
    <row r="259" spans="1:13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</row>
    <row r="260" spans="1:13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</row>
    <row r="261" spans="1:13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</row>
    <row r="262" spans="1:13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</row>
    <row r="263" spans="1:13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</row>
    <row r="264" spans="1:13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</row>
    <row r="265" spans="1:13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</row>
    <row r="266" spans="1:13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</row>
    <row r="267" spans="1:13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</row>
    <row r="268" spans="1:13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</row>
    <row r="269" spans="1:13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</row>
    <row r="270" spans="1:13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</row>
    <row r="271" spans="1:13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</row>
    <row r="272" spans="1:13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</row>
    <row r="273" spans="1:13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</row>
    <row r="274" spans="1:13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</row>
    <row r="275" spans="1:13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</row>
    <row r="276" spans="1:13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</row>
    <row r="277" spans="1:13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</row>
    <row r="278" spans="1:13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</row>
    <row r="279" spans="1:13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</row>
    <row r="280" spans="1:13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</row>
    <row r="281" spans="1:13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</row>
    <row r="282" spans="1:13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</row>
    <row r="283" spans="1:13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</row>
    <row r="284" spans="1:13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</row>
    <row r="285" spans="1:13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</row>
    <row r="286" spans="1:13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</row>
    <row r="287" spans="1:13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</row>
    <row r="288" spans="1:13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</row>
    <row r="289" spans="1:13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</row>
    <row r="290" spans="1:13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</row>
    <row r="291" spans="1:13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</row>
    <row r="292" spans="1:13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</row>
    <row r="293" spans="1:13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</row>
    <row r="294" spans="1:13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</row>
    <row r="295" spans="1:13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</row>
    <row r="296" spans="1:13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</row>
    <row r="297" spans="1:13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</row>
    <row r="298" spans="1:13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</row>
    <row r="299" spans="1:13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</row>
    <row r="300" spans="1:13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</row>
    <row r="301" spans="1:13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</row>
    <row r="302" spans="1:13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</row>
    <row r="303" spans="1:13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</row>
    <row r="304" spans="1:13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</row>
    <row r="305" spans="1:13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</row>
    <row r="306" spans="1:13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</row>
    <row r="307" spans="1:13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</row>
    <row r="308" spans="1:13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</row>
    <row r="309" spans="1:13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</row>
    <row r="310" spans="1:13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</row>
    <row r="311" spans="1:13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</row>
    <row r="312" spans="1:13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</row>
    <row r="313" spans="1:13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</row>
    <row r="314" spans="1:13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</row>
    <row r="315" spans="1:13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</row>
    <row r="316" spans="1:13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</row>
    <row r="317" spans="1:13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</row>
    <row r="318" spans="1:13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</row>
    <row r="319" spans="1:13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</row>
    <row r="320" spans="1:13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</row>
    <row r="321" spans="1:13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</row>
    <row r="322" spans="1:13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</row>
    <row r="323" spans="1:13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</row>
    <row r="324" spans="1:13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</row>
    <row r="325" spans="1:13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</row>
    <row r="326" spans="1:13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</row>
    <row r="327" spans="1:13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</row>
    <row r="328" spans="1:13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</row>
    <row r="329" spans="1:13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</row>
    <row r="330" spans="1:13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</row>
    <row r="331" spans="1:13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</row>
    <row r="332" spans="1:13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</row>
    <row r="333" spans="1:13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</row>
    <row r="334" spans="1:13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</row>
    <row r="335" spans="1:13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</row>
    <row r="336" spans="1:13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</row>
    <row r="337" spans="1:13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</row>
    <row r="338" spans="1:13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</row>
    <row r="339" spans="1:13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</row>
    <row r="340" spans="1:13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</row>
    <row r="341" spans="1:13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</row>
    <row r="342" spans="1:13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</row>
    <row r="343" spans="1:13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</row>
    <row r="344" spans="1:13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</row>
    <row r="345" spans="1:13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</row>
    <row r="346" spans="1:13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</row>
    <row r="347" spans="1:13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</row>
    <row r="348" spans="1:13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</row>
    <row r="349" spans="1:13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</row>
    <row r="350" spans="1:13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</row>
    <row r="351" spans="1:13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</row>
    <row r="352" spans="1:13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</row>
    <row r="353" spans="1:13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</row>
    <row r="354" spans="1:13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</row>
    <row r="355" spans="1:13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</row>
    <row r="356" spans="1:13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</row>
    <row r="357" spans="1:13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</row>
    <row r="358" spans="1:13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</row>
    <row r="359" spans="1:13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</row>
    <row r="360" spans="1:13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</row>
    <row r="361" spans="1:13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</row>
    <row r="362" spans="1:13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</row>
    <row r="363" spans="1:13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</row>
    <row r="364" spans="1:13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</row>
    <row r="365" spans="1:13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</row>
    <row r="366" spans="1:13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</row>
    <row r="367" spans="1:13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</row>
    <row r="368" spans="1:13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</row>
    <row r="369" spans="1:13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</row>
    <row r="370" spans="1:13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</row>
    <row r="371" spans="1:13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</row>
    <row r="372" spans="1:13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</row>
    <row r="373" spans="1:13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</row>
    <row r="374" spans="1:13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</row>
    <row r="375" spans="1:13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</row>
    <row r="376" spans="1:13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</row>
    <row r="377" spans="1:13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</row>
    <row r="378" spans="1:13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</row>
    <row r="379" spans="1:13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</row>
    <row r="380" spans="1:13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</row>
    <row r="381" spans="1:13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</row>
    <row r="382" spans="1:13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</row>
    <row r="383" spans="1:13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</row>
    <row r="384" spans="1:13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</row>
    <row r="385" spans="1:13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</row>
    <row r="386" spans="1:13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</row>
    <row r="387" spans="1:13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</row>
    <row r="388" spans="1:13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</row>
    <row r="389" spans="1:13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</row>
    <row r="390" spans="1:13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</row>
    <row r="391" spans="1:13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</row>
    <row r="392" spans="1:13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</row>
    <row r="393" spans="1:13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</row>
    <row r="394" spans="1:13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</row>
    <row r="395" spans="1:13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</row>
    <row r="396" spans="1:13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</row>
    <row r="397" spans="1:13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</row>
    <row r="398" spans="1:13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</row>
    <row r="399" spans="1:13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</row>
    <row r="400" spans="1:13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</row>
    <row r="401" spans="1:13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</row>
    <row r="402" spans="1:13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</row>
    <row r="403" spans="1:13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</row>
    <row r="404" spans="1:13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</row>
    <row r="405" spans="1:13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</row>
    <row r="406" spans="1:13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</row>
    <row r="407" spans="1:13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</row>
    <row r="408" spans="1:13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</row>
    <row r="409" spans="1:13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</row>
    <row r="410" spans="1:13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</row>
    <row r="411" spans="1:13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</row>
    <row r="412" spans="1:13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</row>
    <row r="413" spans="1:13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</row>
    <row r="414" spans="1:13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</row>
    <row r="415" spans="1:13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</row>
    <row r="416" spans="1:13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</row>
    <row r="417" spans="1:13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</row>
    <row r="418" spans="1:13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</row>
    <row r="419" spans="1:13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</row>
    <row r="420" spans="1:13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</row>
    <row r="421" spans="1:13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</row>
    <row r="422" spans="1:13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</row>
    <row r="423" spans="1:13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</row>
    <row r="424" spans="1:13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</row>
    <row r="425" spans="1:13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</row>
    <row r="426" spans="1:13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</row>
    <row r="427" spans="1:13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</row>
    <row r="428" spans="1:13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</row>
    <row r="429" spans="1:13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</row>
    <row r="430" spans="1:13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</row>
    <row r="431" spans="1:13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</row>
    <row r="432" spans="1:13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</row>
    <row r="433" spans="1:13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</row>
    <row r="434" spans="1:13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</row>
    <row r="435" spans="1:13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</row>
    <row r="436" spans="1:13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</row>
    <row r="437" spans="1:13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</row>
    <row r="438" spans="1:13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</row>
    <row r="439" spans="1:13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</row>
    <row r="440" spans="1:13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</row>
    <row r="441" spans="1:13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</row>
    <row r="442" spans="1:13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</row>
    <row r="443" spans="1:13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</row>
    <row r="444" spans="1:13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</row>
    <row r="445" spans="1:13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</row>
    <row r="446" spans="1:13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</row>
    <row r="447" spans="1:13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</row>
    <row r="448" spans="1:13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</row>
    <row r="449" spans="1:13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</row>
    <row r="450" spans="1:13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</row>
    <row r="451" spans="1:13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</row>
    <row r="452" spans="1:13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</row>
    <row r="453" spans="1:13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</row>
    <row r="454" spans="1:13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</row>
    <row r="455" spans="1:13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</row>
    <row r="456" spans="1:13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</row>
    <row r="457" spans="1:13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</row>
    <row r="458" spans="1:13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</row>
    <row r="459" spans="1:13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</row>
    <row r="460" spans="1:13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</row>
    <row r="461" spans="1:13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</row>
    <row r="462" spans="1:13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</row>
    <row r="463" spans="1:13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</row>
    <row r="464" spans="1:13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</row>
    <row r="465" spans="1:13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</row>
    <row r="466" spans="1:13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</row>
    <row r="467" spans="1:13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</row>
    <row r="468" spans="1:13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</row>
    <row r="469" spans="1:13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</row>
    <row r="470" spans="1:13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</row>
    <row r="471" spans="1:13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</row>
    <row r="472" spans="1:13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</row>
    <row r="473" spans="1:13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</row>
    <row r="474" spans="1:13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</row>
    <row r="475" spans="1:13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</row>
    <row r="476" spans="1:13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</row>
    <row r="477" spans="1:13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</row>
    <row r="478" spans="1:13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</row>
    <row r="479" spans="1:13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</row>
    <row r="480" spans="1:13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</row>
    <row r="481" spans="1:13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</row>
    <row r="482" spans="1:13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</row>
    <row r="483" spans="1:13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</row>
    <row r="484" spans="1:13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</row>
    <row r="485" spans="1:13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</row>
    <row r="486" spans="1:13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</row>
    <row r="487" spans="1:13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</row>
    <row r="488" spans="1:13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</row>
    <row r="489" spans="1:13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</row>
    <row r="490" spans="1:13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</row>
    <row r="491" spans="1:13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</row>
    <row r="492" spans="1:13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</row>
    <row r="493" spans="1:13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</row>
    <row r="494" spans="1:13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</row>
    <row r="495" spans="1:13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</row>
    <row r="496" spans="1:13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</row>
    <row r="497" spans="1:13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</row>
    <row r="498" spans="1:13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</row>
    <row r="499" spans="1:13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</row>
    <row r="500" spans="1:13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</row>
    <row r="501" spans="1:13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</row>
    <row r="502" spans="1:13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</row>
    <row r="503" spans="1:13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</row>
    <row r="504" spans="1:13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</row>
    <row r="505" spans="1:13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</row>
    <row r="506" spans="1:13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</row>
    <row r="507" spans="1:13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</row>
    <row r="508" spans="1:13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</row>
    <row r="509" spans="1:13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</row>
    <row r="510" spans="1:13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</row>
    <row r="511" spans="1:13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</row>
    <row r="512" spans="1:13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</row>
    <row r="513" spans="1:13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</row>
    <row r="514" spans="1:13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</row>
    <row r="515" spans="1:13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</row>
    <row r="516" spans="1:13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</row>
    <row r="517" spans="1:13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</row>
    <row r="518" spans="1:13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</row>
    <row r="519" spans="1:13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</row>
    <row r="520" spans="1:13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</row>
    <row r="521" spans="1:13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</row>
    <row r="522" spans="1:13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</row>
    <row r="523" spans="1:13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</row>
    <row r="524" spans="1:13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</row>
    <row r="525" spans="1:13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</row>
    <row r="526" spans="1:13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</row>
    <row r="527" spans="1:13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</row>
    <row r="528" spans="1:13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</row>
    <row r="529" spans="1:13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</row>
    <row r="530" spans="1:13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</row>
    <row r="531" spans="1:13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</row>
    <row r="532" spans="1:13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</row>
    <row r="533" spans="1:13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</row>
    <row r="534" spans="1:13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</row>
    <row r="535" spans="1:13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</row>
    <row r="536" spans="1:13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</row>
    <row r="537" spans="1:13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</row>
    <row r="538" spans="1:13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</row>
    <row r="539" spans="1:13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</row>
    <row r="540" spans="1:13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</row>
    <row r="541" spans="1:13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</row>
    <row r="542" spans="1:13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</row>
    <row r="543" spans="1:13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</row>
    <row r="544" spans="1:13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</row>
    <row r="545" spans="1:13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</row>
    <row r="546" spans="1:13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</row>
    <row r="547" spans="1:13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</row>
    <row r="548" spans="1:13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</row>
    <row r="549" spans="1:13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</row>
    <row r="550" spans="1:13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</row>
    <row r="551" spans="1:13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</row>
    <row r="552" spans="1:13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</row>
    <row r="553" spans="1:13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</row>
    <row r="554" spans="1:13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</row>
    <row r="555" spans="1:13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</row>
    <row r="556" spans="1:13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</row>
    <row r="557" spans="1:13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</row>
    <row r="558" spans="1:13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</row>
    <row r="559" spans="1:13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</row>
    <row r="560" spans="1:13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</row>
    <row r="561" spans="1:13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</row>
    <row r="562" spans="1:13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</row>
    <row r="563" spans="1:13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</row>
    <row r="564" spans="1:13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</row>
    <row r="565" spans="1:13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</row>
    <row r="566" spans="1:13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</row>
    <row r="567" spans="1:13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</row>
    <row r="568" spans="1:13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</row>
    <row r="569" spans="1:13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</row>
    <row r="570" spans="1:13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</row>
    <row r="571" spans="1:13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</row>
    <row r="572" spans="1:13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</row>
    <row r="573" spans="1:13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</row>
    <row r="574" spans="1:13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</row>
    <row r="575" spans="1:13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</row>
    <row r="576" spans="1:13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</row>
    <row r="577" spans="1:13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</row>
    <row r="578" spans="1:13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</row>
    <row r="579" spans="1:13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</row>
    <row r="580" spans="1:13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</row>
    <row r="581" spans="1:13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</row>
    <row r="582" spans="1:13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</row>
    <row r="583" spans="1:13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</row>
    <row r="584" spans="1:13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</row>
    <row r="585" spans="1:13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</row>
    <row r="586" spans="1:13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</row>
    <row r="587" spans="1:13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</row>
    <row r="588" spans="1:13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</row>
    <row r="589" spans="1:13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</row>
    <row r="590" spans="1:13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</row>
    <row r="591" spans="1:13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</row>
    <row r="592" spans="1:13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</row>
    <row r="593" spans="1:13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</row>
    <row r="594" spans="1:13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</row>
    <row r="595" spans="1:13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</row>
    <row r="596" spans="1:13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</row>
    <row r="597" spans="1:13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</row>
    <row r="598" spans="1:13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</row>
    <row r="599" spans="1:13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</row>
    <row r="600" spans="1:13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</row>
    <row r="601" spans="1:13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</row>
    <row r="602" spans="1:13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</row>
    <row r="603" spans="1:13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</row>
    <row r="604" spans="1:13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</row>
    <row r="605" spans="1:13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</row>
    <row r="606" spans="1:13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</row>
    <row r="607" spans="1:13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</row>
    <row r="608" spans="1:13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</row>
    <row r="609" spans="1:13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</row>
    <row r="610" spans="1:13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</row>
    <row r="611" spans="1:13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</row>
    <row r="612" spans="1:13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</row>
    <row r="613" spans="1:13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</row>
    <row r="614" spans="1:13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</row>
    <row r="615" spans="1:13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</row>
    <row r="616" spans="1:13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</row>
    <row r="617" spans="1:13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</row>
    <row r="618" spans="1:13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</row>
    <row r="619" spans="1:13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</row>
    <row r="620" spans="1:13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</row>
    <row r="621" spans="1:13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</row>
    <row r="622" spans="1:13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</row>
    <row r="623" spans="1:13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</row>
    <row r="624" spans="1:13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</row>
    <row r="625" spans="1:13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</row>
    <row r="626" spans="1:13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</row>
    <row r="627" spans="1:13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</row>
    <row r="628" spans="1:13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</row>
    <row r="629" spans="1:13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</row>
    <row r="630" spans="1:13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</row>
    <row r="631" spans="1:13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</row>
    <row r="632" spans="1:13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</row>
    <row r="633" spans="1:13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</row>
    <row r="634" spans="1:13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</row>
    <row r="635" spans="1:13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</row>
    <row r="636" spans="1:13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</row>
    <row r="637" spans="1:13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</row>
    <row r="638" spans="1:13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</row>
    <row r="639" spans="1:13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</row>
    <row r="640" spans="1:13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</row>
    <row r="641" spans="1:13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</row>
    <row r="642" spans="1:13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</row>
    <row r="643" spans="1:13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</row>
    <row r="644" spans="1:13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</row>
    <row r="645" spans="1:13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</row>
    <row r="646" spans="1:13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</row>
    <row r="647" spans="1:13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</row>
    <row r="648" spans="1:13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</row>
    <row r="649" spans="1:13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</row>
    <row r="650" spans="1:13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</row>
    <row r="651" spans="1:13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</row>
    <row r="652" spans="1:13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</row>
    <row r="653" spans="1:13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</row>
    <row r="654" spans="1:13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</row>
    <row r="655" spans="1:13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</row>
    <row r="656" spans="1:13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</row>
    <row r="657" spans="1:13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</row>
    <row r="658" spans="1:13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</row>
    <row r="659" spans="1:13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</row>
    <row r="660" spans="1:13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</row>
    <row r="661" spans="1:13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</row>
    <row r="662" spans="1:13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</row>
    <row r="663" spans="1:13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</row>
    <row r="664" spans="1:13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</row>
    <row r="665" spans="1:13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</row>
    <row r="666" spans="1:13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</row>
    <row r="667" spans="1:13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</row>
    <row r="668" spans="1:13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</row>
    <row r="669" spans="1:13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</row>
    <row r="670" spans="1:13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</row>
    <row r="671" spans="1:13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</row>
    <row r="672" spans="1:13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</row>
    <row r="673" spans="1:13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</row>
    <row r="674" spans="1:13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</row>
    <row r="675" spans="1:13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</row>
    <row r="676" spans="1:13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</row>
    <row r="677" spans="1:13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</row>
    <row r="678" spans="1:13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</row>
    <row r="679" spans="1:13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</row>
    <row r="680" spans="1:13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</row>
    <row r="681" spans="1:13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</row>
    <row r="682" spans="1:13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</row>
    <row r="683" spans="1:13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</row>
    <row r="684" spans="1:13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</row>
    <row r="685" spans="1:13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</row>
    <row r="686" spans="1:13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</row>
    <row r="687" spans="1:13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</row>
    <row r="688" spans="1:13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</row>
    <row r="689" spans="1:13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</row>
    <row r="690" spans="1:13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</row>
    <row r="691" spans="1:13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</row>
    <row r="692" spans="1:13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</row>
    <row r="693" spans="1:13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</row>
    <row r="694" spans="1:13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</row>
    <row r="695" spans="1:13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</row>
    <row r="696" spans="1:13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</row>
    <row r="697" spans="1:13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</row>
    <row r="698" spans="1:13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</row>
    <row r="699" spans="1:13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</row>
    <row r="700" spans="1:13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</row>
    <row r="701" spans="1:13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</row>
    <row r="702" spans="1:13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</row>
    <row r="703" spans="1:13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</row>
    <row r="704" spans="1:13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</row>
    <row r="705" spans="1:13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</row>
    <row r="706" spans="1:13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</row>
    <row r="707" spans="1:13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</row>
    <row r="708" spans="1:13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</row>
    <row r="709" spans="1:13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</row>
    <row r="710" spans="1:13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</row>
    <row r="711" spans="1:13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</row>
    <row r="712" spans="1:13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</row>
    <row r="713" spans="1:13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</row>
    <row r="714" spans="1:13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</row>
    <row r="715" spans="1:13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</row>
    <row r="716" spans="1:13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</row>
    <row r="717" spans="1:13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</row>
    <row r="718" spans="1:13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</row>
    <row r="719" spans="1:13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</row>
    <row r="720" spans="1:13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</row>
    <row r="721" spans="1:13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</row>
    <row r="722" spans="1:13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</row>
    <row r="723" spans="1:13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</row>
    <row r="724" spans="1:13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</row>
    <row r="725" spans="1:13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</row>
    <row r="726" spans="1:13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</row>
    <row r="727" spans="1:13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</row>
    <row r="728" spans="1:13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</row>
    <row r="729" spans="1:13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</row>
    <row r="730" spans="1:13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</row>
    <row r="731" spans="1:13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</row>
    <row r="732" spans="1:13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</row>
    <row r="733" spans="1:13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</row>
    <row r="734" spans="1:13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</row>
    <row r="735" spans="1:13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</row>
    <row r="736" spans="1:13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</row>
    <row r="737" spans="1:13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</row>
    <row r="738" spans="1:13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</row>
    <row r="739" spans="1:13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</row>
    <row r="740" spans="1:13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</row>
    <row r="741" spans="1:13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</row>
    <row r="742" spans="1:13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</row>
    <row r="743" spans="1:13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</row>
    <row r="744" spans="1:13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</row>
    <row r="745" spans="1:13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</row>
    <row r="746" spans="1:13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</row>
    <row r="747" spans="1:13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</row>
    <row r="748" spans="1:13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</row>
    <row r="749" spans="1:13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</row>
    <row r="750" spans="1:13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</row>
    <row r="751" spans="1:13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</row>
    <row r="752" spans="1:13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</row>
    <row r="753" spans="1:13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</row>
    <row r="754" spans="1:13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</row>
    <row r="755" spans="1:13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</row>
    <row r="756" spans="1:13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</row>
    <row r="757" spans="1:13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</row>
    <row r="758" spans="1:13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</row>
    <row r="759" spans="1:13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</row>
    <row r="760" spans="1:13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</row>
    <row r="761" spans="1:13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</row>
    <row r="762" spans="1:13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</row>
    <row r="763" spans="1:13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</row>
    <row r="764" spans="1:13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</row>
    <row r="765" spans="1:13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</row>
    <row r="766" spans="1:13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</row>
    <row r="767" spans="1:13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</row>
    <row r="768" spans="1:13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</row>
    <row r="769" spans="1:13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</row>
    <row r="770" spans="1:13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</row>
    <row r="771" spans="1:13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</row>
    <row r="772" spans="1:13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</row>
    <row r="773" spans="1:13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</row>
    <row r="774" spans="1:13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</row>
    <row r="775" spans="1:13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</row>
    <row r="776" spans="1:13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</row>
    <row r="777" spans="1:13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</row>
    <row r="778" spans="1:13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</row>
    <row r="779" spans="1:13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</row>
    <row r="780" spans="1:13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</row>
    <row r="781" spans="1:13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</row>
    <row r="782" spans="1:13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</row>
    <row r="783" spans="1:13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</row>
    <row r="784" spans="1:13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</row>
    <row r="785" spans="1:13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</row>
    <row r="786" spans="1:13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</row>
    <row r="787" spans="1:13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</row>
    <row r="788" spans="1:13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</row>
    <row r="789" spans="1:13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</row>
    <row r="790" spans="1:13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</row>
    <row r="791" spans="1:13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</row>
    <row r="792" spans="1:13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</row>
    <row r="793" spans="1:13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</row>
    <row r="794" spans="1:13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</row>
    <row r="795" spans="1:13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</row>
    <row r="796" spans="1:13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</row>
    <row r="797" spans="1:13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</row>
    <row r="798" spans="1:13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</row>
    <row r="799" spans="1:13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</row>
    <row r="800" spans="1:13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</row>
    <row r="801" spans="1:13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</row>
    <row r="802" spans="1:13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</row>
    <row r="803" spans="1:13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</row>
    <row r="804" spans="1:13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</row>
    <row r="805" spans="1:13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</row>
    <row r="806" spans="1:13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</row>
    <row r="807" spans="1:13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</row>
    <row r="808" spans="1:13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</row>
    <row r="809" spans="1:13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</row>
    <row r="810" spans="1:13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</row>
    <row r="811" spans="1:13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</row>
    <row r="812" spans="1:13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</row>
    <row r="813" spans="1:13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</row>
    <row r="814" spans="1:13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</row>
    <row r="815" spans="1:13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</row>
    <row r="816" spans="1:13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</row>
    <row r="817" spans="1:13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</row>
    <row r="818" spans="1:13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</row>
    <row r="819" spans="1:13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</row>
    <row r="820" spans="1:13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</row>
    <row r="821" spans="1:13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</row>
    <row r="822" spans="1:13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</row>
    <row r="823" spans="1:13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</row>
    <row r="824" spans="1:13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</row>
    <row r="825" spans="1:13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</row>
    <row r="826" spans="1:13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</row>
    <row r="827" spans="1:13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</row>
    <row r="828" spans="1:13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</row>
    <row r="829" spans="1:13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</row>
    <row r="830" spans="1:13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</row>
    <row r="831" spans="1:13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</row>
    <row r="832" spans="1:13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</row>
    <row r="833" spans="1:13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</row>
    <row r="834" spans="1:13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</row>
    <row r="835" spans="1:13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</row>
    <row r="836" spans="1:13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</row>
    <row r="837" spans="1:13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</row>
    <row r="838" spans="1:13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</row>
    <row r="839" spans="1:13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</row>
    <row r="840" spans="1:13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</row>
    <row r="841" spans="1:13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</row>
    <row r="842" spans="1:13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</row>
    <row r="843" spans="1:13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</row>
    <row r="844" spans="1:13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</row>
    <row r="845" spans="1:13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</row>
    <row r="846" spans="1:13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</row>
    <row r="847" spans="1:13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</row>
    <row r="848" spans="1:13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</row>
    <row r="849" spans="1:13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</row>
    <row r="850" spans="1:13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</row>
    <row r="851" spans="1:13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</row>
    <row r="852" spans="1:13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</row>
    <row r="853" spans="1:13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</row>
    <row r="854" spans="1:13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</row>
    <row r="855" spans="1:13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</row>
    <row r="856" spans="1:13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</row>
    <row r="857" spans="1:13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</row>
    <row r="858" spans="1:13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</row>
    <row r="859" spans="1:13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</row>
    <row r="860" spans="1:13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</row>
    <row r="861" spans="1:13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</row>
    <row r="862" spans="1:13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</row>
    <row r="863" spans="1:13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</row>
    <row r="864" spans="1:13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</row>
    <row r="865" spans="1:13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</row>
    <row r="866" spans="1:13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</row>
    <row r="867" spans="1:13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</row>
    <row r="868" spans="1:13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</row>
    <row r="869" spans="1:13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</row>
    <row r="870" spans="1:13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</row>
    <row r="871" spans="1:13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</row>
    <row r="872" spans="1:13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</row>
    <row r="873" spans="1:13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</row>
    <row r="874" spans="1:13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</row>
    <row r="875" spans="1:13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</row>
    <row r="876" spans="1:13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</row>
    <row r="877" spans="1:13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</row>
    <row r="878" spans="1:13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</row>
    <row r="879" spans="1:13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</row>
    <row r="880" spans="1:13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</row>
    <row r="881" spans="1:13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</row>
    <row r="882" spans="1:13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</row>
    <row r="883" spans="1:13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</row>
    <row r="884" spans="1:13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</row>
    <row r="885" spans="1:13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</row>
    <row r="886" spans="1:13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</row>
    <row r="887" spans="1:13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</row>
    <row r="888" spans="1:13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</row>
    <row r="889" spans="1:13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</row>
    <row r="890" spans="1:13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</row>
    <row r="891" spans="1:13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</row>
    <row r="892" spans="1:13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</row>
    <row r="893" spans="1:13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</row>
    <row r="894" spans="1:13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</row>
    <row r="895" spans="1:13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</row>
    <row r="896" spans="1:13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</row>
    <row r="897" spans="1:13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</row>
    <row r="898" spans="1:13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</row>
    <row r="899" spans="1:13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</row>
    <row r="900" spans="1:13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</row>
    <row r="901" spans="1:13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</row>
    <row r="902" spans="1:13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</row>
    <row r="903" spans="1:13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</row>
    <row r="904" spans="1:13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</row>
    <row r="905" spans="1:13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</row>
    <row r="906" spans="1:13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</row>
    <row r="907" spans="1:13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</row>
    <row r="908" spans="1:13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</row>
    <row r="909" spans="1:13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</row>
    <row r="910" spans="1:13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</row>
    <row r="911" spans="1:13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</row>
    <row r="912" spans="1:13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</row>
    <row r="913" spans="1:13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</row>
    <row r="914" spans="1:13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</row>
    <row r="915" spans="1:13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</row>
    <row r="916" spans="1:13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</row>
    <row r="917" spans="1:13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</row>
    <row r="918" spans="1:13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</row>
    <row r="919" spans="1:13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</row>
    <row r="920" spans="1:13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</row>
    <row r="921" spans="1:13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</row>
    <row r="922" spans="1:13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</row>
    <row r="923" spans="1:13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</row>
    <row r="924" spans="1:13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</row>
    <row r="925" spans="1:13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</row>
    <row r="926" spans="1:13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</row>
    <row r="927" spans="1:13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</row>
    <row r="928" spans="1:13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</row>
    <row r="929" spans="1:13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</row>
    <row r="930" spans="1:13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</row>
    <row r="931" spans="1:13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</row>
    <row r="932" spans="1:13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</row>
    <row r="933" spans="1:13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</row>
    <row r="934" spans="1:13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</row>
    <row r="935" spans="1:13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</row>
    <row r="936" spans="1:13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</row>
    <row r="937" spans="1:13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</row>
    <row r="938" spans="1:13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</row>
    <row r="939" spans="1:13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</row>
    <row r="940" spans="1:13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</row>
    <row r="941" spans="1:13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</row>
    <row r="942" spans="1:13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</row>
    <row r="943" spans="1:13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</row>
    <row r="944" spans="1:13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</row>
    <row r="945" spans="1:13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</row>
    <row r="946" spans="1:13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</row>
    <row r="947" spans="1:13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</row>
    <row r="948" spans="1:13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</row>
    <row r="949" spans="1:13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</row>
    <row r="950" spans="1:13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</row>
    <row r="951" spans="1:13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</row>
    <row r="952" spans="1:13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</row>
    <row r="953" spans="1:13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</row>
    <row r="954" spans="1:13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</row>
    <row r="955" spans="1:13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</row>
    <row r="956" spans="1:13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</row>
    <row r="957" spans="1:13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</row>
    <row r="958" spans="1:13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</row>
    <row r="959" spans="1:13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</row>
    <row r="960" spans="1:13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</row>
    <row r="961" spans="1:13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</row>
    <row r="962" spans="1:13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</row>
    <row r="963" spans="1:13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</row>
    <row r="964" spans="1:13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</row>
    <row r="965" spans="1:13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</row>
    <row r="966" spans="1:13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</row>
    <row r="967" spans="1:13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</row>
    <row r="968" spans="1:13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</row>
    <row r="969" spans="1:13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</row>
    <row r="970" spans="1:13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</row>
    <row r="971" spans="1:13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</row>
    <row r="972" spans="1:13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</row>
    <row r="973" spans="1:13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</row>
    <row r="974" spans="1:13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</row>
    <row r="975" spans="1:13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</row>
    <row r="976" spans="1:13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</row>
    <row r="977" spans="1:13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</row>
    <row r="978" spans="1:13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</row>
    <row r="979" spans="1:13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</row>
    <row r="980" spans="1:13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</row>
    <row r="981" spans="1:13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</row>
    <row r="982" spans="1:13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</row>
    <row r="983" spans="1:13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</row>
    <row r="984" spans="1:13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</row>
    <row r="985" spans="1:13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</row>
    <row r="986" spans="1:13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</row>
    <row r="987" spans="1:13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</row>
    <row r="988" spans="1:13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</row>
    <row r="989" spans="1:13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</row>
    <row r="990" spans="1:13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</row>
    <row r="991" spans="1:13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</row>
    <row r="992" spans="1:13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</row>
    <row r="993" spans="1:13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</row>
    <row r="994" spans="1:13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</row>
    <row r="995" spans="1:13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</row>
    <row r="996" spans="1:13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</row>
    <row r="997" spans="1:13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</row>
    <row r="998" spans="1:13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</row>
    <row r="999" spans="1:13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</row>
    <row r="1000" spans="1:13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</row>
    <row r="1001" spans="1:13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</row>
    <row r="1002" spans="1:13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</row>
    <row r="1003" spans="1:13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</row>
    <row r="1004" spans="1:13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</row>
    <row r="1005" spans="1:13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</row>
    <row r="1006" spans="1:13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</row>
    <row r="1007" spans="1:13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</row>
    <row r="1008" spans="1:13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</row>
    <row r="1009" spans="1:13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</row>
    <row r="1010" spans="1:13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</row>
    <row r="1011" spans="1:13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</row>
    <row r="1012" spans="1:13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</row>
    <row r="1013" spans="1:13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</row>
    <row r="1014" spans="1:13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</row>
    <row r="1015" spans="1:13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</row>
    <row r="1016" spans="1:13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</row>
    <row r="1017" spans="1:13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</row>
    <row r="1018" spans="1:13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</row>
    <row r="1019" spans="1:13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</row>
    <row r="1020" spans="1:13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</row>
    <row r="1021" spans="1:13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</row>
    <row r="1022" spans="1:13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</row>
    <row r="1023" spans="1:13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</row>
    <row r="1024" spans="1:13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</row>
    <row r="1025" spans="1:13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</row>
    <row r="1026" spans="1:13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</row>
    <row r="1027" spans="1:13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</row>
    <row r="1028" spans="1:13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</row>
    <row r="1029" spans="1:13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</row>
    <row r="1030" spans="1:13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</row>
    <row r="1031" spans="1:13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</row>
    <row r="1032" spans="1:13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</row>
    <row r="1033" spans="1:13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</row>
    <row r="1034" spans="1:13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</row>
    <row r="1035" spans="1:13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</row>
    <row r="1036" spans="1:13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</row>
    <row r="1037" spans="1:13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</row>
    <row r="1038" spans="1:13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</row>
    <row r="1039" spans="1:13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</row>
    <row r="1040" spans="1:13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</row>
    <row r="1041" spans="1:13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</row>
    <row r="1042" spans="1:13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</row>
    <row r="1043" spans="1:13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</row>
    <row r="1044" spans="1:13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</row>
    <row r="1045" spans="1:13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</row>
    <row r="1046" spans="1:13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</row>
    <row r="1047" spans="1:13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</row>
    <row r="1048" spans="1:13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</row>
    <row r="1049" spans="1:13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</row>
    <row r="1050" spans="1:13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</row>
    <row r="1051" spans="1:13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</row>
    <row r="1052" spans="1:13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</row>
    <row r="1053" spans="1:13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</row>
    <row r="1054" spans="1:13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</row>
    <row r="1055" spans="1:13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</row>
    <row r="1056" spans="1:13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</row>
    <row r="1057" spans="1:13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</row>
    <row r="1058" spans="1:13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</row>
    <row r="1059" spans="1:13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</row>
    <row r="1060" spans="1:13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</row>
    <row r="1061" spans="1:13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</row>
    <row r="1062" spans="1:13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</row>
    <row r="1063" spans="1:13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</row>
    <row r="1064" spans="1:13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</row>
    <row r="1065" spans="1:13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</row>
    <row r="1066" spans="1:13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</row>
    <row r="1067" spans="1:13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</row>
    <row r="1068" spans="1:13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</row>
    <row r="1069" spans="1:13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</row>
    <row r="1070" spans="1:13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</row>
    <row r="1071" spans="1:13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</row>
    <row r="1072" spans="1:13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</row>
    <row r="1073" spans="1:13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</row>
    <row r="1074" spans="1:13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</row>
    <row r="1075" spans="1:13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</row>
    <row r="1076" spans="1:13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</row>
    <row r="1077" spans="1:13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</row>
    <row r="1078" spans="1:13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</row>
    <row r="1079" spans="1:13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</row>
    <row r="1080" spans="1:13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</row>
    <row r="1081" spans="1:13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</row>
    <row r="1082" spans="1:13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</row>
    <row r="1083" spans="1:13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</row>
    <row r="1084" spans="1:13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</row>
    <row r="1085" spans="1:13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</row>
    <row r="1086" spans="1:13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</row>
    <row r="1087" spans="1:13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</row>
    <row r="1088" spans="1:13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</row>
    <row r="1089" spans="1:13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</row>
    <row r="1090" spans="1:13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</row>
    <row r="1091" spans="1:13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</row>
    <row r="1092" spans="1:13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</row>
    <row r="1093" spans="1:13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</row>
    <row r="1094" spans="1:13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</row>
    <row r="1095" spans="1:13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</row>
    <row r="1096" spans="1:13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</row>
    <row r="1097" spans="1:13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</row>
    <row r="1098" spans="1:13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</row>
    <row r="1099" spans="1:13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</row>
    <row r="1100" spans="1:13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</row>
    <row r="1101" spans="1:13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</row>
    <row r="1102" spans="1:13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</row>
    <row r="1103" spans="1:13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</row>
    <row r="1104" spans="1:13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</row>
    <row r="1105" spans="1:13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</row>
    <row r="1106" spans="1:13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</row>
    <row r="1107" spans="1:13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</row>
    <row r="1108" spans="1:13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</row>
    <row r="1109" spans="1:13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</row>
    <row r="1110" spans="1:13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</row>
    <row r="1111" spans="1:13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</row>
    <row r="1112" spans="1:13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</row>
    <row r="1113" spans="1:13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</row>
    <row r="1114" spans="1:13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</row>
    <row r="1115" spans="1:13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</row>
    <row r="1116" spans="1:13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</row>
    <row r="1117" spans="1:13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</row>
    <row r="1118" spans="1:13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</row>
    <row r="1119" spans="1:13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</row>
    <row r="1120" spans="1:13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</row>
    <row r="1121" spans="1:13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</row>
    <row r="1122" spans="1:13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</row>
    <row r="1123" spans="1:13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</row>
    <row r="1124" spans="1:13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</row>
    <row r="1125" spans="1:13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</row>
    <row r="1126" spans="1:13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</row>
    <row r="1127" spans="1:13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</row>
    <row r="1128" spans="1:13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</row>
    <row r="1129" spans="1:13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</row>
    <row r="1130" spans="1:13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</row>
    <row r="1131" spans="1:13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</row>
    <row r="1132" spans="1:13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</row>
    <row r="1133" spans="1:13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</row>
    <row r="1134" spans="1:13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</row>
    <row r="1135" spans="1:13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</row>
    <row r="1136" spans="1:13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</row>
    <row r="1137" spans="1:13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</row>
    <row r="1138" spans="1:13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</row>
    <row r="1139" spans="1:13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</row>
    <row r="1140" spans="1:13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</row>
    <row r="1141" spans="1:13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</row>
    <row r="1142" spans="1:13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</row>
    <row r="1143" spans="1:13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</row>
    <row r="1144" spans="1:13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</row>
    <row r="1145" spans="1:13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</row>
    <row r="1146" spans="1:13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</row>
    <row r="1147" spans="1:13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</row>
    <row r="1148" spans="1:13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</row>
    <row r="1149" spans="1:13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</row>
    <row r="1150" spans="1:13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</row>
    <row r="1151" spans="1:13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</row>
    <row r="1152" spans="1:13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</row>
    <row r="1153" spans="3:13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</row>
    <row r="1154" spans="3:13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</row>
  </sheetData>
  <mergeCells count="1">
    <mergeCell ref="A1:A2"/>
  </mergeCells>
  <conditionalFormatting sqref="J7:L7">
    <cfRule type="expression" dxfId="783" priority="4">
      <formula>$M7=0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zoomScale="85" zoomScaleNormal="85" workbookViewId="0">
      <pane ySplit="4" topLeftCell="A5" activePane="bottomLeft" state="frozen"/>
      <selection pane="bottomLeft" activeCell="J6" sqref="J6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71"/>
      <c r="C1" s="135" t="s">
        <v>25</v>
      </c>
      <c r="D1" s="2"/>
      <c r="J1" s="129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42" t="s">
        <v>1634</v>
      </c>
      <c r="BS1" s="128"/>
      <c r="BT1" s="128"/>
      <c r="BU1" s="128"/>
      <c r="BV1" s="128"/>
      <c r="BW1" s="128"/>
      <c r="BX1" s="128"/>
      <c r="BY1" s="52" t="s">
        <v>1176</v>
      </c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113" t="s">
        <v>1175</v>
      </c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</row>
    <row r="2" spans="1:148" s="2" customFormat="1" x14ac:dyDescent="0.25">
      <c r="A2" s="17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758</v>
      </c>
      <c r="K3" s="48"/>
      <c r="L3" s="48"/>
      <c r="M3" s="48"/>
      <c r="N3" s="48"/>
      <c r="O3" s="48"/>
      <c r="P3" s="46" t="s">
        <v>759</v>
      </c>
      <c r="Q3" s="48"/>
      <c r="R3" s="48"/>
      <c r="S3" s="48"/>
      <c r="T3" s="46" t="s">
        <v>1641</v>
      </c>
      <c r="U3" s="48"/>
      <c r="V3" s="48"/>
      <c r="W3" s="48"/>
      <c r="X3" s="48"/>
      <c r="Y3" s="48"/>
      <c r="Z3" s="48"/>
      <c r="AA3" s="48"/>
      <c r="AB3" s="48"/>
      <c r="AC3" s="48"/>
      <c r="AD3" s="46" t="s">
        <v>1646</v>
      </c>
      <c r="AE3" s="48"/>
      <c r="AF3" s="48"/>
      <c r="AG3" s="48"/>
      <c r="AH3" s="48"/>
      <c r="AI3" s="48"/>
      <c r="AJ3" s="48"/>
      <c r="AK3" s="48"/>
      <c r="AL3" s="48"/>
      <c r="AM3" s="48"/>
      <c r="AN3" s="46" t="s">
        <v>1647</v>
      </c>
      <c r="AO3" s="48"/>
      <c r="AP3" s="48"/>
      <c r="AQ3" s="48"/>
      <c r="AR3" s="48"/>
      <c r="AS3" s="48"/>
      <c r="AT3" s="48"/>
      <c r="AU3" s="48"/>
      <c r="AV3" s="48"/>
      <c r="AW3" s="48"/>
      <c r="AX3" s="46" t="s">
        <v>1648</v>
      </c>
      <c r="AY3" s="48"/>
      <c r="AZ3" s="51"/>
      <c r="BA3" s="51"/>
      <c r="BB3" s="51"/>
      <c r="BC3" s="51"/>
      <c r="BD3" s="51"/>
      <c r="BE3" s="51"/>
      <c r="BF3" s="51"/>
      <c r="BG3" s="51"/>
      <c r="BH3" s="46" t="s">
        <v>1649</v>
      </c>
      <c r="BI3" s="51"/>
      <c r="BJ3" s="51"/>
      <c r="BK3" s="51"/>
      <c r="BL3" s="51"/>
      <c r="BM3" s="51"/>
      <c r="BN3" s="51"/>
      <c r="BO3" s="51"/>
      <c r="BP3" s="51"/>
      <c r="BQ3" s="50"/>
      <c r="BR3" s="153" t="s">
        <v>1632</v>
      </c>
      <c r="BS3" s="151"/>
      <c r="BT3" s="151"/>
      <c r="BU3" s="151"/>
      <c r="BV3" s="151"/>
      <c r="BW3" s="151"/>
      <c r="BX3" s="151"/>
      <c r="BY3" s="61" t="s">
        <v>745</v>
      </c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119" t="s">
        <v>758</v>
      </c>
      <c r="CL3" s="120"/>
      <c r="CM3" s="120"/>
      <c r="CN3" s="120"/>
      <c r="CO3" s="120"/>
      <c r="CP3" s="120"/>
      <c r="CQ3" s="119" t="s">
        <v>759</v>
      </c>
      <c r="CR3" s="120"/>
      <c r="CS3" s="120"/>
      <c r="CT3" s="120"/>
      <c r="CU3" s="119" t="s">
        <v>760</v>
      </c>
      <c r="CV3" s="120"/>
      <c r="CW3" s="120"/>
      <c r="CX3" s="120"/>
      <c r="CY3" s="120"/>
      <c r="CZ3" s="120"/>
      <c r="DA3" s="120"/>
      <c r="DB3" s="120"/>
      <c r="DC3" s="120"/>
      <c r="DD3" s="120"/>
      <c r="DE3" s="119" t="s">
        <v>761</v>
      </c>
      <c r="DF3" s="120"/>
      <c r="DG3" s="120"/>
      <c r="DH3" s="120"/>
      <c r="DI3" s="120"/>
      <c r="DJ3" s="120"/>
      <c r="DK3" s="120"/>
      <c r="DL3" s="120"/>
      <c r="DM3" s="120"/>
      <c r="DN3" s="120"/>
      <c r="DO3" s="119" t="s">
        <v>762</v>
      </c>
      <c r="DP3" s="120"/>
      <c r="DQ3" s="120"/>
      <c r="DR3" s="120"/>
      <c r="DS3" s="120"/>
      <c r="DT3" s="120"/>
      <c r="DU3" s="120"/>
      <c r="DV3" s="120"/>
      <c r="DW3" s="120"/>
      <c r="DX3" s="120"/>
      <c r="DY3" s="119" t="s">
        <v>763</v>
      </c>
      <c r="DZ3" s="120"/>
      <c r="EA3" s="126"/>
      <c r="EB3" s="126"/>
      <c r="EC3" s="126"/>
      <c r="ED3" s="126"/>
      <c r="EE3" s="126"/>
      <c r="EF3" s="126"/>
      <c r="EG3" s="126"/>
      <c r="EH3" s="126"/>
      <c r="EI3" s="119" t="s">
        <v>764</v>
      </c>
      <c r="EJ3" s="126"/>
      <c r="EK3" s="126"/>
      <c r="EL3" s="126"/>
      <c r="EM3" s="126"/>
      <c r="EN3" s="126"/>
      <c r="EO3" s="126"/>
      <c r="EP3" s="126"/>
      <c r="EQ3" s="126"/>
      <c r="ER3" s="127"/>
    </row>
    <row r="4" spans="1:148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207</v>
      </c>
      <c r="K4" s="13" t="s">
        <v>214</v>
      </c>
      <c r="L4" s="13" t="s">
        <v>208</v>
      </c>
      <c r="M4" s="13" t="s">
        <v>209</v>
      </c>
      <c r="N4" s="13" t="s">
        <v>210</v>
      </c>
      <c r="O4" s="13" t="s">
        <v>211</v>
      </c>
      <c r="P4" s="8" t="s">
        <v>212</v>
      </c>
      <c r="Q4" s="13" t="s">
        <v>213</v>
      </c>
      <c r="R4" s="13" t="s">
        <v>215</v>
      </c>
      <c r="S4" s="13" t="s">
        <v>216</v>
      </c>
      <c r="T4" s="8" t="s">
        <v>1461</v>
      </c>
      <c r="U4" s="13" t="s">
        <v>1462</v>
      </c>
      <c r="V4" s="13" t="s">
        <v>1463</v>
      </c>
      <c r="W4" s="13" t="s">
        <v>1464</v>
      </c>
      <c r="X4" s="13" t="s">
        <v>1465</v>
      </c>
      <c r="Y4" s="13" t="s">
        <v>1466</v>
      </c>
      <c r="Z4" s="13" t="s">
        <v>1467</v>
      </c>
      <c r="AA4" s="13" t="s">
        <v>1468</v>
      </c>
      <c r="AB4" s="13" t="s">
        <v>1469</v>
      </c>
      <c r="AC4" s="13" t="s">
        <v>1470</v>
      </c>
      <c r="AD4" s="8" t="s">
        <v>1471</v>
      </c>
      <c r="AE4" s="13" t="s">
        <v>1472</v>
      </c>
      <c r="AF4" s="13" t="s">
        <v>1473</v>
      </c>
      <c r="AG4" s="13" t="s">
        <v>1474</v>
      </c>
      <c r="AH4" s="13" t="s">
        <v>1475</v>
      </c>
      <c r="AI4" s="13" t="s">
        <v>1476</v>
      </c>
      <c r="AJ4" s="13" t="s">
        <v>1477</v>
      </c>
      <c r="AK4" s="13" t="s">
        <v>1478</v>
      </c>
      <c r="AL4" s="13" t="s">
        <v>1479</v>
      </c>
      <c r="AM4" s="13" t="s">
        <v>1480</v>
      </c>
      <c r="AN4" s="8" t="s">
        <v>1481</v>
      </c>
      <c r="AO4" s="13" t="s">
        <v>1482</v>
      </c>
      <c r="AP4" s="13" t="s">
        <v>1483</v>
      </c>
      <c r="AQ4" s="13" t="s">
        <v>1484</v>
      </c>
      <c r="AR4" s="13" t="s">
        <v>1485</v>
      </c>
      <c r="AS4" s="13" t="s">
        <v>1486</v>
      </c>
      <c r="AT4" s="13" t="s">
        <v>1487</v>
      </c>
      <c r="AU4" s="13" t="s">
        <v>1488</v>
      </c>
      <c r="AV4" s="13" t="s">
        <v>1489</v>
      </c>
      <c r="AW4" s="13" t="s">
        <v>1490</v>
      </c>
      <c r="AX4" s="8" t="s">
        <v>1491</v>
      </c>
      <c r="AY4" s="13" t="s">
        <v>1492</v>
      </c>
      <c r="AZ4" s="13" t="s">
        <v>1493</v>
      </c>
      <c r="BA4" s="13" t="s">
        <v>1494</v>
      </c>
      <c r="BB4" s="13" t="s">
        <v>1495</v>
      </c>
      <c r="BC4" s="13" t="s">
        <v>1496</v>
      </c>
      <c r="BD4" s="13" t="s">
        <v>1497</v>
      </c>
      <c r="BE4" s="13" t="s">
        <v>1498</v>
      </c>
      <c r="BF4" s="13" t="s">
        <v>1499</v>
      </c>
      <c r="BG4" s="13" t="s">
        <v>1500</v>
      </c>
      <c r="BH4" s="8" t="s">
        <v>1501</v>
      </c>
      <c r="BI4" s="13" t="s">
        <v>1502</v>
      </c>
      <c r="BJ4" s="13" t="s">
        <v>1503</v>
      </c>
      <c r="BK4" s="13" t="s">
        <v>1504</v>
      </c>
      <c r="BL4" s="13" t="s">
        <v>1505</v>
      </c>
      <c r="BM4" s="13" t="s">
        <v>1506</v>
      </c>
      <c r="BN4" s="13" t="s">
        <v>1507</v>
      </c>
      <c r="BO4" s="13" t="s">
        <v>1508</v>
      </c>
      <c r="BP4" s="13" t="s">
        <v>1509</v>
      </c>
      <c r="BQ4" s="9" t="s">
        <v>1510</v>
      </c>
      <c r="BR4" s="152" t="s">
        <v>758</v>
      </c>
      <c r="BS4" s="152" t="s">
        <v>759</v>
      </c>
      <c r="BT4" s="152" t="s">
        <v>1641</v>
      </c>
      <c r="BU4" s="152" t="s">
        <v>1642</v>
      </c>
      <c r="BV4" s="152" t="s">
        <v>1643</v>
      </c>
      <c r="BW4" s="152" t="s">
        <v>1644</v>
      </c>
      <c r="BX4" s="152" t="s">
        <v>1645</v>
      </c>
      <c r="BY4" s="10" t="s">
        <v>25</v>
      </c>
      <c r="BZ4" s="11" t="s">
        <v>748</v>
      </c>
      <c r="CA4" s="11" t="s">
        <v>1613</v>
      </c>
      <c r="CB4" s="11" t="s">
        <v>753</v>
      </c>
      <c r="CC4" s="11" t="s">
        <v>754</v>
      </c>
      <c r="CD4" s="11" t="s">
        <v>755</v>
      </c>
      <c r="CE4" s="11" t="s">
        <v>756</v>
      </c>
      <c r="CF4" s="11" t="s">
        <v>757</v>
      </c>
      <c r="CG4" s="11" t="s">
        <v>749</v>
      </c>
      <c r="CH4" s="11" t="s">
        <v>750</v>
      </c>
      <c r="CI4" s="11" t="s">
        <v>751</v>
      </c>
      <c r="CJ4" s="11" t="s">
        <v>752</v>
      </c>
      <c r="CK4" s="122" t="s">
        <v>207</v>
      </c>
      <c r="CL4" s="123" t="s">
        <v>214</v>
      </c>
      <c r="CM4" s="123" t="s">
        <v>208</v>
      </c>
      <c r="CN4" s="123" t="s">
        <v>209</v>
      </c>
      <c r="CO4" s="123" t="s">
        <v>210</v>
      </c>
      <c r="CP4" s="123" t="s">
        <v>211</v>
      </c>
      <c r="CQ4" s="122" t="s">
        <v>212</v>
      </c>
      <c r="CR4" s="123" t="s">
        <v>213</v>
      </c>
      <c r="CS4" s="123" t="s">
        <v>215</v>
      </c>
      <c r="CT4" s="123" t="s">
        <v>216</v>
      </c>
      <c r="CU4" s="122" t="s">
        <v>1461</v>
      </c>
      <c r="CV4" s="123" t="s">
        <v>1462</v>
      </c>
      <c r="CW4" s="123" t="s">
        <v>1463</v>
      </c>
      <c r="CX4" s="123" t="s">
        <v>1464</v>
      </c>
      <c r="CY4" s="123" t="s">
        <v>1465</v>
      </c>
      <c r="CZ4" s="123" t="s">
        <v>1466</v>
      </c>
      <c r="DA4" s="123" t="s">
        <v>1467</v>
      </c>
      <c r="DB4" s="123" t="s">
        <v>1468</v>
      </c>
      <c r="DC4" s="123" t="s">
        <v>1469</v>
      </c>
      <c r="DD4" s="123" t="s">
        <v>1470</v>
      </c>
      <c r="DE4" s="122" t="s">
        <v>1471</v>
      </c>
      <c r="DF4" s="123" t="s">
        <v>1472</v>
      </c>
      <c r="DG4" s="123" t="s">
        <v>1473</v>
      </c>
      <c r="DH4" s="123" t="s">
        <v>1474</v>
      </c>
      <c r="DI4" s="123" t="s">
        <v>1475</v>
      </c>
      <c r="DJ4" s="123" t="s">
        <v>1476</v>
      </c>
      <c r="DK4" s="123" t="s">
        <v>1477</v>
      </c>
      <c r="DL4" s="123" t="s">
        <v>1478</v>
      </c>
      <c r="DM4" s="123" t="s">
        <v>1479</v>
      </c>
      <c r="DN4" s="123" t="s">
        <v>1480</v>
      </c>
      <c r="DO4" s="122" t="s">
        <v>1481</v>
      </c>
      <c r="DP4" s="123" t="s">
        <v>1482</v>
      </c>
      <c r="DQ4" s="123" t="s">
        <v>1483</v>
      </c>
      <c r="DR4" s="123" t="s">
        <v>1484</v>
      </c>
      <c r="DS4" s="123" t="s">
        <v>1485</v>
      </c>
      <c r="DT4" s="123" t="s">
        <v>1486</v>
      </c>
      <c r="DU4" s="123" t="s">
        <v>1487</v>
      </c>
      <c r="DV4" s="123" t="s">
        <v>1488</v>
      </c>
      <c r="DW4" s="123" t="s">
        <v>1489</v>
      </c>
      <c r="DX4" s="123" t="s">
        <v>1490</v>
      </c>
      <c r="DY4" s="122" t="s">
        <v>1491</v>
      </c>
      <c r="DZ4" s="123" t="s">
        <v>1492</v>
      </c>
      <c r="EA4" s="123" t="s">
        <v>1493</v>
      </c>
      <c r="EB4" s="123" t="s">
        <v>1494</v>
      </c>
      <c r="EC4" s="123" t="s">
        <v>1495</v>
      </c>
      <c r="ED4" s="123" t="s">
        <v>1496</v>
      </c>
      <c r="EE4" s="123" t="s">
        <v>1497</v>
      </c>
      <c r="EF4" s="123" t="s">
        <v>1498</v>
      </c>
      <c r="EG4" s="123" t="s">
        <v>1499</v>
      </c>
      <c r="EH4" s="123" t="s">
        <v>1500</v>
      </c>
      <c r="EI4" s="122" t="s">
        <v>1501</v>
      </c>
      <c r="EJ4" s="123" t="s">
        <v>1502</v>
      </c>
      <c r="EK4" s="123" t="s">
        <v>1503</v>
      </c>
      <c r="EL4" s="123" t="s">
        <v>1504</v>
      </c>
      <c r="EM4" s="123" t="s">
        <v>1505</v>
      </c>
      <c r="EN4" s="123" t="s">
        <v>1506</v>
      </c>
      <c r="EO4" s="123" t="s">
        <v>1507</v>
      </c>
      <c r="EP4" s="123" t="s">
        <v>1508</v>
      </c>
      <c r="EQ4" s="123" t="s">
        <v>1509</v>
      </c>
      <c r="ER4" s="124" t="s">
        <v>1510</v>
      </c>
    </row>
    <row r="5" spans="1:148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0">
        <f>SUBTOTAL(109,ovc_serv_T[D_ovc_serv_fy19])</f>
        <v>0</v>
      </c>
      <c r="BZ5" s="60">
        <f>SUBTOTAL(109,ovc_serv_T[D_ovc_serv_u18_fy19])</f>
        <v>0</v>
      </c>
      <c r="CA5" s="60">
        <f>SUBTOTAL(109,ovc_serv_T[D_ovc_serv_o18_fy19])</f>
        <v>0</v>
      </c>
      <c r="CB5" s="60">
        <f>SUBTOTAL(109,ovc_serv_T[D_ovc_serv_edu_fy19])</f>
        <v>0</v>
      </c>
      <c r="CC5" s="60">
        <f>SUBTOTAL(109,ovc_serv_T[D_ovc_serv_care_fy19])</f>
        <v>0</v>
      </c>
      <c r="CD5" s="60">
        <f>SUBTOTAL(109,ovc_serv_T[D_ovc_serv_sp_fy19])</f>
        <v>0</v>
      </c>
      <c r="CE5" s="60">
        <f>SUBTOTAL(109,ovc_serv_T[D_ovc_serv_econ_fy19])</f>
        <v>0</v>
      </c>
      <c r="CF5" s="60">
        <f>SUBTOTAL(109,ovc_serv_T[D_ovc_serv_oth_fy19])</f>
        <v>0</v>
      </c>
      <c r="CG5" s="60">
        <f>SUBTOTAL(109,ovc_serv_T[D_ovc_serv_grad_fy19])</f>
        <v>0</v>
      </c>
      <c r="CH5" s="60">
        <f>SUBTOTAL(109,ovc_serv_T[D_ovc_serv_trans_fy19])</f>
        <v>0</v>
      </c>
      <c r="CI5" s="60">
        <f>SUBTOTAL(109,ovc_serv_T[D_ovc_serv_exited_fy19])</f>
        <v>0</v>
      </c>
      <c r="CJ5" s="60">
        <f>SUBTOTAL(109,ovc_serv_T[D_ovc_serv_active_fy19])</f>
        <v>0</v>
      </c>
      <c r="CK5" s="60">
        <f>SUBTOTAL(109,ovc_serv_T[ovc_serv_u1_unk])</f>
        <v>0</v>
      </c>
      <c r="CL5" s="60">
        <f>SUBTOTAL(109,ovc_serv_T[ovc_serv_0109_unk])</f>
        <v>0</v>
      </c>
      <c r="CM5" s="60">
        <f>SUBTOTAL(109,ovc_serv_T[ovc_serv_1014_f])</f>
        <v>0</v>
      </c>
      <c r="CN5" s="60">
        <f>SUBTOTAL(109,ovc_serv_T[ovc_serv_1014_m])</f>
        <v>0</v>
      </c>
      <c r="CO5" s="60">
        <f>SUBTOTAL(109,ovc_serv_T[ovc_serv_1517_f])</f>
        <v>0</v>
      </c>
      <c r="CP5" s="60">
        <f>SUBTOTAL(109,ovc_serv_T[ovc_serv_1517_m])</f>
        <v>0</v>
      </c>
      <c r="CQ5" s="60">
        <f>SUBTOTAL(109,ovc_serv_T[ovc_serv_1824_f])</f>
        <v>0</v>
      </c>
      <c r="CR5" s="60">
        <f>SUBTOTAL(109,ovc_serv_T[ovc_serv_1824_m])</f>
        <v>0</v>
      </c>
      <c r="CS5" s="60">
        <f>SUBTOTAL(109,ovc_serv_T[ovc_serv_o25_f])</f>
        <v>0</v>
      </c>
      <c r="CT5" s="60">
        <f>SUBTOTAL(109,ovc_serv_T[ovc_serv_o25_m])</f>
        <v>0</v>
      </c>
      <c r="CU5" s="60">
        <f>SUBTOTAL(109,ovc_serv_T[ovc_serv_u1_unk_econ])</f>
        <v>0</v>
      </c>
      <c r="CV5" s="60">
        <f>SUBTOTAL(109,ovc_serv_T[ovc_serv_0109_unk_econ])</f>
        <v>0</v>
      </c>
      <c r="CW5" s="60">
        <f>SUBTOTAL(109,ovc_serv_T[ovc_serv_1014_f_econ])</f>
        <v>0</v>
      </c>
      <c r="CX5" s="60">
        <f>SUBTOTAL(109,ovc_serv_T[ovc_serv_1014_m_econ])</f>
        <v>0</v>
      </c>
      <c r="CY5" s="60">
        <f>SUBTOTAL(109,ovc_serv_T[ovc_serv_1517_f_econ])</f>
        <v>0</v>
      </c>
      <c r="CZ5" s="60">
        <f>SUBTOTAL(109,ovc_serv_T[ovc_serv_1517_m_econ])</f>
        <v>0</v>
      </c>
      <c r="DA5" s="60">
        <f>SUBTOTAL(109,ovc_serv_T[ovc_serv_1824_f_econ])</f>
        <v>0</v>
      </c>
      <c r="DB5" s="60">
        <f>SUBTOTAL(109,ovc_serv_T[ovc_serv_1824_m_econ])</f>
        <v>0</v>
      </c>
      <c r="DC5" s="60">
        <f>SUBTOTAL(109,ovc_serv_T[ovc_serv_o25_f_econ])</f>
        <v>0</v>
      </c>
      <c r="DD5" s="60">
        <f>SUBTOTAL(109,ovc_serv_T[ovc_serv_o25_m_econ])</f>
        <v>0</v>
      </c>
      <c r="DE5" s="60">
        <f>SUBTOTAL(109,ovc_serv_T[ovc_serv_u1_unk_edu])</f>
        <v>0</v>
      </c>
      <c r="DF5" s="60">
        <f>SUBTOTAL(109,ovc_serv_T[ovc_serv_0109_unk_edu])</f>
        <v>0</v>
      </c>
      <c r="DG5" s="60">
        <f>SUBTOTAL(109,ovc_serv_T[ovc_serv_1014_f_edu])</f>
        <v>0</v>
      </c>
      <c r="DH5" s="60">
        <f>SUBTOTAL(109,ovc_serv_T[ovc_serv_1014_m_edu])</f>
        <v>0</v>
      </c>
      <c r="DI5" s="60">
        <f>SUBTOTAL(109,ovc_serv_T[ovc_serv_1517_f_edu])</f>
        <v>0</v>
      </c>
      <c r="DJ5" s="60">
        <f>SUBTOTAL(109,ovc_serv_T[ovc_serv_1517_m_edu])</f>
        <v>0</v>
      </c>
      <c r="DK5" s="60">
        <f>SUBTOTAL(109,ovc_serv_T[ovc_serv_1824_f_edu])</f>
        <v>0</v>
      </c>
      <c r="DL5" s="60">
        <f>SUBTOTAL(109,ovc_serv_T[ovc_serv_1824_m_edu])</f>
        <v>0</v>
      </c>
      <c r="DM5" s="60">
        <f>SUBTOTAL(109,ovc_serv_T[ovc_serv_o25_f_edu])</f>
        <v>0</v>
      </c>
      <c r="DN5" s="60">
        <f>SUBTOTAL(109,ovc_serv_T[ovc_serv_o25_m_edu])</f>
        <v>0</v>
      </c>
      <c r="DO5" s="60">
        <f>SUBTOTAL(109,ovc_serv_T[ovc_serv_u1_unk_oth])</f>
        <v>0</v>
      </c>
      <c r="DP5" s="60">
        <f>SUBTOTAL(109,ovc_serv_T[ovc_serv_0109_unk_oth])</f>
        <v>0</v>
      </c>
      <c r="DQ5" s="60">
        <f>SUBTOTAL(109,ovc_serv_T[ovc_serv_1014_f_oth])</f>
        <v>0</v>
      </c>
      <c r="DR5" s="60">
        <f>SUBTOTAL(109,ovc_serv_T[ovc_serv_1014_m_oth])</f>
        <v>0</v>
      </c>
      <c r="DS5" s="60">
        <f>SUBTOTAL(109,ovc_serv_T[ovc_serv_1517_f_oth])</f>
        <v>0</v>
      </c>
      <c r="DT5" s="60">
        <f>SUBTOTAL(109,ovc_serv_T[ovc_serv_1517_m_oth])</f>
        <v>0</v>
      </c>
      <c r="DU5" s="60">
        <f>SUBTOTAL(109,ovc_serv_T[ovc_serv_1824_f_oth])</f>
        <v>0</v>
      </c>
      <c r="DV5" s="60">
        <f>SUBTOTAL(109,ovc_serv_T[ovc_serv_1824_m_oth])</f>
        <v>0</v>
      </c>
      <c r="DW5" s="60">
        <f>SUBTOTAL(109,ovc_serv_T[ovc_serv_o25_f_oth])</f>
        <v>0</v>
      </c>
      <c r="DX5" s="60">
        <f>SUBTOTAL(109,ovc_serv_T[ovc_serv_o25_m_oth])</f>
        <v>0</v>
      </c>
      <c r="DY5" s="60">
        <f>SUBTOTAL(109,ovc_serv_T[ovc_serv_u1_unk_care])</f>
        <v>0</v>
      </c>
      <c r="DZ5" s="60">
        <f>SUBTOTAL(109,ovc_serv_T[ovc_serv_0109_unk_care])</f>
        <v>0</v>
      </c>
      <c r="EA5" s="60">
        <f>SUBTOTAL(109,ovc_serv_T[ovc_serv_1014_f_care])</f>
        <v>0</v>
      </c>
      <c r="EB5" s="60">
        <f>SUBTOTAL(109,ovc_serv_T[ovc_serv_1014_m_care])</f>
        <v>0</v>
      </c>
      <c r="EC5" s="60">
        <f>SUBTOTAL(109,ovc_serv_T[ovc_serv_1517_f_care])</f>
        <v>0</v>
      </c>
      <c r="ED5" s="60">
        <f>SUBTOTAL(109,ovc_serv_T[ovc_serv_1517_m_care])</f>
        <v>0</v>
      </c>
      <c r="EE5" s="60">
        <f>SUBTOTAL(109,ovc_serv_T[ovc_serv_1824_f_care])</f>
        <v>0</v>
      </c>
      <c r="EF5" s="60">
        <f>SUBTOTAL(109,ovc_serv_T[ovc_serv_1824_m_care])</f>
        <v>0</v>
      </c>
      <c r="EG5" s="60">
        <f>SUBTOTAL(109,ovc_serv_T[ovc_serv_o25_f_care])</f>
        <v>0</v>
      </c>
      <c r="EH5" s="60">
        <f>SUBTOTAL(109,ovc_serv_T[ovc_serv_o25_m_care])</f>
        <v>0</v>
      </c>
      <c r="EI5" s="60">
        <f>SUBTOTAL(109,ovc_serv_T[ovc_serv_u1_unk_sp])</f>
        <v>0</v>
      </c>
      <c r="EJ5" s="60">
        <f>SUBTOTAL(109,ovc_serv_T[ovc_serv_0109_unk_sp])</f>
        <v>0</v>
      </c>
      <c r="EK5" s="60">
        <f>SUBTOTAL(109,ovc_serv_T[ovc_serv_1014_f_sp])</f>
        <v>0</v>
      </c>
      <c r="EL5" s="60">
        <f>SUBTOTAL(109,ovc_serv_T[ovc_serv_1014_m_sp])</f>
        <v>0</v>
      </c>
      <c r="EM5" s="60">
        <f>SUBTOTAL(109,ovc_serv_T[ovc_serv_1517_f_sp])</f>
        <v>0</v>
      </c>
      <c r="EN5" s="60">
        <f>SUBTOTAL(109,ovc_serv_T[ovc_serv_1517_m_sp])</f>
        <v>0</v>
      </c>
      <c r="EO5" s="60">
        <f>SUBTOTAL(109,ovc_serv_T[ovc_serv_1824_f_sp])</f>
        <v>0</v>
      </c>
      <c r="EP5" s="60">
        <f>SUBTOTAL(109,ovc_serv_T[ovc_serv_1824_m_sp])</f>
        <v>0</v>
      </c>
      <c r="EQ5" s="60">
        <f>SUBTOTAL(109,ovc_serv_T[ovc_serv_o25_f_sp])</f>
        <v>0</v>
      </c>
      <c r="ER5" s="60">
        <f>SUBTOTAL(109,ovc_serv_T[ovc_serv_o25_m_sp])</f>
        <v>0</v>
      </c>
    </row>
    <row r="6" spans="1:148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1259</v>
      </c>
      <c r="K6" s="26" t="s">
        <v>1260</v>
      </c>
      <c r="L6" s="26" t="s">
        <v>1261</v>
      </c>
      <c r="M6" s="26" t="s">
        <v>1262</v>
      </c>
      <c r="N6" s="26" t="s">
        <v>1263</v>
      </c>
      <c r="O6" s="26" t="s">
        <v>1264</v>
      </c>
      <c r="P6" s="26" t="s">
        <v>1265</v>
      </c>
      <c r="Q6" s="26" t="s">
        <v>1266</v>
      </c>
      <c r="R6" s="26" t="s">
        <v>1267</v>
      </c>
      <c r="S6" s="26" t="s">
        <v>1268</v>
      </c>
      <c r="T6" s="26" t="s">
        <v>1269</v>
      </c>
      <c r="U6" s="26" t="s">
        <v>1270</v>
      </c>
      <c r="V6" s="26" t="s">
        <v>1271</v>
      </c>
      <c r="W6" s="26" t="s">
        <v>1272</v>
      </c>
      <c r="X6" s="26" t="s">
        <v>1273</v>
      </c>
      <c r="Y6" s="26" t="s">
        <v>1274</v>
      </c>
      <c r="Z6" s="26" t="s">
        <v>1275</v>
      </c>
      <c r="AA6" s="26" t="s">
        <v>1276</v>
      </c>
      <c r="AB6" s="26" t="s">
        <v>1277</v>
      </c>
      <c r="AC6" s="26" t="s">
        <v>1278</v>
      </c>
      <c r="AD6" s="26" t="s">
        <v>1279</v>
      </c>
      <c r="AE6" s="26" t="s">
        <v>1280</v>
      </c>
      <c r="AF6" s="26" t="s">
        <v>1281</v>
      </c>
      <c r="AG6" s="26" t="s">
        <v>1282</v>
      </c>
      <c r="AH6" s="26" t="s">
        <v>1283</v>
      </c>
      <c r="AI6" s="26" t="s">
        <v>1284</v>
      </c>
      <c r="AJ6" s="26" t="s">
        <v>1285</v>
      </c>
      <c r="AK6" s="26" t="s">
        <v>1286</v>
      </c>
      <c r="AL6" s="26" t="s">
        <v>1287</v>
      </c>
      <c r="AM6" s="26" t="s">
        <v>1288</v>
      </c>
      <c r="AN6" s="26" t="s">
        <v>1289</v>
      </c>
      <c r="AO6" s="26" t="s">
        <v>1290</v>
      </c>
      <c r="AP6" s="26" t="s">
        <v>1291</v>
      </c>
      <c r="AQ6" s="26" t="s">
        <v>1292</v>
      </c>
      <c r="AR6" s="26" t="s">
        <v>1293</v>
      </c>
      <c r="AS6" s="26" t="s">
        <v>1294</v>
      </c>
      <c r="AT6" s="26" t="s">
        <v>1295</v>
      </c>
      <c r="AU6" s="26" t="s">
        <v>1296</v>
      </c>
      <c r="AV6" s="26" t="s">
        <v>1297</v>
      </c>
      <c r="AW6" s="26" t="s">
        <v>1298</v>
      </c>
      <c r="AX6" s="26" t="s">
        <v>1299</v>
      </c>
      <c r="AY6" s="26" t="s">
        <v>1300</v>
      </c>
      <c r="AZ6" s="26" t="s">
        <v>1301</v>
      </c>
      <c r="BA6" s="26" t="s">
        <v>1302</v>
      </c>
      <c r="BB6" s="26" t="s">
        <v>1303</v>
      </c>
      <c r="BC6" s="26" t="s">
        <v>1304</v>
      </c>
      <c r="BD6" s="26" t="s">
        <v>1305</v>
      </c>
      <c r="BE6" s="26" t="s">
        <v>1306</v>
      </c>
      <c r="BF6" s="26" t="s">
        <v>1307</v>
      </c>
      <c r="BG6" s="26" t="s">
        <v>1308</v>
      </c>
      <c r="BH6" s="26" t="s">
        <v>1309</v>
      </c>
      <c r="BI6" s="26" t="s">
        <v>1310</v>
      </c>
      <c r="BJ6" s="26" t="s">
        <v>1311</v>
      </c>
      <c r="BK6" s="26" t="s">
        <v>1312</v>
      </c>
      <c r="BL6" s="26" t="s">
        <v>1313</v>
      </c>
      <c r="BM6" s="26" t="s">
        <v>1314</v>
      </c>
      <c r="BN6" s="26" t="s">
        <v>1315</v>
      </c>
      <c r="BO6" s="26" t="s">
        <v>1316</v>
      </c>
      <c r="BP6" s="26" t="s">
        <v>1317</v>
      </c>
      <c r="BQ6" s="26" t="s">
        <v>1318</v>
      </c>
      <c r="BR6" s="26" t="s">
        <v>1630</v>
      </c>
      <c r="BS6" s="26" t="s">
        <v>1631</v>
      </c>
      <c r="BT6" s="26" t="s">
        <v>1633</v>
      </c>
      <c r="BU6" s="26" t="s">
        <v>1635</v>
      </c>
      <c r="BV6" s="26" t="s">
        <v>1636</v>
      </c>
      <c r="BW6" s="26" t="s">
        <v>1637</v>
      </c>
      <c r="BX6" s="26" t="s">
        <v>1638</v>
      </c>
      <c r="BY6" s="26" t="s">
        <v>974</v>
      </c>
      <c r="BZ6" s="26" t="s">
        <v>979</v>
      </c>
      <c r="CA6" s="26" t="s">
        <v>1113</v>
      </c>
      <c r="CB6" s="26" t="s">
        <v>981</v>
      </c>
      <c r="CC6" s="26" t="s">
        <v>982</v>
      </c>
      <c r="CD6" s="26" t="s">
        <v>984</v>
      </c>
      <c r="CE6" s="26" t="s">
        <v>983</v>
      </c>
      <c r="CF6" s="26" t="s">
        <v>985</v>
      </c>
      <c r="CG6" s="26" t="s">
        <v>975</v>
      </c>
      <c r="CH6" s="26" t="s">
        <v>978</v>
      </c>
      <c r="CI6" s="26" t="s">
        <v>977</v>
      </c>
      <c r="CJ6" s="26" t="s">
        <v>976</v>
      </c>
      <c r="CK6" s="26" t="s">
        <v>730</v>
      </c>
      <c r="CL6" s="26" t="s">
        <v>731</v>
      </c>
      <c r="CM6" s="26" t="s">
        <v>491</v>
      </c>
      <c r="CN6" s="26" t="s">
        <v>492</v>
      </c>
      <c r="CO6" s="26" t="s">
        <v>493</v>
      </c>
      <c r="CP6" s="26" t="s">
        <v>494</v>
      </c>
      <c r="CQ6" s="26" t="s">
        <v>495</v>
      </c>
      <c r="CR6" s="26" t="s">
        <v>496</v>
      </c>
      <c r="CS6" s="26" t="s">
        <v>497</v>
      </c>
      <c r="CT6" s="26" t="s">
        <v>498</v>
      </c>
      <c r="CU6" s="26" t="s">
        <v>732</v>
      </c>
      <c r="CV6" s="26" t="s">
        <v>733</v>
      </c>
      <c r="CW6" s="26" t="s">
        <v>499</v>
      </c>
      <c r="CX6" s="26" t="s">
        <v>503</v>
      </c>
      <c r="CY6" s="26" t="s">
        <v>507</v>
      </c>
      <c r="CZ6" s="26" t="s">
        <v>511</v>
      </c>
      <c r="DA6" s="26" t="s">
        <v>515</v>
      </c>
      <c r="DB6" s="26" t="s">
        <v>519</v>
      </c>
      <c r="DC6" s="26" t="s">
        <v>523</v>
      </c>
      <c r="DD6" s="26" t="s">
        <v>527</v>
      </c>
      <c r="DE6" s="26" t="s">
        <v>734</v>
      </c>
      <c r="DF6" s="26" t="s">
        <v>735</v>
      </c>
      <c r="DG6" s="26" t="s">
        <v>500</v>
      </c>
      <c r="DH6" s="26" t="s">
        <v>504</v>
      </c>
      <c r="DI6" s="26" t="s">
        <v>508</v>
      </c>
      <c r="DJ6" s="26" t="s">
        <v>512</v>
      </c>
      <c r="DK6" s="26" t="s">
        <v>516</v>
      </c>
      <c r="DL6" s="26" t="s">
        <v>520</v>
      </c>
      <c r="DM6" s="26" t="s">
        <v>524</v>
      </c>
      <c r="DN6" s="26" t="s">
        <v>528</v>
      </c>
      <c r="DO6" s="26" t="s">
        <v>736</v>
      </c>
      <c r="DP6" s="26" t="s">
        <v>737</v>
      </c>
      <c r="DQ6" s="26" t="s">
        <v>531</v>
      </c>
      <c r="DR6" s="26" t="s">
        <v>532</v>
      </c>
      <c r="DS6" s="26" t="s">
        <v>533</v>
      </c>
      <c r="DT6" s="26" t="s">
        <v>534</v>
      </c>
      <c r="DU6" s="26" t="s">
        <v>535</v>
      </c>
      <c r="DV6" s="26" t="s">
        <v>536</v>
      </c>
      <c r="DW6" s="26" t="s">
        <v>537</v>
      </c>
      <c r="DX6" s="26" t="s">
        <v>538</v>
      </c>
      <c r="DY6" s="26" t="s">
        <v>738</v>
      </c>
      <c r="DZ6" s="26" t="s">
        <v>739</v>
      </c>
      <c r="EA6" s="26" t="s">
        <v>501</v>
      </c>
      <c r="EB6" s="26" t="s">
        <v>505</v>
      </c>
      <c r="EC6" s="26" t="s">
        <v>509</v>
      </c>
      <c r="ED6" s="26" t="s">
        <v>513</v>
      </c>
      <c r="EE6" s="26" t="s">
        <v>517</v>
      </c>
      <c r="EF6" s="26" t="s">
        <v>521</v>
      </c>
      <c r="EG6" s="26" t="s">
        <v>525</v>
      </c>
      <c r="EH6" s="26" t="s">
        <v>529</v>
      </c>
      <c r="EI6" s="26" t="s">
        <v>740</v>
      </c>
      <c r="EJ6" s="26" t="s">
        <v>741</v>
      </c>
      <c r="EK6" s="26" t="s">
        <v>502</v>
      </c>
      <c r="EL6" s="26" t="s">
        <v>506</v>
      </c>
      <c r="EM6" s="26" t="s">
        <v>510</v>
      </c>
      <c r="EN6" s="26" t="s">
        <v>514</v>
      </c>
      <c r="EO6" s="26" t="s">
        <v>518</v>
      </c>
      <c r="EP6" s="26" t="s">
        <v>522</v>
      </c>
      <c r="EQ6" s="26" t="s">
        <v>526</v>
      </c>
      <c r="ER6" s="26" t="s">
        <v>530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1">
        <f>SUM(ovc_serv_T[[#This Row],[A_ovc_serv_u1_unk]:[A_ovc_serv_1517_m]])</f>
        <v>0</v>
      </c>
      <c r="BS7" s="161">
        <f>SUM(ovc_serv_T[[#This Row],[A_ovc_serv_1824_f]:[A_ovc_serv_o25_m]])</f>
        <v>0</v>
      </c>
      <c r="BT7" s="161">
        <f>SUM(ovc_serv_T[[#This Row],[A_ovc_serv_u1_unk_econ]:[A_ovc_serv_o25_m_econ]])</f>
        <v>0</v>
      </c>
      <c r="BU7" s="161">
        <f>SUM(ovc_serv_T[[#This Row],[A_ovc_serv_u1_unk_edu]:[A_ovc_serv_o25_m_edu]])</f>
        <v>0</v>
      </c>
      <c r="BV7" s="161">
        <f>SUM(ovc_serv_T[[#This Row],[A_ovc_serv_u1_unk_oth]:[A_ovc_serv_o25_m_oth]])</f>
        <v>0</v>
      </c>
      <c r="BW7" s="161">
        <f>SUM(ovc_serv_T[[#This Row],[A_ovc_serv_u1_unk_care]:[A_ovc_serv_o25_m_care]])</f>
        <v>0</v>
      </c>
      <c r="BX7" s="161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</row>
    <row r="13" spans="1:1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Z13" s="104"/>
      <c r="CA13" s="104"/>
    </row>
    <row r="14" spans="1:1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</row>
    <row r="15" spans="1:1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</row>
    <row r="16" spans="1:1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</row>
    <row r="17" spans="1:7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</row>
    <row r="18" spans="1:7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</row>
    <row r="19" spans="1:7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</row>
    <row r="20" spans="1:7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</row>
    <row r="21" spans="1:7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</row>
    <row r="22" spans="1:7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</row>
    <row r="23" spans="1:7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</row>
    <row r="24" spans="1:7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</row>
    <row r="25" spans="1:7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</row>
    <row r="26" spans="1:7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</row>
    <row r="27" spans="1:7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</row>
    <row r="28" spans="1:7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</row>
    <row r="29" spans="1:7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</row>
    <row r="30" spans="1:7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</row>
    <row r="31" spans="1:7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</row>
    <row r="32" spans="1:7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</row>
    <row r="33" spans="1:7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</row>
    <row r="34" spans="1:7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</row>
    <row r="35" spans="1:7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</row>
    <row r="36" spans="1:7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</row>
    <row r="37" spans="1:7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</row>
    <row r="38" spans="1:7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</row>
    <row r="39" spans="1:7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</row>
    <row r="40" spans="1:7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</row>
    <row r="41" spans="1:7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</row>
    <row r="42" spans="1:7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</row>
    <row r="43" spans="1:7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</row>
    <row r="44" spans="1:7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</row>
    <row r="45" spans="1:7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</row>
    <row r="46" spans="1:7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</row>
    <row r="47" spans="1:7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</row>
    <row r="48" spans="1:7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</row>
    <row r="49" spans="1:7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</row>
    <row r="50" spans="1:7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</row>
    <row r="51" spans="1:7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</row>
    <row r="52" spans="1:7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</row>
    <row r="53" spans="1:7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</row>
    <row r="54" spans="1:7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</row>
    <row r="55" spans="1:7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</row>
    <row r="56" spans="1:7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</row>
    <row r="57" spans="1:7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</row>
    <row r="58" spans="1:7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</row>
    <row r="59" spans="1:7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</row>
    <row r="60" spans="1:7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</row>
    <row r="61" spans="1:7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</row>
    <row r="62" spans="1:7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</row>
    <row r="63" spans="1:7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</row>
    <row r="64" spans="1:7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</row>
    <row r="65" spans="1:7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</row>
    <row r="66" spans="1:7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</row>
    <row r="67" spans="1:7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</row>
    <row r="68" spans="1:7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</row>
    <row r="69" spans="1:7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</row>
    <row r="70" spans="1:7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</row>
    <row r="71" spans="1:7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</row>
    <row r="72" spans="1:7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</row>
    <row r="73" spans="1:7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</row>
    <row r="74" spans="1:7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</row>
    <row r="75" spans="1:7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</row>
    <row r="76" spans="1:7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</row>
    <row r="77" spans="1:7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</row>
    <row r="78" spans="1:7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</row>
    <row r="79" spans="1:7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</row>
    <row r="80" spans="1:7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</row>
    <row r="81" spans="1:7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</row>
    <row r="82" spans="1:7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</row>
    <row r="83" spans="1:7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</row>
    <row r="84" spans="1:7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</row>
    <row r="85" spans="1:7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</row>
    <row r="86" spans="1:7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</row>
    <row r="87" spans="1:7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</row>
    <row r="88" spans="1:7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</row>
    <row r="89" spans="1:7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</row>
    <row r="90" spans="1:7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</row>
    <row r="91" spans="1:7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</row>
    <row r="92" spans="1:7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</row>
    <row r="93" spans="1:7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</row>
    <row r="94" spans="1:7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</row>
    <row r="95" spans="1:7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</row>
    <row r="96" spans="1:7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</row>
    <row r="97" spans="1:7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</row>
    <row r="98" spans="1:7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</row>
    <row r="99" spans="1:7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</row>
    <row r="100" spans="1:7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</row>
    <row r="101" spans="1:7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</row>
    <row r="102" spans="1:7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</row>
    <row r="103" spans="1:7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</row>
    <row r="104" spans="1:7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</row>
    <row r="105" spans="1:7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</row>
    <row r="106" spans="1:7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</row>
    <row r="107" spans="1:7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</row>
    <row r="108" spans="1:7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</row>
    <row r="109" spans="1:7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</row>
    <row r="110" spans="1:7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</row>
    <row r="111" spans="1:7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</row>
    <row r="112" spans="1:7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</row>
    <row r="113" spans="1:7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</row>
    <row r="114" spans="1:7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</row>
    <row r="115" spans="1:7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</row>
    <row r="116" spans="1:7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</row>
    <row r="117" spans="1:7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</row>
    <row r="118" spans="1:7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</row>
    <row r="119" spans="1:7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</row>
    <row r="120" spans="1:7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</row>
    <row r="121" spans="1:7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</row>
    <row r="122" spans="1:7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</row>
    <row r="123" spans="1:7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</row>
    <row r="124" spans="1:7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</row>
    <row r="125" spans="1:7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</row>
    <row r="126" spans="1:7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</row>
    <row r="127" spans="1:7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</row>
    <row r="128" spans="1:7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</row>
    <row r="129" spans="1:7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</row>
    <row r="130" spans="1:7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</row>
    <row r="131" spans="1:7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</row>
    <row r="132" spans="1:7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</row>
    <row r="133" spans="1:7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</row>
    <row r="134" spans="1:7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</row>
    <row r="135" spans="1:7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</row>
    <row r="136" spans="1:7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</row>
    <row r="137" spans="1:7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</row>
    <row r="138" spans="1:7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</row>
    <row r="139" spans="1:7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</row>
    <row r="140" spans="1:7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</row>
    <row r="141" spans="1:7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</row>
    <row r="142" spans="1:7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</row>
    <row r="143" spans="1:7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</row>
    <row r="144" spans="1:7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</row>
    <row r="145" spans="1:7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</row>
    <row r="146" spans="1:7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</row>
    <row r="147" spans="1:7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</row>
    <row r="148" spans="1:7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</row>
    <row r="149" spans="1:7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</row>
    <row r="150" spans="1:7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</row>
    <row r="151" spans="1:7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</row>
    <row r="152" spans="1:7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</row>
    <row r="153" spans="1:7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</row>
    <row r="154" spans="1:7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</row>
    <row r="155" spans="1:7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</row>
    <row r="156" spans="1:7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</row>
    <row r="157" spans="1:7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</row>
    <row r="158" spans="1:7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</row>
    <row r="159" spans="1:7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</row>
    <row r="160" spans="1:7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</row>
    <row r="161" spans="1:7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</row>
    <row r="162" spans="1:7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</row>
    <row r="163" spans="1:7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</row>
    <row r="164" spans="1:7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</row>
    <row r="165" spans="1:7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</row>
    <row r="166" spans="1:7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</row>
    <row r="167" spans="1:7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</row>
    <row r="168" spans="1:7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</row>
    <row r="169" spans="1:7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</row>
    <row r="170" spans="1:7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</row>
    <row r="171" spans="1:7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</row>
    <row r="172" spans="1:7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</row>
    <row r="173" spans="1:7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</row>
    <row r="174" spans="1:7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</row>
    <row r="175" spans="1:7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</row>
    <row r="176" spans="1:7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</row>
    <row r="177" spans="1:7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</row>
    <row r="178" spans="1:7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</row>
    <row r="179" spans="1:7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</row>
    <row r="180" spans="1:7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</row>
    <row r="181" spans="1:7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</row>
    <row r="182" spans="1:7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</row>
    <row r="183" spans="1:7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</row>
    <row r="184" spans="1:7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</row>
    <row r="185" spans="1:7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</row>
    <row r="186" spans="1:7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</row>
    <row r="187" spans="1:7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</row>
    <row r="188" spans="1:7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</row>
    <row r="189" spans="1:7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</row>
    <row r="190" spans="1:7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</row>
    <row r="191" spans="1:7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</row>
    <row r="192" spans="1:7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</row>
    <row r="193" spans="1:7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</row>
    <row r="194" spans="1:7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</row>
    <row r="195" spans="1:7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</row>
    <row r="196" spans="1:7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</row>
    <row r="197" spans="1:7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</row>
    <row r="198" spans="1:7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</row>
    <row r="199" spans="1:7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</row>
    <row r="200" spans="1:7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</row>
    <row r="201" spans="1:7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</row>
    <row r="202" spans="1:7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</row>
    <row r="203" spans="1:7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</row>
    <row r="204" spans="1:7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</row>
    <row r="205" spans="1:7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</row>
    <row r="206" spans="1:7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</row>
    <row r="207" spans="1:7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</row>
    <row r="208" spans="1:7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</row>
    <row r="209" spans="1:7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</row>
    <row r="210" spans="1:7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</row>
    <row r="211" spans="1:7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</row>
    <row r="212" spans="1:7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</row>
    <row r="213" spans="1:7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</row>
    <row r="214" spans="1:7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</row>
    <row r="215" spans="1:7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</row>
    <row r="216" spans="1:7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</row>
    <row r="217" spans="1:7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</row>
    <row r="218" spans="1:7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</row>
    <row r="219" spans="1:7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</row>
    <row r="220" spans="1:7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</row>
    <row r="221" spans="1:7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</row>
    <row r="222" spans="1:7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</row>
    <row r="223" spans="1:7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</row>
    <row r="224" spans="1:7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</row>
    <row r="225" spans="1:7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</row>
    <row r="226" spans="1:7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</row>
    <row r="227" spans="1:7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</row>
    <row r="228" spans="1:7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</row>
    <row r="229" spans="1:7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</row>
    <row r="230" spans="1:7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</row>
    <row r="231" spans="1:7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</row>
    <row r="232" spans="1:7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</row>
    <row r="233" spans="1:7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</row>
    <row r="234" spans="1:7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</row>
    <row r="235" spans="1:7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</row>
    <row r="236" spans="1:7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</row>
    <row r="237" spans="1:7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</row>
    <row r="238" spans="1:7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</row>
    <row r="239" spans="1:7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</row>
    <row r="240" spans="1:7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</row>
    <row r="241" spans="1:7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</row>
    <row r="242" spans="1:7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</row>
    <row r="243" spans="1:7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</row>
    <row r="244" spans="1:7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</row>
    <row r="245" spans="1:7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</row>
    <row r="246" spans="1:7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</row>
    <row r="247" spans="1:7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</row>
    <row r="248" spans="1:7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</row>
    <row r="249" spans="1:7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</row>
    <row r="250" spans="1:7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</row>
    <row r="251" spans="1:7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</row>
    <row r="252" spans="1:7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</row>
    <row r="253" spans="1:7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</row>
    <row r="254" spans="1:7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</row>
    <row r="255" spans="1:7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</row>
    <row r="256" spans="1:7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</row>
    <row r="257" spans="1:7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</row>
    <row r="258" spans="1:7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</row>
    <row r="259" spans="1:7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</row>
    <row r="260" spans="1:7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</row>
    <row r="261" spans="1:7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</row>
    <row r="262" spans="1:7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</row>
    <row r="263" spans="1:7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</row>
    <row r="264" spans="1:7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</row>
    <row r="265" spans="1:7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</row>
    <row r="266" spans="1:7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</row>
    <row r="267" spans="1:7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</row>
    <row r="268" spans="1:7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</row>
    <row r="269" spans="1:7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</row>
    <row r="270" spans="1:7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</row>
    <row r="271" spans="1:7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</row>
    <row r="272" spans="1:7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</row>
    <row r="273" spans="1:7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</row>
    <row r="274" spans="1:7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</row>
    <row r="275" spans="1:7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</row>
    <row r="276" spans="1:7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</row>
    <row r="277" spans="1:7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</row>
    <row r="278" spans="1:7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</row>
    <row r="279" spans="1:7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</row>
    <row r="280" spans="1:7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</row>
    <row r="281" spans="1:7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</row>
    <row r="282" spans="1:7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</row>
    <row r="283" spans="1:7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</row>
    <row r="284" spans="1:7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</row>
    <row r="285" spans="1:7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</row>
    <row r="286" spans="1:7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</row>
    <row r="287" spans="1:7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</row>
    <row r="288" spans="1:7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</row>
    <row r="289" spans="1:7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</row>
    <row r="290" spans="1:7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</row>
    <row r="291" spans="1:7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</row>
    <row r="292" spans="1:7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</row>
    <row r="293" spans="1:7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</row>
    <row r="294" spans="1:7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</row>
    <row r="295" spans="1:7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</row>
    <row r="296" spans="1:7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</row>
    <row r="297" spans="1:7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</row>
    <row r="298" spans="1:7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</row>
    <row r="299" spans="1:7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</row>
    <row r="300" spans="1:7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</row>
    <row r="301" spans="1:7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</row>
    <row r="302" spans="1:7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</row>
    <row r="303" spans="1:7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</row>
    <row r="304" spans="1:7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</row>
    <row r="305" spans="1:7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</row>
    <row r="306" spans="1:7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</row>
    <row r="307" spans="1:7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</row>
    <row r="308" spans="1:7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</row>
    <row r="309" spans="1:7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</row>
    <row r="310" spans="1:7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</row>
    <row r="311" spans="1:7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</row>
    <row r="312" spans="1:7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</row>
    <row r="313" spans="1:7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</row>
    <row r="314" spans="1:7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</row>
    <row r="315" spans="1:7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</row>
    <row r="316" spans="1:7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</row>
    <row r="317" spans="1:7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</row>
    <row r="318" spans="1:7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</row>
    <row r="319" spans="1:7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</row>
    <row r="320" spans="1:7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</row>
    <row r="321" spans="1:7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</row>
    <row r="322" spans="1:7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</row>
    <row r="323" spans="1:7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</row>
    <row r="324" spans="1:7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</row>
    <row r="325" spans="1:7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</row>
    <row r="326" spans="1:7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</row>
    <row r="327" spans="1:7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</row>
    <row r="328" spans="1:7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</row>
    <row r="329" spans="1:7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</row>
    <row r="330" spans="1:7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</row>
    <row r="331" spans="1:7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</row>
    <row r="332" spans="1:7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</row>
    <row r="333" spans="1:7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</row>
    <row r="334" spans="1:7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</row>
    <row r="335" spans="1:7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</row>
    <row r="336" spans="1:7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</row>
    <row r="337" spans="1:7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</row>
    <row r="338" spans="1:7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</row>
    <row r="339" spans="1:7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</row>
    <row r="340" spans="1:7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</row>
    <row r="341" spans="1:7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</row>
    <row r="342" spans="1:7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</row>
    <row r="343" spans="1:7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</row>
    <row r="344" spans="1:7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</row>
    <row r="345" spans="1:7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</row>
    <row r="346" spans="1:7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</row>
    <row r="347" spans="1:7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</row>
    <row r="348" spans="1:7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</row>
    <row r="349" spans="1:7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</row>
    <row r="350" spans="1:7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</row>
    <row r="351" spans="1:7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</row>
    <row r="352" spans="1:7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</row>
    <row r="353" spans="1:7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</row>
    <row r="354" spans="1:7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</row>
    <row r="355" spans="1:7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</row>
    <row r="356" spans="1:7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</row>
    <row r="357" spans="1:7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</row>
    <row r="358" spans="1:7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</row>
    <row r="359" spans="1:7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</row>
    <row r="360" spans="1:7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</row>
    <row r="361" spans="1:7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</row>
    <row r="362" spans="1:7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</row>
    <row r="363" spans="1:7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</row>
    <row r="364" spans="1:7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</row>
    <row r="365" spans="1:7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</row>
    <row r="366" spans="1:7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</row>
    <row r="367" spans="1:7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</row>
    <row r="368" spans="1:7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</row>
    <row r="369" spans="1:7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</row>
    <row r="370" spans="1:7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</row>
    <row r="371" spans="1:7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</row>
    <row r="372" spans="1:7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</row>
    <row r="373" spans="1:7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</row>
    <row r="374" spans="1:7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</row>
    <row r="375" spans="1:7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</row>
    <row r="376" spans="1:7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</row>
    <row r="377" spans="1:7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</row>
    <row r="378" spans="1:7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</row>
    <row r="379" spans="1:7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</row>
    <row r="380" spans="1:7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</row>
    <row r="381" spans="1:7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</row>
    <row r="382" spans="1:7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</row>
    <row r="383" spans="1:7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</row>
    <row r="384" spans="1:7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</row>
    <row r="385" spans="1:7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</row>
    <row r="386" spans="1:7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</row>
    <row r="387" spans="1:7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</row>
    <row r="388" spans="1:7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</row>
    <row r="389" spans="1:7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</row>
    <row r="390" spans="1:7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</row>
    <row r="391" spans="1:7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</row>
    <row r="392" spans="1:7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</row>
    <row r="393" spans="1:7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</row>
    <row r="394" spans="1:7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</row>
    <row r="395" spans="1:7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</row>
    <row r="396" spans="1:7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</row>
    <row r="397" spans="1:7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</row>
    <row r="398" spans="1:7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</row>
    <row r="399" spans="1:7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</row>
    <row r="400" spans="1:7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</row>
    <row r="401" spans="1:7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</row>
    <row r="402" spans="1:7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</row>
    <row r="403" spans="1:7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</row>
    <row r="404" spans="1:7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</row>
    <row r="405" spans="1:7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</row>
    <row r="406" spans="1:7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</row>
    <row r="407" spans="1:7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</row>
    <row r="408" spans="1:7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</row>
    <row r="409" spans="1:7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</row>
    <row r="410" spans="1:7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</row>
    <row r="411" spans="1:7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</row>
    <row r="412" spans="1:7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</row>
    <row r="413" spans="1:7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</row>
    <row r="414" spans="1:7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</row>
    <row r="415" spans="1:7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</row>
    <row r="416" spans="1:7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</row>
    <row r="417" spans="1:7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</row>
    <row r="418" spans="1:7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</row>
    <row r="419" spans="1:7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</row>
    <row r="420" spans="1:7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</row>
    <row r="421" spans="1:7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</row>
    <row r="422" spans="1:7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</row>
    <row r="423" spans="1:7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</row>
    <row r="424" spans="1:7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</row>
    <row r="425" spans="1:7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</row>
    <row r="426" spans="1:7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</row>
    <row r="427" spans="1:7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</row>
    <row r="428" spans="1:7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</row>
    <row r="429" spans="1:7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</row>
    <row r="430" spans="1:7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</row>
    <row r="431" spans="1:7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</row>
    <row r="432" spans="1:7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</row>
    <row r="433" spans="1:7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</row>
    <row r="434" spans="1:7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</row>
    <row r="435" spans="1:7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</row>
    <row r="436" spans="1:7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</row>
    <row r="437" spans="1:7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</row>
    <row r="438" spans="1:7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</row>
    <row r="439" spans="1:7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</row>
    <row r="440" spans="1:7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</row>
    <row r="441" spans="1:7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</row>
    <row r="442" spans="1:7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</row>
    <row r="443" spans="1:7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</row>
    <row r="444" spans="1:7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</row>
    <row r="445" spans="1:7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</row>
    <row r="446" spans="1:7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</row>
    <row r="447" spans="1:7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</row>
    <row r="448" spans="1:7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</row>
    <row r="449" spans="1:7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</row>
    <row r="450" spans="1:7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</row>
    <row r="451" spans="1:7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</row>
    <row r="452" spans="1:7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</row>
    <row r="453" spans="1:7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</row>
    <row r="454" spans="1:7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</row>
    <row r="455" spans="1:7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</row>
    <row r="456" spans="1:7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</row>
    <row r="457" spans="1:7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</row>
    <row r="458" spans="1:7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</row>
    <row r="459" spans="1:7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</row>
    <row r="460" spans="1:7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</row>
    <row r="461" spans="1:7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</row>
    <row r="462" spans="1:7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</row>
    <row r="463" spans="1:7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</row>
    <row r="464" spans="1:7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</row>
    <row r="465" spans="1:7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</row>
    <row r="466" spans="1:7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</row>
    <row r="467" spans="1:7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</row>
    <row r="468" spans="1:7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</row>
    <row r="469" spans="1:7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</row>
    <row r="470" spans="1:7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</row>
    <row r="471" spans="1:7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</row>
    <row r="472" spans="1:7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</row>
    <row r="473" spans="1:7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</row>
    <row r="474" spans="1:7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</row>
    <row r="475" spans="1:7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</row>
    <row r="476" spans="1:7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</row>
    <row r="477" spans="1:7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</row>
    <row r="478" spans="1:7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</row>
    <row r="479" spans="1:7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</row>
    <row r="480" spans="1:7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</row>
    <row r="481" spans="1:7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</row>
    <row r="482" spans="1:7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</row>
    <row r="483" spans="1:7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</row>
    <row r="484" spans="1:7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</row>
    <row r="485" spans="1:7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</row>
    <row r="486" spans="1:7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</row>
    <row r="487" spans="1:7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</row>
    <row r="488" spans="1:7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</row>
    <row r="489" spans="1:7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</row>
    <row r="490" spans="1:7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</row>
    <row r="491" spans="1:7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</row>
    <row r="492" spans="1:7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</row>
    <row r="493" spans="1:7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</row>
    <row r="494" spans="1:7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</row>
    <row r="495" spans="1:7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</row>
    <row r="496" spans="1:7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</row>
    <row r="497" spans="1:7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</row>
    <row r="498" spans="1:7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</row>
    <row r="499" spans="1:7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</row>
    <row r="500" spans="1:7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</row>
    <row r="501" spans="1:7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</row>
    <row r="502" spans="1:7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</row>
    <row r="503" spans="1:7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</row>
    <row r="504" spans="1:7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</row>
    <row r="505" spans="1:7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</row>
    <row r="506" spans="1:7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</row>
    <row r="507" spans="1:7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 s="104"/>
      <c r="BG507" s="104"/>
      <c r="BH507" s="104"/>
      <c r="BI507" s="104"/>
      <c r="BJ507" s="104"/>
      <c r="BK507" s="104"/>
      <c r="BL507" s="104"/>
      <c r="BM507" s="104"/>
      <c r="BN507" s="104"/>
      <c r="BO507" s="104"/>
      <c r="BP507" s="104"/>
      <c r="BQ507" s="104"/>
      <c r="BR507" s="104"/>
      <c r="BS507" s="104"/>
      <c r="BT507" s="104"/>
      <c r="BU507" s="104"/>
      <c r="BV507" s="104"/>
      <c r="BW507" s="104"/>
      <c r="BX507" s="104"/>
    </row>
    <row r="508" spans="1:7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 s="104"/>
      <c r="BG508" s="104"/>
      <c r="BH508" s="104"/>
      <c r="BI508" s="104"/>
      <c r="BJ508" s="104"/>
      <c r="BK508" s="104"/>
      <c r="BL508" s="104"/>
      <c r="BM508" s="104"/>
      <c r="BN508" s="104"/>
      <c r="BO508" s="104"/>
      <c r="BP508" s="104"/>
      <c r="BQ508" s="104"/>
      <c r="BR508" s="104"/>
      <c r="BS508" s="104"/>
      <c r="BT508" s="104"/>
      <c r="BU508" s="104"/>
      <c r="BV508" s="104"/>
      <c r="BW508" s="104"/>
      <c r="BX508" s="104"/>
    </row>
    <row r="509" spans="1:7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 s="104"/>
      <c r="BG509" s="104"/>
      <c r="BH509" s="104"/>
      <c r="BI509" s="104"/>
      <c r="BJ509" s="104"/>
      <c r="BK509" s="104"/>
      <c r="BL509" s="104"/>
      <c r="BM509" s="104"/>
      <c r="BN509" s="104"/>
      <c r="BO509" s="104"/>
      <c r="BP509" s="104"/>
      <c r="BQ509" s="104"/>
      <c r="BR509" s="104"/>
      <c r="BS509" s="104"/>
      <c r="BT509" s="104"/>
      <c r="BU509" s="104"/>
      <c r="BV509" s="104"/>
      <c r="BW509" s="104"/>
      <c r="BX509" s="104"/>
    </row>
    <row r="510" spans="1:7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 s="104"/>
      <c r="BG510" s="104"/>
      <c r="BH510" s="104"/>
      <c r="BI510" s="104"/>
      <c r="BJ510" s="104"/>
      <c r="BK510" s="104"/>
      <c r="BL510" s="104"/>
      <c r="BM510" s="104"/>
      <c r="BN510" s="104"/>
      <c r="BO510" s="104"/>
      <c r="BP510" s="104"/>
      <c r="BQ510" s="104"/>
      <c r="BR510" s="104"/>
      <c r="BS510" s="104"/>
      <c r="BT510" s="104"/>
      <c r="BU510" s="104"/>
      <c r="BV510" s="104"/>
      <c r="BW510" s="104"/>
      <c r="BX510" s="104"/>
    </row>
    <row r="511" spans="1:7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 s="104"/>
      <c r="BG511" s="104"/>
      <c r="BH511" s="104"/>
      <c r="BI511" s="104"/>
      <c r="BJ511" s="104"/>
      <c r="BK511" s="104"/>
      <c r="BL511" s="104"/>
      <c r="BM511" s="104"/>
      <c r="BN511" s="104"/>
      <c r="BO511" s="104"/>
      <c r="BP511" s="104"/>
      <c r="BQ511" s="104"/>
      <c r="BR511" s="104"/>
      <c r="BS511" s="104"/>
      <c r="BT511" s="104"/>
      <c r="BU511" s="104"/>
      <c r="BV511" s="104"/>
      <c r="BW511" s="104"/>
      <c r="BX511" s="104"/>
    </row>
    <row r="512" spans="1:7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 s="104"/>
      <c r="BG512" s="104"/>
      <c r="BH512" s="104"/>
      <c r="BI512" s="104"/>
      <c r="BJ512" s="104"/>
      <c r="BK512" s="104"/>
      <c r="BL512" s="104"/>
      <c r="BM512" s="104"/>
      <c r="BN512" s="104"/>
      <c r="BO512" s="104"/>
      <c r="BP512" s="104"/>
      <c r="BQ512" s="104"/>
      <c r="BR512" s="104"/>
      <c r="BS512" s="104"/>
      <c r="BT512" s="104"/>
      <c r="BU512" s="104"/>
      <c r="BV512" s="104"/>
      <c r="BW512" s="104"/>
      <c r="BX512" s="104"/>
    </row>
    <row r="513" spans="1:7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 s="104"/>
      <c r="BG513" s="104"/>
      <c r="BH513" s="104"/>
      <c r="BI513" s="104"/>
      <c r="BJ513" s="104"/>
      <c r="BK513" s="104"/>
      <c r="BL513" s="104"/>
      <c r="BM513" s="104"/>
      <c r="BN513" s="104"/>
      <c r="BO513" s="104"/>
      <c r="BP513" s="104"/>
      <c r="BQ513" s="104"/>
      <c r="BR513" s="104"/>
      <c r="BS513" s="104"/>
      <c r="BT513" s="104"/>
      <c r="BU513" s="104"/>
      <c r="BV513" s="104"/>
      <c r="BW513" s="104"/>
      <c r="BX513" s="104"/>
    </row>
    <row r="514" spans="1:7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 s="104"/>
      <c r="BG514" s="104"/>
      <c r="BH514" s="104"/>
      <c r="BI514" s="104"/>
      <c r="BJ514" s="104"/>
      <c r="BK514" s="104"/>
      <c r="BL514" s="104"/>
      <c r="BM514" s="104"/>
      <c r="BN514" s="104"/>
      <c r="BO514" s="104"/>
      <c r="BP514" s="104"/>
      <c r="BQ514" s="104"/>
      <c r="BR514" s="104"/>
      <c r="BS514" s="104"/>
      <c r="BT514" s="104"/>
      <c r="BU514" s="104"/>
      <c r="BV514" s="104"/>
      <c r="BW514" s="104"/>
      <c r="BX514" s="104"/>
    </row>
    <row r="515" spans="1:7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 s="104"/>
      <c r="BG515" s="104"/>
      <c r="BH515" s="104"/>
      <c r="BI515" s="104"/>
      <c r="BJ515" s="104"/>
      <c r="BK515" s="104"/>
      <c r="BL515" s="104"/>
      <c r="BM515" s="104"/>
      <c r="BN515" s="104"/>
      <c r="BO515" s="104"/>
      <c r="BP515" s="104"/>
      <c r="BQ515" s="104"/>
      <c r="BR515" s="104"/>
      <c r="BS515" s="104"/>
      <c r="BT515" s="104"/>
      <c r="BU515" s="104"/>
      <c r="BV515" s="104"/>
      <c r="BW515" s="104"/>
      <c r="BX515" s="104"/>
    </row>
    <row r="516" spans="1:7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 s="104"/>
      <c r="BG516" s="104"/>
      <c r="BH516" s="104"/>
      <c r="BI516" s="104"/>
      <c r="BJ516" s="104"/>
      <c r="BK516" s="104"/>
      <c r="BL516" s="104"/>
      <c r="BM516" s="104"/>
      <c r="BN516" s="104"/>
      <c r="BO516" s="104"/>
      <c r="BP516" s="104"/>
      <c r="BQ516" s="104"/>
      <c r="BR516" s="104"/>
      <c r="BS516" s="104"/>
      <c r="BT516" s="104"/>
      <c r="BU516" s="104"/>
      <c r="BV516" s="104"/>
      <c r="BW516" s="104"/>
      <c r="BX516" s="104"/>
    </row>
    <row r="517" spans="1:7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 s="104"/>
      <c r="BG517" s="104"/>
      <c r="BH517" s="104"/>
      <c r="BI517" s="104"/>
      <c r="BJ517" s="104"/>
      <c r="BK517" s="104"/>
      <c r="BL517" s="104"/>
      <c r="BM517" s="104"/>
      <c r="BN517" s="104"/>
      <c r="BO517" s="104"/>
      <c r="BP517" s="104"/>
      <c r="BQ517" s="104"/>
      <c r="BR517" s="104"/>
      <c r="BS517" s="104"/>
      <c r="BT517" s="104"/>
      <c r="BU517" s="104"/>
      <c r="BV517" s="104"/>
      <c r="BW517" s="104"/>
      <c r="BX517" s="104"/>
    </row>
    <row r="518" spans="1:7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 s="104"/>
      <c r="BG518" s="104"/>
      <c r="BH518" s="104"/>
      <c r="BI518" s="104"/>
      <c r="BJ518" s="104"/>
      <c r="BK518" s="104"/>
      <c r="BL518" s="104"/>
      <c r="BM518" s="104"/>
      <c r="BN518" s="104"/>
      <c r="BO518" s="104"/>
      <c r="BP518" s="104"/>
      <c r="BQ518" s="104"/>
      <c r="BR518" s="104"/>
      <c r="BS518" s="104"/>
      <c r="BT518" s="104"/>
      <c r="BU518" s="104"/>
      <c r="BV518" s="104"/>
      <c r="BW518" s="104"/>
      <c r="BX518" s="104"/>
    </row>
    <row r="519" spans="1:7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 s="104"/>
      <c r="BG519" s="104"/>
      <c r="BH519" s="104"/>
      <c r="BI519" s="104"/>
      <c r="BJ519" s="104"/>
      <c r="BK519" s="104"/>
      <c r="BL519" s="104"/>
      <c r="BM519" s="104"/>
      <c r="BN519" s="104"/>
      <c r="BO519" s="104"/>
      <c r="BP519" s="104"/>
      <c r="BQ519" s="104"/>
      <c r="BR519" s="104"/>
      <c r="BS519" s="104"/>
      <c r="BT519" s="104"/>
      <c r="BU519" s="104"/>
      <c r="BV519" s="104"/>
      <c r="BW519" s="104"/>
      <c r="BX519" s="104"/>
    </row>
    <row r="520" spans="1:7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 s="104"/>
      <c r="BG520" s="104"/>
      <c r="BH520" s="104"/>
      <c r="BI520" s="104"/>
      <c r="BJ520" s="104"/>
      <c r="BK520" s="104"/>
      <c r="BL520" s="104"/>
      <c r="BM520" s="104"/>
      <c r="BN520" s="104"/>
      <c r="BO520" s="104"/>
      <c r="BP520" s="104"/>
      <c r="BQ520" s="104"/>
      <c r="BR520" s="104"/>
      <c r="BS520" s="104"/>
      <c r="BT520" s="104"/>
      <c r="BU520" s="104"/>
      <c r="BV520" s="104"/>
      <c r="BW520" s="104"/>
      <c r="BX520" s="104"/>
    </row>
    <row r="521" spans="1:7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 s="104"/>
      <c r="BG521" s="104"/>
      <c r="BH521" s="104"/>
      <c r="BI521" s="104"/>
      <c r="BJ521" s="104"/>
      <c r="BK521" s="104"/>
      <c r="BL521" s="104"/>
      <c r="BM521" s="104"/>
      <c r="BN521" s="104"/>
      <c r="BO521" s="104"/>
      <c r="BP521" s="104"/>
      <c r="BQ521" s="104"/>
      <c r="BR521" s="104"/>
      <c r="BS521" s="104"/>
      <c r="BT521" s="104"/>
      <c r="BU521" s="104"/>
      <c r="BV521" s="104"/>
      <c r="BW521" s="104"/>
      <c r="BX521" s="104"/>
    </row>
    <row r="522" spans="1:7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 s="104"/>
      <c r="BG522" s="104"/>
      <c r="BH522" s="104"/>
      <c r="BI522" s="104"/>
      <c r="BJ522" s="104"/>
      <c r="BK522" s="104"/>
      <c r="BL522" s="104"/>
      <c r="BM522" s="104"/>
      <c r="BN522" s="104"/>
      <c r="BO522" s="104"/>
      <c r="BP522" s="104"/>
      <c r="BQ522" s="104"/>
      <c r="BR522" s="104"/>
      <c r="BS522" s="104"/>
      <c r="BT522" s="104"/>
      <c r="BU522" s="104"/>
      <c r="BV522" s="104"/>
      <c r="BW522" s="104"/>
      <c r="BX522" s="104"/>
    </row>
    <row r="523" spans="1:7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 s="104"/>
      <c r="BG523" s="104"/>
      <c r="BH523" s="104"/>
      <c r="BI523" s="104"/>
      <c r="BJ523" s="104"/>
      <c r="BK523" s="104"/>
      <c r="BL523" s="104"/>
      <c r="BM523" s="104"/>
      <c r="BN523" s="104"/>
      <c r="BO523" s="104"/>
      <c r="BP523" s="104"/>
      <c r="BQ523" s="104"/>
      <c r="BR523" s="104"/>
      <c r="BS523" s="104"/>
      <c r="BT523" s="104"/>
      <c r="BU523" s="104"/>
      <c r="BV523" s="104"/>
      <c r="BW523" s="104"/>
      <c r="BX523" s="104"/>
    </row>
    <row r="524" spans="1:7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 s="104"/>
      <c r="BG524" s="104"/>
      <c r="BH524" s="104"/>
      <c r="BI524" s="104"/>
      <c r="BJ524" s="104"/>
      <c r="BK524" s="104"/>
      <c r="BL524" s="104"/>
      <c r="BM524" s="104"/>
      <c r="BN524" s="104"/>
      <c r="BO524" s="104"/>
      <c r="BP524" s="104"/>
      <c r="BQ524" s="104"/>
      <c r="BR524" s="104"/>
      <c r="BS524" s="104"/>
      <c r="BT524" s="104"/>
      <c r="BU524" s="104"/>
      <c r="BV524" s="104"/>
      <c r="BW524" s="104"/>
      <c r="BX524" s="104"/>
    </row>
    <row r="525" spans="1:7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 s="104"/>
      <c r="BG525" s="104"/>
      <c r="BH525" s="104"/>
      <c r="BI525" s="104"/>
      <c r="BJ525" s="104"/>
      <c r="BK525" s="104"/>
      <c r="BL525" s="104"/>
      <c r="BM525" s="104"/>
      <c r="BN525" s="104"/>
      <c r="BO525" s="104"/>
      <c r="BP525" s="104"/>
      <c r="BQ525" s="104"/>
      <c r="BR525" s="104"/>
      <c r="BS525" s="104"/>
      <c r="BT525" s="104"/>
      <c r="BU525" s="104"/>
      <c r="BV525" s="104"/>
      <c r="BW525" s="104"/>
      <c r="BX525" s="104"/>
    </row>
    <row r="526" spans="1:7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 s="104"/>
      <c r="BG526" s="104"/>
      <c r="BH526" s="104"/>
      <c r="BI526" s="104"/>
      <c r="BJ526" s="104"/>
      <c r="BK526" s="104"/>
      <c r="BL526" s="104"/>
      <c r="BM526" s="104"/>
      <c r="BN526" s="104"/>
      <c r="BO526" s="104"/>
      <c r="BP526" s="104"/>
      <c r="BQ526" s="104"/>
      <c r="BR526" s="104"/>
      <c r="BS526" s="104"/>
      <c r="BT526" s="104"/>
      <c r="BU526" s="104"/>
      <c r="BV526" s="104"/>
      <c r="BW526" s="104"/>
      <c r="BX526" s="104"/>
    </row>
    <row r="527" spans="1:7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 s="104"/>
      <c r="BG527" s="104"/>
      <c r="BH527" s="104"/>
      <c r="BI527" s="104"/>
      <c r="BJ527" s="104"/>
      <c r="BK527" s="104"/>
      <c r="BL527" s="104"/>
      <c r="BM527" s="104"/>
      <c r="BN527" s="104"/>
      <c r="BO527" s="104"/>
      <c r="BP527" s="104"/>
      <c r="BQ527" s="104"/>
      <c r="BR527" s="104"/>
      <c r="BS527" s="104"/>
      <c r="BT527" s="104"/>
      <c r="BU527" s="104"/>
      <c r="BV527" s="104"/>
      <c r="BW527" s="104"/>
      <c r="BX527" s="104"/>
    </row>
    <row r="528" spans="1:7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 s="104"/>
      <c r="BG528" s="104"/>
      <c r="BH528" s="104"/>
      <c r="BI528" s="104"/>
      <c r="BJ528" s="104"/>
      <c r="BK528" s="104"/>
      <c r="BL528" s="104"/>
      <c r="BM528" s="104"/>
      <c r="BN528" s="104"/>
      <c r="BO528" s="104"/>
      <c r="BP528" s="104"/>
      <c r="BQ528" s="104"/>
      <c r="BR528" s="104"/>
      <c r="BS528" s="104"/>
      <c r="BT528" s="104"/>
      <c r="BU528" s="104"/>
      <c r="BV528" s="104"/>
      <c r="BW528" s="104"/>
      <c r="BX528" s="104"/>
    </row>
    <row r="529" spans="1:7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 s="104"/>
      <c r="BG529" s="104"/>
      <c r="BH529" s="104"/>
      <c r="BI529" s="104"/>
      <c r="BJ529" s="104"/>
      <c r="BK529" s="104"/>
      <c r="BL529" s="104"/>
      <c r="BM529" s="104"/>
      <c r="BN529" s="104"/>
      <c r="BO529" s="104"/>
      <c r="BP529" s="104"/>
      <c r="BQ529" s="104"/>
      <c r="BR529" s="104"/>
      <c r="BS529" s="104"/>
      <c r="BT529" s="104"/>
      <c r="BU529" s="104"/>
      <c r="BV529" s="104"/>
      <c r="BW529" s="104"/>
      <c r="BX529" s="104"/>
    </row>
    <row r="530" spans="1:7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 s="104"/>
      <c r="BG530" s="104"/>
      <c r="BH530" s="104"/>
      <c r="BI530" s="104"/>
      <c r="BJ530" s="104"/>
      <c r="BK530" s="104"/>
      <c r="BL530" s="104"/>
      <c r="BM530" s="104"/>
      <c r="BN530" s="104"/>
      <c r="BO530" s="104"/>
      <c r="BP530" s="104"/>
      <c r="BQ530" s="104"/>
      <c r="BR530" s="104"/>
      <c r="BS530" s="104"/>
      <c r="BT530" s="104"/>
      <c r="BU530" s="104"/>
      <c r="BV530" s="104"/>
      <c r="BW530" s="104"/>
      <c r="BX530" s="104"/>
    </row>
    <row r="531" spans="1:7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 s="104"/>
      <c r="BG531" s="104"/>
      <c r="BH531" s="104"/>
      <c r="BI531" s="104"/>
      <c r="BJ531" s="104"/>
      <c r="BK531" s="104"/>
      <c r="BL531" s="104"/>
      <c r="BM531" s="104"/>
      <c r="BN531" s="104"/>
      <c r="BO531" s="104"/>
      <c r="BP531" s="104"/>
      <c r="BQ531" s="104"/>
      <c r="BR531" s="104"/>
      <c r="BS531" s="104"/>
      <c r="BT531" s="104"/>
      <c r="BU531" s="104"/>
      <c r="BV531" s="104"/>
      <c r="BW531" s="104"/>
      <c r="BX531" s="104"/>
    </row>
    <row r="532" spans="1:7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 s="104"/>
      <c r="BG532" s="104"/>
      <c r="BH532" s="104"/>
      <c r="BI532" s="104"/>
      <c r="BJ532" s="104"/>
      <c r="BK532" s="104"/>
      <c r="BL532" s="104"/>
      <c r="BM532" s="104"/>
      <c r="BN532" s="104"/>
      <c r="BO532" s="104"/>
      <c r="BP532" s="104"/>
      <c r="BQ532" s="104"/>
      <c r="BR532" s="104"/>
      <c r="BS532" s="104"/>
      <c r="BT532" s="104"/>
      <c r="BU532" s="104"/>
      <c r="BV532" s="104"/>
      <c r="BW532" s="104"/>
      <c r="BX532" s="104"/>
    </row>
    <row r="533" spans="1:7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 s="104"/>
      <c r="BG533" s="104"/>
      <c r="BH533" s="104"/>
      <c r="BI533" s="104"/>
      <c r="BJ533" s="104"/>
      <c r="BK533" s="104"/>
      <c r="BL533" s="104"/>
      <c r="BM533" s="104"/>
      <c r="BN533" s="104"/>
      <c r="BO533" s="104"/>
      <c r="BP533" s="104"/>
      <c r="BQ533" s="104"/>
      <c r="BR533" s="104"/>
      <c r="BS533" s="104"/>
      <c r="BT533" s="104"/>
      <c r="BU533" s="104"/>
      <c r="BV533" s="104"/>
      <c r="BW533" s="104"/>
      <c r="BX533" s="104"/>
    </row>
    <row r="534" spans="1:7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 s="104"/>
      <c r="BG534" s="104"/>
      <c r="BH534" s="104"/>
      <c r="BI534" s="104"/>
      <c r="BJ534" s="104"/>
      <c r="BK534" s="104"/>
      <c r="BL534" s="104"/>
      <c r="BM534" s="104"/>
      <c r="BN534" s="104"/>
      <c r="BO534" s="104"/>
      <c r="BP534" s="104"/>
      <c r="BQ534" s="104"/>
      <c r="BR534" s="104"/>
      <c r="BS534" s="104"/>
      <c r="BT534" s="104"/>
      <c r="BU534" s="104"/>
      <c r="BV534" s="104"/>
      <c r="BW534" s="104"/>
      <c r="BX534" s="104"/>
    </row>
    <row r="535" spans="1:7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 s="104"/>
      <c r="BG535" s="104"/>
      <c r="BH535" s="104"/>
      <c r="BI535" s="104"/>
      <c r="BJ535" s="104"/>
      <c r="BK535" s="104"/>
      <c r="BL535" s="104"/>
      <c r="BM535" s="104"/>
      <c r="BN535" s="104"/>
      <c r="BO535" s="104"/>
      <c r="BP535" s="104"/>
      <c r="BQ535" s="104"/>
      <c r="BR535" s="104"/>
      <c r="BS535" s="104"/>
      <c r="BT535" s="104"/>
      <c r="BU535" s="104"/>
      <c r="BV535" s="104"/>
      <c r="BW535" s="104"/>
      <c r="BX535" s="104"/>
    </row>
    <row r="536" spans="1:7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 s="104"/>
      <c r="BG536" s="104"/>
      <c r="BH536" s="104"/>
      <c r="BI536" s="104"/>
      <c r="BJ536" s="104"/>
      <c r="BK536" s="104"/>
      <c r="BL536" s="104"/>
      <c r="BM536" s="104"/>
      <c r="BN536" s="104"/>
      <c r="BO536" s="104"/>
      <c r="BP536" s="104"/>
      <c r="BQ536" s="104"/>
      <c r="BR536" s="104"/>
      <c r="BS536" s="104"/>
      <c r="BT536" s="104"/>
      <c r="BU536" s="104"/>
      <c r="BV536" s="104"/>
      <c r="BW536" s="104"/>
      <c r="BX536" s="104"/>
    </row>
    <row r="537" spans="1:7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 s="104"/>
      <c r="BG537" s="104"/>
      <c r="BH537" s="104"/>
      <c r="BI537" s="104"/>
      <c r="BJ537" s="104"/>
      <c r="BK537" s="104"/>
      <c r="BL537" s="104"/>
      <c r="BM537" s="104"/>
      <c r="BN537" s="104"/>
      <c r="BO537" s="104"/>
      <c r="BP537" s="104"/>
      <c r="BQ537" s="104"/>
      <c r="BR537" s="104"/>
      <c r="BS537" s="104"/>
      <c r="BT537" s="104"/>
      <c r="BU537" s="104"/>
      <c r="BV537" s="104"/>
      <c r="BW537" s="104"/>
      <c r="BX537" s="104"/>
    </row>
    <row r="538" spans="1:7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 s="104"/>
      <c r="BG538" s="104"/>
      <c r="BH538" s="104"/>
      <c r="BI538" s="104"/>
      <c r="BJ538" s="104"/>
      <c r="BK538" s="104"/>
      <c r="BL538" s="104"/>
      <c r="BM538" s="104"/>
      <c r="BN538" s="104"/>
      <c r="BO538" s="104"/>
      <c r="BP538" s="104"/>
      <c r="BQ538" s="104"/>
      <c r="BR538" s="104"/>
      <c r="BS538" s="104"/>
      <c r="BT538" s="104"/>
      <c r="BU538" s="104"/>
      <c r="BV538" s="104"/>
      <c r="BW538" s="104"/>
      <c r="BX538" s="104"/>
    </row>
    <row r="539" spans="1:7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 s="104"/>
      <c r="BG539" s="104"/>
      <c r="BH539" s="104"/>
      <c r="BI539" s="104"/>
      <c r="BJ539" s="104"/>
      <c r="BK539" s="104"/>
      <c r="BL539" s="104"/>
      <c r="BM539" s="104"/>
      <c r="BN539" s="104"/>
      <c r="BO539" s="104"/>
      <c r="BP539" s="104"/>
      <c r="BQ539" s="104"/>
      <c r="BR539" s="104"/>
      <c r="BS539" s="104"/>
      <c r="BT539" s="104"/>
      <c r="BU539" s="104"/>
      <c r="BV539" s="104"/>
      <c r="BW539" s="104"/>
      <c r="BX539" s="104"/>
    </row>
    <row r="540" spans="1:7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 s="104"/>
      <c r="BG540" s="104"/>
      <c r="BH540" s="104"/>
      <c r="BI540" s="104"/>
      <c r="BJ540" s="104"/>
      <c r="BK540" s="104"/>
      <c r="BL540" s="104"/>
      <c r="BM540" s="104"/>
      <c r="BN540" s="104"/>
      <c r="BO540" s="104"/>
      <c r="BP540" s="104"/>
      <c r="BQ540" s="104"/>
      <c r="BR540" s="104"/>
      <c r="BS540" s="104"/>
      <c r="BT540" s="104"/>
      <c r="BU540" s="104"/>
      <c r="BV540" s="104"/>
      <c r="BW540" s="104"/>
      <c r="BX540" s="104"/>
    </row>
    <row r="541" spans="1:7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 s="104"/>
      <c r="BG541" s="104"/>
      <c r="BH541" s="104"/>
      <c r="BI541" s="104"/>
      <c r="BJ541" s="104"/>
      <c r="BK541" s="104"/>
      <c r="BL541" s="104"/>
      <c r="BM541" s="104"/>
      <c r="BN541" s="104"/>
      <c r="BO541" s="104"/>
      <c r="BP541" s="104"/>
      <c r="BQ541" s="104"/>
      <c r="BR541" s="104"/>
      <c r="BS541" s="104"/>
      <c r="BT541" s="104"/>
      <c r="BU541" s="104"/>
      <c r="BV541" s="104"/>
      <c r="BW541" s="104"/>
      <c r="BX541" s="104"/>
    </row>
    <row r="542" spans="1:7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 s="104"/>
      <c r="BG542" s="104"/>
      <c r="BH542" s="104"/>
      <c r="BI542" s="104"/>
      <c r="BJ542" s="104"/>
      <c r="BK542" s="104"/>
      <c r="BL542" s="104"/>
      <c r="BM542" s="104"/>
      <c r="BN542" s="104"/>
      <c r="BO542" s="104"/>
      <c r="BP542" s="104"/>
      <c r="BQ542" s="104"/>
      <c r="BR542" s="104"/>
      <c r="BS542" s="104"/>
      <c r="BT542" s="104"/>
      <c r="BU542" s="104"/>
      <c r="BV542" s="104"/>
      <c r="BW542" s="104"/>
      <c r="BX542" s="104"/>
    </row>
    <row r="543" spans="1:7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 s="104"/>
      <c r="BG543" s="104"/>
      <c r="BH543" s="104"/>
      <c r="BI543" s="104"/>
      <c r="BJ543" s="104"/>
      <c r="BK543" s="104"/>
      <c r="BL543" s="104"/>
      <c r="BM543" s="104"/>
      <c r="BN543" s="104"/>
      <c r="BO543" s="104"/>
      <c r="BP543" s="104"/>
      <c r="BQ543" s="104"/>
      <c r="BR543" s="104"/>
      <c r="BS543" s="104"/>
      <c r="BT543" s="104"/>
      <c r="BU543" s="104"/>
      <c r="BV543" s="104"/>
      <c r="BW543" s="104"/>
      <c r="BX543" s="104"/>
    </row>
    <row r="544" spans="1:7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 s="104"/>
      <c r="BG544" s="104"/>
      <c r="BH544" s="104"/>
      <c r="BI544" s="104"/>
      <c r="BJ544" s="104"/>
      <c r="BK544" s="104"/>
      <c r="BL544" s="104"/>
      <c r="BM544" s="104"/>
      <c r="BN544" s="104"/>
      <c r="BO544" s="104"/>
      <c r="BP544" s="104"/>
      <c r="BQ544" s="104"/>
      <c r="BR544" s="104"/>
      <c r="BS544" s="104"/>
      <c r="BT544" s="104"/>
      <c r="BU544" s="104"/>
      <c r="BV544" s="104"/>
      <c r="BW544" s="104"/>
      <c r="BX544" s="104"/>
    </row>
    <row r="545" spans="1:7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 s="104"/>
      <c r="BG545" s="104"/>
      <c r="BH545" s="104"/>
      <c r="BI545" s="104"/>
      <c r="BJ545" s="104"/>
      <c r="BK545" s="104"/>
      <c r="BL545" s="104"/>
      <c r="BM545" s="104"/>
      <c r="BN545" s="104"/>
      <c r="BO545" s="104"/>
      <c r="BP545" s="104"/>
      <c r="BQ545" s="104"/>
      <c r="BR545" s="104"/>
      <c r="BS545" s="104"/>
      <c r="BT545" s="104"/>
      <c r="BU545" s="104"/>
      <c r="BV545" s="104"/>
      <c r="BW545" s="104"/>
      <c r="BX545" s="104"/>
    </row>
    <row r="546" spans="1:7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 s="104"/>
      <c r="BG546" s="104"/>
      <c r="BH546" s="104"/>
      <c r="BI546" s="104"/>
      <c r="BJ546" s="104"/>
      <c r="BK546" s="104"/>
      <c r="BL546" s="104"/>
      <c r="BM546" s="104"/>
      <c r="BN546" s="104"/>
      <c r="BO546" s="104"/>
      <c r="BP546" s="104"/>
      <c r="BQ546" s="104"/>
      <c r="BR546" s="104"/>
      <c r="BS546" s="104"/>
      <c r="BT546" s="104"/>
      <c r="BU546" s="104"/>
      <c r="BV546" s="104"/>
      <c r="BW546" s="104"/>
      <c r="BX546" s="104"/>
    </row>
    <row r="547" spans="1:7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 s="104"/>
      <c r="BG547" s="104"/>
      <c r="BH547" s="104"/>
      <c r="BI547" s="104"/>
      <c r="BJ547" s="104"/>
      <c r="BK547" s="104"/>
      <c r="BL547" s="104"/>
      <c r="BM547" s="104"/>
      <c r="BN547" s="104"/>
      <c r="BO547" s="104"/>
      <c r="BP547" s="104"/>
      <c r="BQ547" s="104"/>
      <c r="BR547" s="104"/>
      <c r="BS547" s="104"/>
      <c r="BT547" s="104"/>
      <c r="BU547" s="104"/>
      <c r="BV547" s="104"/>
      <c r="BW547" s="104"/>
      <c r="BX547" s="104"/>
    </row>
    <row r="548" spans="1:7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 s="104"/>
      <c r="BG548" s="104"/>
      <c r="BH548" s="104"/>
      <c r="BI548" s="104"/>
      <c r="BJ548" s="104"/>
      <c r="BK548" s="104"/>
      <c r="BL548" s="104"/>
      <c r="BM548" s="104"/>
      <c r="BN548" s="104"/>
      <c r="BO548" s="104"/>
      <c r="BP548" s="104"/>
      <c r="BQ548" s="104"/>
      <c r="BR548" s="104"/>
      <c r="BS548" s="104"/>
      <c r="BT548" s="104"/>
      <c r="BU548" s="104"/>
      <c r="BV548" s="104"/>
      <c r="BW548" s="104"/>
      <c r="BX548" s="104"/>
    </row>
    <row r="549" spans="1:7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 s="104"/>
      <c r="BG549" s="104"/>
      <c r="BH549" s="104"/>
      <c r="BI549" s="104"/>
      <c r="BJ549" s="104"/>
      <c r="BK549" s="104"/>
      <c r="BL549" s="104"/>
      <c r="BM549" s="104"/>
      <c r="BN549" s="104"/>
      <c r="BO549" s="104"/>
      <c r="BP549" s="104"/>
      <c r="BQ549" s="104"/>
      <c r="BR549" s="104"/>
      <c r="BS549" s="104"/>
      <c r="BT549" s="104"/>
      <c r="BU549" s="104"/>
      <c r="BV549" s="104"/>
      <c r="BW549" s="104"/>
      <c r="BX549" s="104"/>
    </row>
    <row r="550" spans="1:7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 s="104"/>
      <c r="BG550" s="104"/>
      <c r="BH550" s="104"/>
      <c r="BI550" s="104"/>
      <c r="BJ550" s="104"/>
      <c r="BK550" s="104"/>
      <c r="BL550" s="104"/>
      <c r="BM550" s="104"/>
      <c r="BN550" s="104"/>
      <c r="BO550" s="104"/>
      <c r="BP550" s="104"/>
      <c r="BQ550" s="104"/>
      <c r="BR550" s="104"/>
      <c r="BS550" s="104"/>
      <c r="BT550" s="104"/>
      <c r="BU550" s="104"/>
      <c r="BV550" s="104"/>
      <c r="BW550" s="104"/>
      <c r="BX550" s="104"/>
    </row>
    <row r="551" spans="1:7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 s="104"/>
      <c r="BG551" s="104"/>
      <c r="BH551" s="104"/>
      <c r="BI551" s="104"/>
      <c r="BJ551" s="104"/>
      <c r="BK551" s="104"/>
      <c r="BL551" s="104"/>
      <c r="BM551" s="104"/>
      <c r="BN551" s="104"/>
      <c r="BO551" s="104"/>
      <c r="BP551" s="104"/>
      <c r="BQ551" s="104"/>
      <c r="BR551" s="104"/>
      <c r="BS551" s="104"/>
      <c r="BT551" s="104"/>
      <c r="BU551" s="104"/>
      <c r="BV551" s="104"/>
      <c r="BW551" s="104"/>
      <c r="BX551" s="104"/>
    </row>
    <row r="552" spans="1:7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 s="104"/>
      <c r="BG552" s="104"/>
      <c r="BH552" s="104"/>
      <c r="BI552" s="104"/>
      <c r="BJ552" s="104"/>
      <c r="BK552" s="104"/>
      <c r="BL552" s="104"/>
      <c r="BM552" s="104"/>
      <c r="BN552" s="104"/>
      <c r="BO552" s="104"/>
      <c r="BP552" s="104"/>
      <c r="BQ552" s="104"/>
      <c r="BR552" s="104"/>
      <c r="BS552" s="104"/>
      <c r="BT552" s="104"/>
      <c r="BU552" s="104"/>
      <c r="BV552" s="104"/>
      <c r="BW552" s="104"/>
      <c r="BX552" s="104"/>
    </row>
    <row r="553" spans="1:7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 s="104"/>
      <c r="BG553" s="104"/>
      <c r="BH553" s="104"/>
      <c r="BI553" s="104"/>
      <c r="BJ553" s="104"/>
      <c r="BK553" s="104"/>
      <c r="BL553" s="104"/>
      <c r="BM553" s="104"/>
      <c r="BN553" s="104"/>
      <c r="BO553" s="104"/>
      <c r="BP553" s="104"/>
      <c r="BQ553" s="104"/>
      <c r="BR553" s="104"/>
      <c r="BS553" s="104"/>
      <c r="BT553" s="104"/>
      <c r="BU553" s="104"/>
      <c r="BV553" s="104"/>
      <c r="BW553" s="104"/>
      <c r="BX553" s="104"/>
    </row>
    <row r="554" spans="1:7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 s="104"/>
      <c r="BG554" s="104"/>
      <c r="BH554" s="104"/>
      <c r="BI554" s="104"/>
      <c r="BJ554" s="104"/>
      <c r="BK554" s="104"/>
      <c r="BL554" s="104"/>
      <c r="BM554" s="104"/>
      <c r="BN554" s="104"/>
      <c r="BO554" s="104"/>
      <c r="BP554" s="104"/>
      <c r="BQ554" s="104"/>
      <c r="BR554" s="104"/>
      <c r="BS554" s="104"/>
      <c r="BT554" s="104"/>
      <c r="BU554" s="104"/>
      <c r="BV554" s="104"/>
      <c r="BW554" s="104"/>
      <c r="BX554" s="104"/>
    </row>
    <row r="555" spans="1:7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 s="104"/>
      <c r="BG555" s="104"/>
      <c r="BH555" s="104"/>
      <c r="BI555" s="104"/>
      <c r="BJ555" s="104"/>
      <c r="BK555" s="104"/>
      <c r="BL555" s="104"/>
      <c r="BM555" s="104"/>
      <c r="BN555" s="104"/>
      <c r="BO555" s="104"/>
      <c r="BP555" s="104"/>
      <c r="BQ555" s="104"/>
      <c r="BR555" s="104"/>
      <c r="BS555" s="104"/>
      <c r="BT555" s="104"/>
      <c r="BU555" s="104"/>
      <c r="BV555" s="104"/>
      <c r="BW555" s="104"/>
      <c r="BX555" s="104"/>
    </row>
    <row r="556" spans="1:7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 s="104"/>
      <c r="BG556" s="104"/>
      <c r="BH556" s="104"/>
      <c r="BI556" s="104"/>
      <c r="BJ556" s="104"/>
      <c r="BK556" s="104"/>
      <c r="BL556" s="104"/>
      <c r="BM556" s="104"/>
      <c r="BN556" s="104"/>
      <c r="BO556" s="104"/>
      <c r="BP556" s="104"/>
      <c r="BQ556" s="104"/>
      <c r="BR556" s="104"/>
      <c r="BS556" s="104"/>
      <c r="BT556" s="104"/>
      <c r="BU556" s="104"/>
      <c r="BV556" s="104"/>
      <c r="BW556" s="104"/>
      <c r="BX556" s="104"/>
    </row>
    <row r="557" spans="1:7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 s="104"/>
      <c r="BG557" s="104"/>
      <c r="BH557" s="104"/>
      <c r="BI557" s="104"/>
      <c r="BJ557" s="104"/>
      <c r="BK557" s="104"/>
      <c r="BL557" s="104"/>
      <c r="BM557" s="104"/>
      <c r="BN557" s="104"/>
      <c r="BO557" s="104"/>
      <c r="BP557" s="104"/>
      <c r="BQ557" s="104"/>
      <c r="BR557" s="104"/>
      <c r="BS557" s="104"/>
      <c r="BT557" s="104"/>
      <c r="BU557" s="104"/>
      <c r="BV557" s="104"/>
      <c r="BW557" s="104"/>
      <c r="BX557" s="104"/>
    </row>
    <row r="558" spans="1:7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 s="104"/>
      <c r="BG558" s="104"/>
      <c r="BH558" s="104"/>
      <c r="BI558" s="104"/>
      <c r="BJ558" s="104"/>
      <c r="BK558" s="104"/>
      <c r="BL558" s="104"/>
      <c r="BM558" s="104"/>
      <c r="BN558" s="104"/>
      <c r="BO558" s="104"/>
      <c r="BP558" s="104"/>
      <c r="BQ558" s="104"/>
      <c r="BR558" s="104"/>
      <c r="BS558" s="104"/>
      <c r="BT558" s="104"/>
      <c r="BU558" s="104"/>
      <c r="BV558" s="104"/>
      <c r="BW558" s="104"/>
      <c r="BX558" s="104"/>
    </row>
    <row r="559" spans="1:7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 s="104"/>
      <c r="BG559" s="104"/>
      <c r="BH559" s="104"/>
      <c r="BI559" s="104"/>
      <c r="BJ559" s="104"/>
      <c r="BK559" s="104"/>
      <c r="BL559" s="104"/>
      <c r="BM559" s="104"/>
      <c r="BN559" s="104"/>
      <c r="BO559" s="104"/>
      <c r="BP559" s="104"/>
      <c r="BQ559" s="104"/>
      <c r="BR559" s="104"/>
      <c r="BS559" s="104"/>
      <c r="BT559" s="104"/>
      <c r="BU559" s="104"/>
      <c r="BV559" s="104"/>
      <c r="BW559" s="104"/>
      <c r="BX559" s="104"/>
    </row>
    <row r="560" spans="1:7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 s="104"/>
      <c r="BG560" s="104"/>
      <c r="BH560" s="104"/>
      <c r="BI560" s="104"/>
      <c r="BJ560" s="104"/>
      <c r="BK560" s="104"/>
      <c r="BL560" s="104"/>
      <c r="BM560" s="104"/>
      <c r="BN560" s="104"/>
      <c r="BO560" s="104"/>
      <c r="BP560" s="104"/>
      <c r="BQ560" s="104"/>
      <c r="BR560" s="104"/>
      <c r="BS560" s="104"/>
      <c r="BT560" s="104"/>
      <c r="BU560" s="104"/>
      <c r="BV560" s="104"/>
      <c r="BW560" s="104"/>
      <c r="BX560" s="104"/>
    </row>
    <row r="561" spans="1:7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 s="104"/>
      <c r="BG561" s="104"/>
      <c r="BH561" s="104"/>
      <c r="BI561" s="104"/>
      <c r="BJ561" s="104"/>
      <c r="BK561" s="104"/>
      <c r="BL561" s="104"/>
      <c r="BM561" s="104"/>
      <c r="BN561" s="104"/>
      <c r="BO561" s="104"/>
      <c r="BP561" s="104"/>
      <c r="BQ561" s="104"/>
      <c r="BR561" s="104"/>
      <c r="BS561" s="104"/>
      <c r="BT561" s="104"/>
      <c r="BU561" s="104"/>
      <c r="BV561" s="104"/>
      <c r="BW561" s="104"/>
      <c r="BX561" s="104"/>
    </row>
    <row r="562" spans="1:7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 s="104"/>
      <c r="BG562" s="104"/>
      <c r="BH562" s="104"/>
      <c r="BI562" s="104"/>
      <c r="BJ562" s="104"/>
      <c r="BK562" s="104"/>
      <c r="BL562" s="104"/>
      <c r="BM562" s="104"/>
      <c r="BN562" s="104"/>
      <c r="BO562" s="104"/>
      <c r="BP562" s="104"/>
      <c r="BQ562" s="104"/>
      <c r="BR562" s="104"/>
      <c r="BS562" s="104"/>
      <c r="BT562" s="104"/>
      <c r="BU562" s="104"/>
      <c r="BV562" s="104"/>
      <c r="BW562" s="104"/>
      <c r="BX562" s="104"/>
    </row>
    <row r="563" spans="1:7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 s="104"/>
      <c r="BG563" s="104"/>
      <c r="BH563" s="104"/>
      <c r="BI563" s="104"/>
      <c r="BJ563" s="104"/>
      <c r="BK563" s="104"/>
      <c r="BL563" s="104"/>
      <c r="BM563" s="104"/>
      <c r="BN563" s="104"/>
      <c r="BO563" s="104"/>
      <c r="BP563" s="104"/>
      <c r="BQ563" s="104"/>
      <c r="BR563" s="104"/>
      <c r="BS563" s="104"/>
      <c r="BT563" s="104"/>
      <c r="BU563" s="104"/>
      <c r="BV563" s="104"/>
      <c r="BW563" s="104"/>
      <c r="BX563" s="104"/>
    </row>
    <row r="564" spans="1:7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 s="104"/>
      <c r="BG564" s="104"/>
      <c r="BH564" s="104"/>
      <c r="BI564" s="104"/>
      <c r="BJ564" s="104"/>
      <c r="BK564" s="104"/>
      <c r="BL564" s="104"/>
      <c r="BM564" s="104"/>
      <c r="BN564" s="104"/>
      <c r="BO564" s="104"/>
      <c r="BP564" s="104"/>
      <c r="BQ564" s="104"/>
      <c r="BR564" s="104"/>
      <c r="BS564" s="104"/>
      <c r="BT564" s="104"/>
      <c r="BU564" s="104"/>
      <c r="BV564" s="104"/>
      <c r="BW564" s="104"/>
      <c r="BX564" s="104"/>
    </row>
    <row r="565" spans="1:7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 s="104"/>
      <c r="BG565" s="104"/>
      <c r="BH565" s="104"/>
      <c r="BI565" s="104"/>
      <c r="BJ565" s="104"/>
      <c r="BK565" s="104"/>
      <c r="BL565" s="104"/>
      <c r="BM565" s="104"/>
      <c r="BN565" s="104"/>
      <c r="BO565" s="104"/>
      <c r="BP565" s="104"/>
      <c r="BQ565" s="104"/>
      <c r="BR565" s="104"/>
      <c r="BS565" s="104"/>
      <c r="BT565" s="104"/>
      <c r="BU565" s="104"/>
      <c r="BV565" s="104"/>
      <c r="BW565" s="104"/>
      <c r="BX565" s="104"/>
    </row>
    <row r="566" spans="1:7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 s="104"/>
      <c r="BG566" s="104"/>
      <c r="BH566" s="104"/>
      <c r="BI566" s="104"/>
      <c r="BJ566" s="104"/>
      <c r="BK566" s="104"/>
      <c r="BL566" s="104"/>
      <c r="BM566" s="104"/>
      <c r="BN566" s="104"/>
      <c r="BO566" s="104"/>
      <c r="BP566" s="104"/>
      <c r="BQ566" s="104"/>
      <c r="BR566" s="104"/>
      <c r="BS566" s="104"/>
      <c r="BT566" s="104"/>
      <c r="BU566" s="104"/>
      <c r="BV566" s="104"/>
      <c r="BW566" s="104"/>
      <c r="BX566" s="104"/>
    </row>
    <row r="567" spans="1:7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 s="104"/>
      <c r="BG567" s="104"/>
      <c r="BH567" s="104"/>
      <c r="BI567" s="104"/>
      <c r="BJ567" s="104"/>
      <c r="BK567" s="104"/>
      <c r="BL567" s="104"/>
      <c r="BM567" s="104"/>
      <c r="BN567" s="104"/>
      <c r="BO567" s="104"/>
      <c r="BP567" s="104"/>
      <c r="BQ567" s="104"/>
      <c r="BR567" s="104"/>
      <c r="BS567" s="104"/>
      <c r="BT567" s="104"/>
      <c r="BU567" s="104"/>
      <c r="BV567" s="104"/>
      <c r="BW567" s="104"/>
      <c r="BX567" s="104"/>
    </row>
    <row r="568" spans="1:7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 s="104"/>
      <c r="BG568" s="104"/>
      <c r="BH568" s="104"/>
      <c r="BI568" s="104"/>
      <c r="BJ568" s="104"/>
      <c r="BK568" s="104"/>
      <c r="BL568" s="104"/>
      <c r="BM568" s="104"/>
      <c r="BN568" s="104"/>
      <c r="BO568" s="104"/>
      <c r="BP568" s="104"/>
      <c r="BQ568" s="104"/>
      <c r="BR568" s="104"/>
      <c r="BS568" s="104"/>
      <c r="BT568" s="104"/>
      <c r="BU568" s="104"/>
      <c r="BV568" s="104"/>
      <c r="BW568" s="104"/>
      <c r="BX568" s="104"/>
    </row>
    <row r="569" spans="1:7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 s="104"/>
      <c r="BG569" s="104"/>
      <c r="BH569" s="104"/>
      <c r="BI569" s="104"/>
      <c r="BJ569" s="104"/>
      <c r="BK569" s="104"/>
      <c r="BL569" s="104"/>
      <c r="BM569" s="104"/>
      <c r="BN569" s="104"/>
      <c r="BO569" s="104"/>
      <c r="BP569" s="104"/>
      <c r="BQ569" s="104"/>
      <c r="BR569" s="104"/>
      <c r="BS569" s="104"/>
      <c r="BT569" s="104"/>
      <c r="BU569" s="104"/>
      <c r="BV569" s="104"/>
      <c r="BW569" s="104"/>
      <c r="BX569" s="104"/>
    </row>
    <row r="570" spans="1:7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 s="104"/>
      <c r="BG570" s="104"/>
      <c r="BH570" s="104"/>
      <c r="BI570" s="104"/>
      <c r="BJ570" s="104"/>
      <c r="BK570" s="104"/>
      <c r="BL570" s="104"/>
      <c r="BM570" s="104"/>
      <c r="BN570" s="104"/>
      <c r="BO570" s="104"/>
      <c r="BP570" s="104"/>
      <c r="BQ570" s="104"/>
      <c r="BR570" s="104"/>
      <c r="BS570" s="104"/>
      <c r="BT570" s="104"/>
      <c r="BU570" s="104"/>
      <c r="BV570" s="104"/>
      <c r="BW570" s="104"/>
      <c r="BX570" s="104"/>
    </row>
    <row r="571" spans="1:7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 s="104"/>
      <c r="BG571" s="104"/>
      <c r="BH571" s="104"/>
      <c r="BI571" s="104"/>
      <c r="BJ571" s="104"/>
      <c r="BK571" s="104"/>
      <c r="BL571" s="104"/>
      <c r="BM571" s="104"/>
      <c r="BN571" s="104"/>
      <c r="BO571" s="104"/>
      <c r="BP571" s="104"/>
      <c r="BQ571" s="104"/>
      <c r="BR571" s="104"/>
      <c r="BS571" s="104"/>
      <c r="BT571" s="104"/>
      <c r="BU571" s="104"/>
      <c r="BV571" s="104"/>
      <c r="BW571" s="104"/>
      <c r="BX571" s="104"/>
    </row>
    <row r="572" spans="1:7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 s="104"/>
      <c r="BG572" s="104"/>
      <c r="BH572" s="104"/>
      <c r="BI572" s="104"/>
      <c r="BJ572" s="104"/>
      <c r="BK572" s="104"/>
      <c r="BL572" s="104"/>
      <c r="BM572" s="104"/>
      <c r="BN572" s="104"/>
      <c r="BO572" s="104"/>
      <c r="BP572" s="104"/>
      <c r="BQ572" s="104"/>
      <c r="BR572" s="104"/>
      <c r="BS572" s="104"/>
      <c r="BT572" s="104"/>
      <c r="BU572" s="104"/>
      <c r="BV572" s="104"/>
      <c r="BW572" s="104"/>
      <c r="BX572" s="104"/>
    </row>
    <row r="573" spans="1:7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 s="104"/>
      <c r="BG573" s="104"/>
      <c r="BH573" s="104"/>
      <c r="BI573" s="104"/>
      <c r="BJ573" s="104"/>
      <c r="BK573" s="104"/>
      <c r="BL573" s="104"/>
      <c r="BM573" s="104"/>
      <c r="BN573" s="104"/>
      <c r="BO573" s="104"/>
      <c r="BP573" s="104"/>
      <c r="BQ573" s="104"/>
      <c r="BR573" s="104"/>
      <c r="BS573" s="104"/>
      <c r="BT573" s="104"/>
      <c r="BU573" s="104"/>
      <c r="BV573" s="104"/>
      <c r="BW573" s="104"/>
      <c r="BX573" s="104"/>
    </row>
    <row r="574" spans="1:7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 s="104"/>
      <c r="BG574" s="104"/>
      <c r="BH574" s="104"/>
      <c r="BI574" s="104"/>
      <c r="BJ574" s="104"/>
      <c r="BK574" s="104"/>
      <c r="BL574" s="104"/>
      <c r="BM574" s="104"/>
      <c r="BN574" s="104"/>
      <c r="BO574" s="104"/>
      <c r="BP574" s="104"/>
      <c r="BQ574" s="104"/>
      <c r="BR574" s="104"/>
      <c r="BS574" s="104"/>
      <c r="BT574" s="104"/>
      <c r="BU574" s="104"/>
      <c r="BV574" s="104"/>
      <c r="BW574" s="104"/>
      <c r="BX574" s="104"/>
    </row>
    <row r="575" spans="1:7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 s="104"/>
      <c r="BG575" s="104"/>
      <c r="BH575" s="104"/>
      <c r="BI575" s="104"/>
      <c r="BJ575" s="104"/>
      <c r="BK575" s="104"/>
      <c r="BL575" s="104"/>
      <c r="BM575" s="104"/>
      <c r="BN575" s="104"/>
      <c r="BO575" s="104"/>
      <c r="BP575" s="104"/>
      <c r="BQ575" s="104"/>
      <c r="BR575" s="104"/>
      <c r="BS575" s="104"/>
      <c r="BT575" s="104"/>
      <c r="BU575" s="104"/>
      <c r="BV575" s="104"/>
      <c r="BW575" s="104"/>
      <c r="BX575" s="104"/>
    </row>
    <row r="576" spans="1:7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 s="104"/>
      <c r="BG576" s="104"/>
      <c r="BH576" s="104"/>
      <c r="BI576" s="104"/>
      <c r="BJ576" s="104"/>
      <c r="BK576" s="104"/>
      <c r="BL576" s="104"/>
      <c r="BM576" s="104"/>
      <c r="BN576" s="104"/>
      <c r="BO576" s="104"/>
      <c r="BP576" s="104"/>
      <c r="BQ576" s="104"/>
      <c r="BR576" s="104"/>
      <c r="BS576" s="104"/>
      <c r="BT576" s="104"/>
      <c r="BU576" s="104"/>
      <c r="BV576" s="104"/>
      <c r="BW576" s="104"/>
      <c r="BX576" s="104"/>
    </row>
    <row r="577" spans="1:7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 s="104"/>
      <c r="BG577" s="104"/>
      <c r="BH577" s="104"/>
      <c r="BI577" s="104"/>
      <c r="BJ577" s="104"/>
      <c r="BK577" s="104"/>
      <c r="BL577" s="104"/>
      <c r="BM577" s="104"/>
      <c r="BN577" s="104"/>
      <c r="BO577" s="104"/>
      <c r="BP577" s="104"/>
      <c r="BQ577" s="104"/>
      <c r="BR577" s="104"/>
      <c r="BS577" s="104"/>
      <c r="BT577" s="104"/>
      <c r="BU577" s="104"/>
      <c r="BV577" s="104"/>
      <c r="BW577" s="104"/>
      <c r="BX577" s="104"/>
    </row>
    <row r="578" spans="1:7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 s="104"/>
      <c r="BG578" s="104"/>
      <c r="BH578" s="104"/>
      <c r="BI578" s="104"/>
      <c r="BJ578" s="104"/>
      <c r="BK578" s="104"/>
      <c r="BL578" s="104"/>
      <c r="BM578" s="104"/>
      <c r="BN578" s="104"/>
      <c r="BO578" s="104"/>
      <c r="BP578" s="104"/>
      <c r="BQ578" s="104"/>
      <c r="BR578" s="104"/>
      <c r="BS578" s="104"/>
      <c r="BT578" s="104"/>
      <c r="BU578" s="104"/>
      <c r="BV578" s="104"/>
      <c r="BW578" s="104"/>
      <c r="BX578" s="104"/>
    </row>
    <row r="579" spans="1:7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 s="104"/>
      <c r="BG579" s="104"/>
      <c r="BH579" s="104"/>
      <c r="BI579" s="104"/>
      <c r="BJ579" s="104"/>
      <c r="BK579" s="104"/>
      <c r="BL579" s="104"/>
      <c r="BM579" s="104"/>
      <c r="BN579" s="104"/>
      <c r="BO579" s="104"/>
      <c r="BP579" s="104"/>
      <c r="BQ579" s="104"/>
      <c r="BR579" s="104"/>
      <c r="BS579" s="104"/>
      <c r="BT579" s="104"/>
      <c r="BU579" s="104"/>
      <c r="BV579" s="104"/>
      <c r="BW579" s="104"/>
      <c r="BX579" s="104"/>
    </row>
    <row r="580" spans="1:7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 s="104"/>
      <c r="BG580" s="104"/>
      <c r="BH580" s="104"/>
      <c r="BI580" s="104"/>
      <c r="BJ580" s="104"/>
      <c r="BK580" s="104"/>
      <c r="BL580" s="104"/>
      <c r="BM580" s="104"/>
      <c r="BN580" s="104"/>
      <c r="BO580" s="104"/>
      <c r="BP580" s="104"/>
      <c r="BQ580" s="104"/>
      <c r="BR580" s="104"/>
      <c r="BS580" s="104"/>
      <c r="BT580" s="104"/>
      <c r="BU580" s="104"/>
      <c r="BV580" s="104"/>
      <c r="BW580" s="104"/>
      <c r="BX580" s="104"/>
    </row>
    <row r="581" spans="1:7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 s="104"/>
      <c r="BG581" s="104"/>
      <c r="BH581" s="104"/>
      <c r="BI581" s="104"/>
      <c r="BJ581" s="104"/>
      <c r="BK581" s="104"/>
      <c r="BL581" s="104"/>
      <c r="BM581" s="104"/>
      <c r="BN581" s="104"/>
      <c r="BO581" s="104"/>
      <c r="BP581" s="104"/>
      <c r="BQ581" s="104"/>
      <c r="BR581" s="104"/>
      <c r="BS581" s="104"/>
      <c r="BT581" s="104"/>
      <c r="BU581" s="104"/>
      <c r="BV581" s="104"/>
      <c r="BW581" s="104"/>
      <c r="BX581" s="104"/>
    </row>
    <row r="582" spans="1:7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 s="104"/>
      <c r="BG582" s="104"/>
      <c r="BH582" s="104"/>
      <c r="BI582" s="104"/>
      <c r="BJ582" s="104"/>
      <c r="BK582" s="104"/>
      <c r="BL582" s="104"/>
      <c r="BM582" s="104"/>
      <c r="BN582" s="104"/>
      <c r="BO582" s="104"/>
      <c r="BP582" s="104"/>
      <c r="BQ582" s="104"/>
      <c r="BR582" s="104"/>
      <c r="BS582" s="104"/>
      <c r="BT582" s="104"/>
      <c r="BU582" s="104"/>
      <c r="BV582" s="104"/>
      <c r="BW582" s="104"/>
      <c r="BX582" s="104"/>
    </row>
    <row r="583" spans="1:7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 s="104"/>
      <c r="BG583" s="104"/>
      <c r="BH583" s="104"/>
      <c r="BI583" s="104"/>
      <c r="BJ583" s="104"/>
      <c r="BK583" s="104"/>
      <c r="BL583" s="104"/>
      <c r="BM583" s="104"/>
      <c r="BN583" s="104"/>
      <c r="BO583" s="104"/>
      <c r="BP583" s="104"/>
      <c r="BQ583" s="104"/>
      <c r="BR583" s="104"/>
      <c r="BS583" s="104"/>
      <c r="BT583" s="104"/>
      <c r="BU583" s="104"/>
      <c r="BV583" s="104"/>
      <c r="BW583" s="104"/>
      <c r="BX583" s="104"/>
    </row>
    <row r="584" spans="1:7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 s="104"/>
      <c r="BG584" s="104"/>
      <c r="BH584" s="104"/>
      <c r="BI584" s="104"/>
      <c r="BJ584" s="104"/>
      <c r="BK584" s="104"/>
      <c r="BL584" s="104"/>
      <c r="BM584" s="104"/>
      <c r="BN584" s="104"/>
      <c r="BO584" s="104"/>
      <c r="BP584" s="104"/>
      <c r="BQ584" s="104"/>
      <c r="BR584" s="104"/>
      <c r="BS584" s="104"/>
      <c r="BT584" s="104"/>
      <c r="BU584" s="104"/>
      <c r="BV584" s="104"/>
      <c r="BW584" s="104"/>
      <c r="BX584" s="104"/>
    </row>
    <row r="585" spans="1:7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 s="104"/>
      <c r="BG585" s="104"/>
      <c r="BH585" s="104"/>
      <c r="BI585" s="104"/>
      <c r="BJ585" s="104"/>
      <c r="BK585" s="104"/>
      <c r="BL585" s="104"/>
      <c r="BM585" s="104"/>
      <c r="BN585" s="104"/>
      <c r="BO585" s="104"/>
      <c r="BP585" s="104"/>
      <c r="BQ585" s="104"/>
      <c r="BR585" s="104"/>
      <c r="BS585" s="104"/>
      <c r="BT585" s="104"/>
      <c r="BU585" s="104"/>
      <c r="BV585" s="104"/>
      <c r="BW585" s="104"/>
      <c r="BX585" s="104"/>
    </row>
    <row r="586" spans="1:7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 s="104"/>
      <c r="BG586" s="104"/>
      <c r="BH586" s="104"/>
      <c r="BI586" s="104"/>
      <c r="BJ586" s="104"/>
      <c r="BK586" s="104"/>
      <c r="BL586" s="104"/>
      <c r="BM586" s="104"/>
      <c r="BN586" s="104"/>
      <c r="BO586" s="104"/>
      <c r="BP586" s="104"/>
      <c r="BQ586" s="104"/>
      <c r="BR586" s="104"/>
      <c r="BS586" s="104"/>
      <c r="BT586" s="104"/>
      <c r="BU586" s="104"/>
      <c r="BV586" s="104"/>
      <c r="BW586" s="104"/>
      <c r="BX586" s="104"/>
    </row>
    <row r="587" spans="1:7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 s="104"/>
      <c r="BG587" s="104"/>
      <c r="BH587" s="104"/>
      <c r="BI587" s="104"/>
      <c r="BJ587" s="104"/>
      <c r="BK587" s="104"/>
      <c r="BL587" s="104"/>
      <c r="BM587" s="104"/>
      <c r="BN587" s="104"/>
      <c r="BO587" s="104"/>
      <c r="BP587" s="104"/>
      <c r="BQ587" s="104"/>
      <c r="BR587" s="104"/>
      <c r="BS587" s="104"/>
      <c r="BT587" s="104"/>
      <c r="BU587" s="104"/>
      <c r="BV587" s="104"/>
      <c r="BW587" s="104"/>
      <c r="BX587" s="104"/>
    </row>
    <row r="588" spans="1:7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 s="104"/>
      <c r="BG588" s="104"/>
      <c r="BH588" s="104"/>
      <c r="BI588" s="104"/>
      <c r="BJ588" s="104"/>
      <c r="BK588" s="104"/>
      <c r="BL588" s="104"/>
      <c r="BM588" s="104"/>
      <c r="BN588" s="104"/>
      <c r="BO588" s="104"/>
      <c r="BP588" s="104"/>
      <c r="BQ588" s="104"/>
      <c r="BR588" s="104"/>
      <c r="BS588" s="104"/>
      <c r="BT588" s="104"/>
      <c r="BU588" s="104"/>
      <c r="BV588" s="104"/>
      <c r="BW588" s="104"/>
      <c r="BX588" s="104"/>
    </row>
    <row r="589" spans="1:7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 s="104"/>
      <c r="BG589" s="104"/>
      <c r="BH589" s="104"/>
      <c r="BI589" s="104"/>
      <c r="BJ589" s="104"/>
      <c r="BK589" s="104"/>
      <c r="BL589" s="104"/>
      <c r="BM589" s="104"/>
      <c r="BN589" s="104"/>
      <c r="BO589" s="104"/>
      <c r="BP589" s="104"/>
      <c r="BQ589" s="104"/>
      <c r="BR589" s="104"/>
      <c r="BS589" s="104"/>
      <c r="BT589" s="104"/>
      <c r="BU589" s="104"/>
      <c r="BV589" s="104"/>
      <c r="BW589" s="104"/>
      <c r="BX589" s="104"/>
    </row>
    <row r="590" spans="1:7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 s="104"/>
      <c r="BG590" s="104"/>
      <c r="BH590" s="104"/>
      <c r="BI590" s="104"/>
      <c r="BJ590" s="104"/>
      <c r="BK590" s="104"/>
      <c r="BL590" s="104"/>
      <c r="BM590" s="104"/>
      <c r="BN590" s="104"/>
      <c r="BO590" s="104"/>
      <c r="BP590" s="104"/>
      <c r="BQ590" s="104"/>
      <c r="BR590" s="104"/>
      <c r="BS590" s="104"/>
      <c r="BT590" s="104"/>
      <c r="BU590" s="104"/>
      <c r="BV590" s="104"/>
      <c r="BW590" s="104"/>
      <c r="BX590" s="104"/>
    </row>
    <row r="591" spans="1:7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 s="104"/>
      <c r="BG591" s="104"/>
      <c r="BH591" s="104"/>
      <c r="BI591" s="104"/>
      <c r="BJ591" s="104"/>
      <c r="BK591" s="104"/>
      <c r="BL591" s="104"/>
      <c r="BM591" s="104"/>
      <c r="BN591" s="104"/>
      <c r="BO591" s="104"/>
      <c r="BP591" s="104"/>
      <c r="BQ591" s="104"/>
      <c r="BR591" s="104"/>
      <c r="BS591" s="104"/>
      <c r="BT591" s="104"/>
      <c r="BU591" s="104"/>
      <c r="BV591" s="104"/>
      <c r="BW591" s="104"/>
      <c r="BX591" s="104"/>
    </row>
    <row r="592" spans="1:7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 s="104"/>
      <c r="BG592" s="104"/>
      <c r="BH592" s="104"/>
      <c r="BI592" s="104"/>
      <c r="BJ592" s="104"/>
      <c r="BK592" s="104"/>
      <c r="BL592" s="104"/>
      <c r="BM592" s="104"/>
      <c r="BN592" s="104"/>
      <c r="BO592" s="104"/>
      <c r="BP592" s="104"/>
      <c r="BQ592" s="104"/>
      <c r="BR592" s="104"/>
      <c r="BS592" s="104"/>
      <c r="BT592" s="104"/>
      <c r="BU592" s="104"/>
      <c r="BV592" s="104"/>
      <c r="BW592" s="104"/>
      <c r="BX592" s="104"/>
    </row>
    <row r="593" spans="1:7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 s="104"/>
      <c r="BG593" s="104"/>
      <c r="BH593" s="104"/>
      <c r="BI593" s="104"/>
      <c r="BJ593" s="104"/>
      <c r="BK593" s="104"/>
      <c r="BL593" s="104"/>
      <c r="BM593" s="104"/>
      <c r="BN593" s="104"/>
      <c r="BO593" s="104"/>
      <c r="BP593" s="104"/>
      <c r="BQ593" s="104"/>
      <c r="BR593" s="104"/>
      <c r="BS593" s="104"/>
      <c r="BT593" s="104"/>
      <c r="BU593" s="104"/>
      <c r="BV593" s="104"/>
      <c r="BW593" s="104"/>
      <c r="BX593" s="104"/>
    </row>
    <row r="594" spans="1:7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 s="104"/>
      <c r="BG594" s="104"/>
      <c r="BH594" s="104"/>
      <c r="BI594" s="104"/>
      <c r="BJ594" s="104"/>
      <c r="BK594" s="104"/>
      <c r="BL594" s="104"/>
      <c r="BM594" s="104"/>
      <c r="BN594" s="104"/>
      <c r="BO594" s="104"/>
      <c r="BP594" s="104"/>
      <c r="BQ594" s="104"/>
      <c r="BR594" s="104"/>
      <c r="BS594" s="104"/>
      <c r="BT594" s="104"/>
      <c r="BU594" s="104"/>
      <c r="BV594" s="104"/>
      <c r="BW594" s="104"/>
      <c r="BX594" s="104"/>
    </row>
    <row r="595" spans="1:7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 s="104"/>
      <c r="BG595" s="104"/>
      <c r="BH595" s="104"/>
      <c r="BI595" s="104"/>
      <c r="BJ595" s="104"/>
      <c r="BK595" s="104"/>
      <c r="BL595" s="104"/>
      <c r="BM595" s="104"/>
      <c r="BN595" s="104"/>
      <c r="BO595" s="104"/>
      <c r="BP595" s="104"/>
      <c r="BQ595" s="104"/>
      <c r="BR595" s="104"/>
      <c r="BS595" s="104"/>
      <c r="BT595" s="104"/>
      <c r="BU595" s="104"/>
      <c r="BV595" s="104"/>
      <c r="BW595" s="104"/>
      <c r="BX595" s="104"/>
    </row>
    <row r="596" spans="1:7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 s="104"/>
      <c r="BG596" s="104"/>
      <c r="BH596" s="104"/>
      <c r="BI596" s="104"/>
      <c r="BJ596" s="104"/>
      <c r="BK596" s="104"/>
      <c r="BL596" s="104"/>
      <c r="BM596" s="104"/>
      <c r="BN596" s="104"/>
      <c r="BO596" s="104"/>
      <c r="BP596" s="104"/>
      <c r="BQ596" s="104"/>
      <c r="BR596" s="104"/>
      <c r="BS596" s="104"/>
      <c r="BT596" s="104"/>
      <c r="BU596" s="104"/>
      <c r="BV596" s="104"/>
      <c r="BW596" s="104"/>
      <c r="BX596" s="104"/>
    </row>
    <row r="597" spans="1:7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 s="104"/>
      <c r="BG597" s="104"/>
      <c r="BH597" s="104"/>
      <c r="BI597" s="104"/>
      <c r="BJ597" s="104"/>
      <c r="BK597" s="104"/>
      <c r="BL597" s="104"/>
      <c r="BM597" s="104"/>
      <c r="BN597" s="104"/>
      <c r="BO597" s="104"/>
      <c r="BP597" s="104"/>
      <c r="BQ597" s="104"/>
      <c r="BR597" s="104"/>
      <c r="BS597" s="104"/>
      <c r="BT597" s="104"/>
      <c r="BU597" s="104"/>
      <c r="BV597" s="104"/>
      <c r="BW597" s="104"/>
      <c r="BX597" s="104"/>
    </row>
    <row r="598" spans="1:7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 s="104"/>
      <c r="BG598" s="104"/>
      <c r="BH598" s="104"/>
      <c r="BI598" s="104"/>
      <c r="BJ598" s="104"/>
      <c r="BK598" s="104"/>
      <c r="BL598" s="104"/>
      <c r="BM598" s="104"/>
      <c r="BN598" s="104"/>
      <c r="BO598" s="104"/>
      <c r="BP598" s="104"/>
      <c r="BQ598" s="104"/>
      <c r="BR598" s="104"/>
      <c r="BS598" s="104"/>
      <c r="BT598" s="104"/>
      <c r="BU598" s="104"/>
      <c r="BV598" s="104"/>
      <c r="BW598" s="104"/>
      <c r="BX598" s="104"/>
    </row>
    <row r="599" spans="1:7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 s="104"/>
      <c r="BG599" s="104"/>
      <c r="BH599" s="104"/>
      <c r="BI599" s="104"/>
      <c r="BJ599" s="104"/>
      <c r="BK599" s="104"/>
      <c r="BL599" s="104"/>
      <c r="BM599" s="104"/>
      <c r="BN599" s="104"/>
      <c r="BO599" s="104"/>
      <c r="BP599" s="104"/>
      <c r="BQ599" s="104"/>
      <c r="BR599" s="104"/>
      <c r="BS599" s="104"/>
      <c r="BT599" s="104"/>
      <c r="BU599" s="104"/>
      <c r="BV599" s="104"/>
      <c r="BW599" s="104"/>
      <c r="BX599" s="104"/>
    </row>
    <row r="600" spans="1:7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 s="104"/>
      <c r="BG600" s="104"/>
      <c r="BH600" s="104"/>
      <c r="BI600" s="104"/>
      <c r="BJ600" s="104"/>
      <c r="BK600" s="104"/>
      <c r="BL600" s="104"/>
      <c r="BM600" s="104"/>
      <c r="BN600" s="104"/>
      <c r="BO600" s="104"/>
      <c r="BP600" s="104"/>
      <c r="BQ600" s="104"/>
      <c r="BR600" s="104"/>
      <c r="BS600" s="104"/>
      <c r="BT600" s="104"/>
      <c r="BU600" s="104"/>
      <c r="BV600" s="104"/>
      <c r="BW600" s="104"/>
      <c r="BX600" s="104"/>
    </row>
    <row r="601" spans="1:7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 s="104"/>
      <c r="BG601" s="104"/>
      <c r="BH601" s="104"/>
      <c r="BI601" s="104"/>
      <c r="BJ601" s="104"/>
      <c r="BK601" s="104"/>
      <c r="BL601" s="104"/>
      <c r="BM601" s="104"/>
      <c r="BN601" s="104"/>
      <c r="BO601" s="104"/>
      <c r="BP601" s="104"/>
      <c r="BQ601" s="104"/>
      <c r="BR601" s="104"/>
      <c r="BS601" s="104"/>
      <c r="BT601" s="104"/>
      <c r="BU601" s="104"/>
      <c r="BV601" s="104"/>
      <c r="BW601" s="104"/>
      <c r="BX601" s="104"/>
    </row>
    <row r="602" spans="1:7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 s="104"/>
      <c r="BG602" s="104"/>
      <c r="BH602" s="104"/>
      <c r="BI602" s="104"/>
      <c r="BJ602" s="104"/>
      <c r="BK602" s="104"/>
      <c r="BL602" s="104"/>
      <c r="BM602" s="104"/>
      <c r="BN602" s="104"/>
      <c r="BO602" s="104"/>
      <c r="BP602" s="104"/>
      <c r="BQ602" s="104"/>
      <c r="BR602" s="104"/>
      <c r="BS602" s="104"/>
      <c r="BT602" s="104"/>
      <c r="BU602" s="104"/>
      <c r="BV602" s="104"/>
      <c r="BW602" s="104"/>
      <c r="BX602" s="104"/>
    </row>
    <row r="603" spans="1:7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 s="104"/>
      <c r="BG603" s="104"/>
      <c r="BH603" s="104"/>
      <c r="BI603" s="104"/>
      <c r="BJ603" s="104"/>
      <c r="BK603" s="104"/>
      <c r="BL603" s="104"/>
      <c r="BM603" s="104"/>
      <c r="BN603" s="104"/>
      <c r="BO603" s="104"/>
      <c r="BP603" s="104"/>
      <c r="BQ603" s="104"/>
      <c r="BR603" s="104"/>
      <c r="BS603" s="104"/>
      <c r="BT603" s="104"/>
      <c r="BU603" s="104"/>
      <c r="BV603" s="104"/>
      <c r="BW603" s="104"/>
      <c r="BX603" s="104"/>
    </row>
    <row r="604" spans="1:7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 s="104"/>
      <c r="BG604" s="104"/>
      <c r="BH604" s="104"/>
      <c r="BI604" s="104"/>
      <c r="BJ604" s="104"/>
      <c r="BK604" s="104"/>
      <c r="BL604" s="104"/>
      <c r="BM604" s="104"/>
      <c r="BN604" s="104"/>
      <c r="BO604" s="104"/>
      <c r="BP604" s="104"/>
      <c r="BQ604" s="104"/>
      <c r="BR604" s="104"/>
      <c r="BS604" s="104"/>
      <c r="BT604" s="104"/>
      <c r="BU604" s="104"/>
      <c r="BV604" s="104"/>
      <c r="BW604" s="104"/>
      <c r="BX604" s="104"/>
    </row>
    <row r="605" spans="1:7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 s="104"/>
      <c r="BG605" s="104"/>
      <c r="BH605" s="104"/>
      <c r="BI605" s="104"/>
      <c r="BJ605" s="104"/>
      <c r="BK605" s="104"/>
      <c r="BL605" s="104"/>
      <c r="BM605" s="104"/>
      <c r="BN605" s="104"/>
      <c r="BO605" s="104"/>
      <c r="BP605" s="104"/>
      <c r="BQ605" s="104"/>
      <c r="BR605" s="104"/>
      <c r="BS605" s="104"/>
      <c r="BT605" s="104"/>
      <c r="BU605" s="104"/>
      <c r="BV605" s="104"/>
      <c r="BW605" s="104"/>
      <c r="BX605" s="104"/>
    </row>
    <row r="606" spans="1:7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 s="104"/>
      <c r="BG606" s="104"/>
      <c r="BH606" s="104"/>
      <c r="BI606" s="104"/>
      <c r="BJ606" s="104"/>
      <c r="BK606" s="104"/>
      <c r="BL606" s="104"/>
      <c r="BM606" s="104"/>
      <c r="BN606" s="104"/>
      <c r="BO606" s="104"/>
      <c r="BP606" s="104"/>
      <c r="BQ606" s="104"/>
      <c r="BR606" s="104"/>
      <c r="BS606" s="104"/>
      <c r="BT606" s="104"/>
      <c r="BU606" s="104"/>
      <c r="BV606" s="104"/>
      <c r="BW606" s="104"/>
      <c r="BX606" s="104"/>
    </row>
    <row r="607" spans="1:7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 s="104"/>
      <c r="BG607" s="104"/>
      <c r="BH607" s="104"/>
      <c r="BI607" s="104"/>
      <c r="BJ607" s="104"/>
      <c r="BK607" s="104"/>
      <c r="BL607" s="104"/>
      <c r="BM607" s="104"/>
      <c r="BN607" s="104"/>
      <c r="BO607" s="104"/>
      <c r="BP607" s="104"/>
      <c r="BQ607" s="104"/>
      <c r="BR607" s="104"/>
      <c r="BS607" s="104"/>
      <c r="BT607" s="104"/>
      <c r="BU607" s="104"/>
      <c r="BV607" s="104"/>
      <c r="BW607" s="104"/>
      <c r="BX607" s="104"/>
    </row>
    <row r="608" spans="1:7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 s="104"/>
      <c r="BG608" s="104"/>
      <c r="BH608" s="104"/>
      <c r="BI608" s="104"/>
      <c r="BJ608" s="104"/>
      <c r="BK608" s="104"/>
      <c r="BL608" s="104"/>
      <c r="BM608" s="104"/>
      <c r="BN608" s="104"/>
      <c r="BO608" s="104"/>
      <c r="BP608" s="104"/>
      <c r="BQ608" s="104"/>
      <c r="BR608" s="104"/>
      <c r="BS608" s="104"/>
      <c r="BT608" s="104"/>
      <c r="BU608" s="104"/>
      <c r="BV608" s="104"/>
      <c r="BW608" s="104"/>
      <c r="BX608" s="104"/>
    </row>
    <row r="609" spans="1:7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 s="104"/>
      <c r="BG609" s="104"/>
      <c r="BH609" s="104"/>
      <c r="BI609" s="104"/>
      <c r="BJ609" s="104"/>
      <c r="BK609" s="104"/>
      <c r="BL609" s="104"/>
      <c r="BM609" s="104"/>
      <c r="BN609" s="104"/>
      <c r="BO609" s="104"/>
      <c r="BP609" s="104"/>
      <c r="BQ609" s="104"/>
      <c r="BR609" s="104"/>
      <c r="BS609" s="104"/>
      <c r="BT609" s="104"/>
      <c r="BU609" s="104"/>
      <c r="BV609" s="104"/>
      <c r="BW609" s="104"/>
      <c r="BX609" s="104"/>
    </row>
    <row r="610" spans="1:7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 s="104"/>
      <c r="BG610" s="104"/>
      <c r="BH610" s="104"/>
      <c r="BI610" s="104"/>
      <c r="BJ610" s="104"/>
      <c r="BK610" s="104"/>
      <c r="BL610" s="104"/>
      <c r="BM610" s="104"/>
      <c r="BN610" s="104"/>
      <c r="BO610" s="104"/>
      <c r="BP610" s="104"/>
      <c r="BQ610" s="104"/>
      <c r="BR610" s="104"/>
      <c r="BS610" s="104"/>
      <c r="BT610" s="104"/>
      <c r="BU610" s="104"/>
      <c r="BV610" s="104"/>
      <c r="BW610" s="104"/>
      <c r="BX610" s="104"/>
    </row>
    <row r="611" spans="1:7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 s="104"/>
      <c r="BG611" s="104"/>
      <c r="BH611" s="104"/>
      <c r="BI611" s="104"/>
      <c r="BJ611" s="104"/>
      <c r="BK611" s="104"/>
      <c r="BL611" s="104"/>
      <c r="BM611" s="104"/>
      <c r="BN611" s="104"/>
      <c r="BO611" s="104"/>
      <c r="BP611" s="104"/>
      <c r="BQ611" s="104"/>
      <c r="BR611" s="104"/>
      <c r="BS611" s="104"/>
      <c r="BT611" s="104"/>
      <c r="BU611" s="104"/>
      <c r="BV611" s="104"/>
      <c r="BW611" s="104"/>
      <c r="BX611" s="104"/>
    </row>
    <row r="612" spans="1:7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 s="104"/>
      <c r="BG612" s="104"/>
      <c r="BH612" s="104"/>
      <c r="BI612" s="104"/>
      <c r="BJ612" s="104"/>
      <c r="BK612" s="104"/>
      <c r="BL612" s="104"/>
      <c r="BM612" s="104"/>
      <c r="BN612" s="104"/>
      <c r="BO612" s="104"/>
      <c r="BP612" s="104"/>
      <c r="BQ612" s="104"/>
      <c r="BR612" s="104"/>
      <c r="BS612" s="104"/>
      <c r="BT612" s="104"/>
      <c r="BU612" s="104"/>
      <c r="BV612" s="104"/>
      <c r="BW612" s="104"/>
      <c r="BX612" s="104"/>
    </row>
    <row r="613" spans="1:7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 s="104"/>
      <c r="BG613" s="104"/>
      <c r="BH613" s="104"/>
      <c r="BI613" s="104"/>
      <c r="BJ613" s="104"/>
      <c r="BK613" s="104"/>
      <c r="BL613" s="104"/>
      <c r="BM613" s="104"/>
      <c r="BN613" s="104"/>
      <c r="BO613" s="104"/>
      <c r="BP613" s="104"/>
      <c r="BQ613" s="104"/>
      <c r="BR613" s="104"/>
      <c r="BS613" s="104"/>
      <c r="BT613" s="104"/>
      <c r="BU613" s="104"/>
      <c r="BV613" s="104"/>
      <c r="BW613" s="104"/>
      <c r="BX613" s="104"/>
    </row>
    <row r="614" spans="1:7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 s="104"/>
      <c r="BG614" s="104"/>
      <c r="BH614" s="104"/>
      <c r="BI614" s="104"/>
      <c r="BJ614" s="104"/>
      <c r="BK614" s="104"/>
      <c r="BL614" s="104"/>
      <c r="BM614" s="104"/>
      <c r="BN614" s="104"/>
      <c r="BO614" s="104"/>
      <c r="BP614" s="104"/>
      <c r="BQ614" s="104"/>
      <c r="BR614" s="104"/>
      <c r="BS614" s="104"/>
      <c r="BT614" s="104"/>
      <c r="BU614" s="104"/>
      <c r="BV614" s="104"/>
      <c r="BW614" s="104"/>
      <c r="BX614" s="104"/>
    </row>
    <row r="615" spans="1:7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 s="104"/>
      <c r="BG615" s="104"/>
      <c r="BH615" s="104"/>
      <c r="BI615" s="104"/>
      <c r="BJ615" s="104"/>
      <c r="BK615" s="104"/>
      <c r="BL615" s="104"/>
      <c r="BM615" s="104"/>
      <c r="BN615" s="104"/>
      <c r="BO615" s="104"/>
      <c r="BP615" s="104"/>
      <c r="BQ615" s="104"/>
      <c r="BR615" s="104"/>
      <c r="BS615" s="104"/>
      <c r="BT615" s="104"/>
      <c r="BU615" s="104"/>
      <c r="BV615" s="104"/>
      <c r="BW615" s="104"/>
      <c r="BX615" s="104"/>
    </row>
    <row r="616" spans="1:7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 s="104"/>
      <c r="BG616" s="104"/>
      <c r="BH616" s="104"/>
      <c r="BI616" s="104"/>
      <c r="BJ616" s="104"/>
      <c r="BK616" s="104"/>
      <c r="BL616" s="104"/>
      <c r="BM616" s="104"/>
      <c r="BN616" s="104"/>
      <c r="BO616" s="104"/>
      <c r="BP616" s="104"/>
      <c r="BQ616" s="104"/>
      <c r="BR616" s="104"/>
      <c r="BS616" s="104"/>
      <c r="BT616" s="104"/>
      <c r="BU616" s="104"/>
      <c r="BV616" s="104"/>
      <c r="BW616" s="104"/>
      <c r="BX616" s="104"/>
    </row>
    <row r="617" spans="1:7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 s="104"/>
      <c r="BG617" s="104"/>
      <c r="BH617" s="104"/>
      <c r="BI617" s="104"/>
      <c r="BJ617" s="104"/>
      <c r="BK617" s="104"/>
      <c r="BL617" s="104"/>
      <c r="BM617" s="104"/>
      <c r="BN617" s="104"/>
      <c r="BO617" s="104"/>
      <c r="BP617" s="104"/>
      <c r="BQ617" s="104"/>
      <c r="BR617" s="104"/>
      <c r="BS617" s="104"/>
      <c r="BT617" s="104"/>
      <c r="BU617" s="104"/>
      <c r="BV617" s="104"/>
      <c r="BW617" s="104"/>
      <c r="BX617" s="104"/>
    </row>
    <row r="618" spans="1:7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 s="104"/>
      <c r="BG618" s="104"/>
      <c r="BH618" s="104"/>
      <c r="BI618" s="104"/>
      <c r="BJ618" s="104"/>
      <c r="BK618" s="104"/>
      <c r="BL618" s="104"/>
      <c r="BM618" s="104"/>
      <c r="BN618" s="104"/>
      <c r="BO618" s="104"/>
      <c r="BP618" s="104"/>
      <c r="BQ618" s="104"/>
      <c r="BR618" s="104"/>
      <c r="BS618" s="104"/>
      <c r="BT618" s="104"/>
      <c r="BU618" s="104"/>
      <c r="BV618" s="104"/>
      <c r="BW618" s="104"/>
      <c r="BX618" s="104"/>
    </row>
    <row r="619" spans="1:7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 s="104"/>
      <c r="BG619" s="104"/>
      <c r="BH619" s="104"/>
      <c r="BI619" s="104"/>
      <c r="BJ619" s="104"/>
      <c r="BK619" s="104"/>
      <c r="BL619" s="104"/>
      <c r="BM619" s="104"/>
      <c r="BN619" s="104"/>
      <c r="BO619" s="104"/>
      <c r="BP619" s="104"/>
      <c r="BQ619" s="104"/>
      <c r="BR619" s="104"/>
      <c r="BS619" s="104"/>
      <c r="BT619" s="104"/>
      <c r="BU619" s="104"/>
      <c r="BV619" s="104"/>
      <c r="BW619" s="104"/>
      <c r="BX619" s="104"/>
    </row>
    <row r="620" spans="1:7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 s="104"/>
      <c r="BG620" s="104"/>
      <c r="BH620" s="104"/>
      <c r="BI620" s="104"/>
      <c r="BJ620" s="104"/>
      <c r="BK620" s="104"/>
      <c r="BL620" s="104"/>
      <c r="BM620" s="104"/>
      <c r="BN620" s="104"/>
      <c r="BO620" s="104"/>
      <c r="BP620" s="104"/>
      <c r="BQ620" s="104"/>
      <c r="BR620" s="104"/>
      <c r="BS620" s="104"/>
      <c r="BT620" s="104"/>
      <c r="BU620" s="104"/>
      <c r="BV620" s="104"/>
      <c r="BW620" s="104"/>
      <c r="BX620" s="104"/>
    </row>
    <row r="621" spans="1:7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 s="104"/>
      <c r="BG621" s="104"/>
      <c r="BH621" s="104"/>
      <c r="BI621" s="104"/>
      <c r="BJ621" s="104"/>
      <c r="BK621" s="104"/>
      <c r="BL621" s="104"/>
      <c r="BM621" s="104"/>
      <c r="BN621" s="104"/>
      <c r="BO621" s="104"/>
      <c r="BP621" s="104"/>
      <c r="BQ621" s="104"/>
      <c r="BR621" s="104"/>
      <c r="BS621" s="104"/>
      <c r="BT621" s="104"/>
      <c r="BU621" s="104"/>
      <c r="BV621" s="104"/>
      <c r="BW621" s="104"/>
      <c r="BX621" s="104"/>
    </row>
    <row r="622" spans="1:7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 s="104"/>
      <c r="BG622" s="104"/>
      <c r="BH622" s="104"/>
      <c r="BI622" s="104"/>
      <c r="BJ622" s="104"/>
      <c r="BK622" s="104"/>
      <c r="BL622" s="104"/>
      <c r="BM622" s="104"/>
      <c r="BN622" s="104"/>
      <c r="BO622" s="104"/>
      <c r="BP622" s="104"/>
      <c r="BQ622" s="104"/>
      <c r="BR622" s="104"/>
      <c r="BS622" s="104"/>
      <c r="BT622" s="104"/>
      <c r="BU622" s="104"/>
      <c r="BV622" s="104"/>
      <c r="BW622" s="104"/>
      <c r="BX622" s="104"/>
    </row>
    <row r="623" spans="1:7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 s="104"/>
      <c r="BG623" s="104"/>
      <c r="BH623" s="104"/>
      <c r="BI623" s="104"/>
      <c r="BJ623" s="104"/>
      <c r="BK623" s="104"/>
      <c r="BL623" s="104"/>
      <c r="BM623" s="104"/>
      <c r="BN623" s="104"/>
      <c r="BO623" s="104"/>
      <c r="BP623" s="104"/>
      <c r="BQ623" s="104"/>
      <c r="BR623" s="104"/>
      <c r="BS623" s="104"/>
      <c r="BT623" s="104"/>
      <c r="BU623" s="104"/>
      <c r="BV623" s="104"/>
      <c r="BW623" s="104"/>
      <c r="BX623" s="104"/>
    </row>
    <row r="624" spans="1:7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 s="104"/>
      <c r="BG624" s="104"/>
      <c r="BH624" s="104"/>
      <c r="BI624" s="104"/>
      <c r="BJ624" s="104"/>
      <c r="BK624" s="104"/>
      <c r="BL624" s="104"/>
      <c r="BM624" s="104"/>
      <c r="BN624" s="104"/>
      <c r="BO624" s="104"/>
      <c r="BP624" s="104"/>
      <c r="BQ624" s="104"/>
      <c r="BR624" s="104"/>
      <c r="BS624" s="104"/>
      <c r="BT624" s="104"/>
      <c r="BU624" s="104"/>
      <c r="BV624" s="104"/>
      <c r="BW624" s="104"/>
      <c r="BX624" s="104"/>
    </row>
    <row r="625" spans="1:7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 s="104"/>
      <c r="BG625" s="104"/>
      <c r="BH625" s="104"/>
      <c r="BI625" s="104"/>
      <c r="BJ625" s="104"/>
      <c r="BK625" s="104"/>
      <c r="BL625" s="104"/>
      <c r="BM625" s="104"/>
      <c r="BN625" s="104"/>
      <c r="BO625" s="104"/>
      <c r="BP625" s="104"/>
      <c r="BQ625" s="104"/>
      <c r="BR625" s="104"/>
      <c r="BS625" s="104"/>
      <c r="BT625" s="104"/>
      <c r="BU625" s="104"/>
      <c r="BV625" s="104"/>
      <c r="BW625" s="104"/>
      <c r="BX625" s="104"/>
    </row>
    <row r="626" spans="1:7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 s="104"/>
      <c r="BG626" s="104"/>
      <c r="BH626" s="104"/>
      <c r="BI626" s="104"/>
      <c r="BJ626" s="104"/>
      <c r="BK626" s="104"/>
      <c r="BL626" s="104"/>
      <c r="BM626" s="104"/>
      <c r="BN626" s="104"/>
      <c r="BO626" s="104"/>
      <c r="BP626" s="104"/>
      <c r="BQ626" s="104"/>
      <c r="BR626" s="104"/>
      <c r="BS626" s="104"/>
      <c r="BT626" s="104"/>
      <c r="BU626" s="104"/>
      <c r="BV626" s="104"/>
      <c r="BW626" s="104"/>
      <c r="BX626" s="104"/>
    </row>
    <row r="627" spans="1:7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 s="104"/>
      <c r="BG627" s="104"/>
      <c r="BH627" s="104"/>
      <c r="BI627" s="104"/>
      <c r="BJ627" s="104"/>
      <c r="BK627" s="104"/>
      <c r="BL627" s="104"/>
      <c r="BM627" s="104"/>
      <c r="BN627" s="104"/>
      <c r="BO627" s="104"/>
      <c r="BP627" s="104"/>
      <c r="BQ627" s="104"/>
      <c r="BR627" s="104"/>
      <c r="BS627" s="104"/>
      <c r="BT627" s="104"/>
      <c r="BU627" s="104"/>
      <c r="BV627" s="104"/>
      <c r="BW627" s="104"/>
      <c r="BX627" s="104"/>
    </row>
    <row r="628" spans="1:7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 s="104"/>
      <c r="BG628" s="104"/>
      <c r="BH628" s="104"/>
      <c r="BI628" s="104"/>
      <c r="BJ628" s="104"/>
      <c r="BK628" s="104"/>
      <c r="BL628" s="104"/>
      <c r="BM628" s="104"/>
      <c r="BN628" s="104"/>
      <c r="BO628" s="104"/>
      <c r="BP628" s="104"/>
      <c r="BQ628" s="104"/>
      <c r="BR628" s="104"/>
      <c r="BS628" s="104"/>
      <c r="BT628" s="104"/>
      <c r="BU628" s="104"/>
      <c r="BV628" s="104"/>
      <c r="BW628" s="104"/>
      <c r="BX628" s="104"/>
    </row>
    <row r="629" spans="1:7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 s="104"/>
      <c r="BG629" s="104"/>
      <c r="BH629" s="104"/>
      <c r="BI629" s="104"/>
      <c r="BJ629" s="104"/>
      <c r="BK629" s="104"/>
      <c r="BL629" s="104"/>
      <c r="BM629" s="104"/>
      <c r="BN629" s="104"/>
      <c r="BO629" s="104"/>
      <c r="BP629" s="104"/>
      <c r="BQ629" s="104"/>
      <c r="BR629" s="104"/>
      <c r="BS629" s="104"/>
      <c r="BT629" s="104"/>
      <c r="BU629" s="104"/>
      <c r="BV629" s="104"/>
      <c r="BW629" s="104"/>
      <c r="BX629" s="104"/>
    </row>
    <row r="630" spans="1:7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 s="104"/>
      <c r="BG630" s="104"/>
      <c r="BH630" s="104"/>
      <c r="BI630" s="104"/>
      <c r="BJ630" s="104"/>
      <c r="BK630" s="104"/>
      <c r="BL630" s="104"/>
      <c r="BM630" s="104"/>
      <c r="BN630" s="104"/>
      <c r="BO630" s="104"/>
      <c r="BP630" s="104"/>
      <c r="BQ630" s="104"/>
      <c r="BR630" s="104"/>
      <c r="BS630" s="104"/>
      <c r="BT630" s="104"/>
      <c r="BU630" s="104"/>
      <c r="BV630" s="104"/>
      <c r="BW630" s="104"/>
      <c r="BX630" s="104"/>
    </row>
    <row r="631" spans="1:7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 s="104"/>
      <c r="BG631" s="104"/>
      <c r="BH631" s="104"/>
      <c r="BI631" s="104"/>
      <c r="BJ631" s="104"/>
      <c r="BK631" s="104"/>
      <c r="BL631" s="104"/>
      <c r="BM631" s="104"/>
      <c r="BN631" s="104"/>
      <c r="BO631" s="104"/>
      <c r="BP631" s="104"/>
      <c r="BQ631" s="104"/>
      <c r="BR631" s="104"/>
      <c r="BS631" s="104"/>
      <c r="BT631" s="104"/>
      <c r="BU631" s="104"/>
      <c r="BV631" s="104"/>
      <c r="BW631" s="104"/>
      <c r="BX631" s="104"/>
    </row>
    <row r="632" spans="1:7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 s="104"/>
      <c r="BG632" s="104"/>
      <c r="BH632" s="104"/>
      <c r="BI632" s="104"/>
      <c r="BJ632" s="104"/>
      <c r="BK632" s="104"/>
      <c r="BL632" s="104"/>
      <c r="BM632" s="104"/>
      <c r="BN632" s="104"/>
      <c r="BO632" s="104"/>
      <c r="BP632" s="104"/>
      <c r="BQ632" s="104"/>
      <c r="BR632" s="104"/>
      <c r="BS632" s="104"/>
      <c r="BT632" s="104"/>
      <c r="BU632" s="104"/>
      <c r="BV632" s="104"/>
      <c r="BW632" s="104"/>
      <c r="BX632" s="104"/>
    </row>
    <row r="633" spans="1:7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 s="104"/>
      <c r="BG633" s="104"/>
      <c r="BH633" s="104"/>
      <c r="BI633" s="104"/>
      <c r="BJ633" s="104"/>
      <c r="BK633" s="104"/>
      <c r="BL633" s="104"/>
      <c r="BM633" s="104"/>
      <c r="BN633" s="104"/>
      <c r="BO633" s="104"/>
      <c r="BP633" s="104"/>
      <c r="BQ633" s="104"/>
      <c r="BR633" s="104"/>
      <c r="BS633" s="104"/>
      <c r="BT633" s="104"/>
      <c r="BU633" s="104"/>
      <c r="BV633" s="104"/>
      <c r="BW633" s="104"/>
      <c r="BX633" s="104"/>
    </row>
    <row r="634" spans="1:7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 s="104"/>
      <c r="BG634" s="104"/>
      <c r="BH634" s="104"/>
      <c r="BI634" s="104"/>
      <c r="BJ634" s="104"/>
      <c r="BK634" s="104"/>
      <c r="BL634" s="104"/>
      <c r="BM634" s="104"/>
      <c r="BN634" s="104"/>
      <c r="BO634" s="104"/>
      <c r="BP634" s="104"/>
      <c r="BQ634" s="104"/>
      <c r="BR634" s="104"/>
      <c r="BS634" s="104"/>
      <c r="BT634" s="104"/>
      <c r="BU634" s="104"/>
      <c r="BV634" s="104"/>
      <c r="BW634" s="104"/>
      <c r="BX634" s="104"/>
    </row>
    <row r="635" spans="1:7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 s="104"/>
      <c r="BG635" s="104"/>
      <c r="BH635" s="104"/>
      <c r="BI635" s="104"/>
      <c r="BJ635" s="104"/>
      <c r="BK635" s="104"/>
      <c r="BL635" s="104"/>
      <c r="BM635" s="104"/>
      <c r="BN635" s="104"/>
      <c r="BO635" s="104"/>
      <c r="BP635" s="104"/>
      <c r="BQ635" s="104"/>
      <c r="BR635" s="104"/>
      <c r="BS635" s="104"/>
      <c r="BT635" s="104"/>
      <c r="BU635" s="104"/>
      <c r="BV635" s="104"/>
      <c r="BW635" s="104"/>
      <c r="BX635" s="104"/>
    </row>
    <row r="636" spans="1:7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 s="104"/>
      <c r="BG636" s="104"/>
      <c r="BH636" s="104"/>
      <c r="BI636" s="104"/>
      <c r="BJ636" s="104"/>
      <c r="BK636" s="104"/>
      <c r="BL636" s="104"/>
      <c r="BM636" s="104"/>
      <c r="BN636" s="104"/>
      <c r="BO636" s="104"/>
      <c r="BP636" s="104"/>
      <c r="BQ636" s="104"/>
      <c r="BR636" s="104"/>
      <c r="BS636" s="104"/>
      <c r="BT636" s="104"/>
      <c r="BU636" s="104"/>
      <c r="BV636" s="104"/>
      <c r="BW636" s="104"/>
      <c r="BX636" s="104"/>
    </row>
    <row r="637" spans="1:7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 s="104"/>
      <c r="BG637" s="104"/>
      <c r="BH637" s="104"/>
      <c r="BI637" s="104"/>
      <c r="BJ637" s="104"/>
      <c r="BK637" s="104"/>
      <c r="BL637" s="104"/>
      <c r="BM637" s="104"/>
      <c r="BN637" s="104"/>
      <c r="BO637" s="104"/>
      <c r="BP637" s="104"/>
      <c r="BQ637" s="104"/>
      <c r="BR637" s="104"/>
      <c r="BS637" s="104"/>
      <c r="BT637" s="104"/>
      <c r="BU637" s="104"/>
      <c r="BV637" s="104"/>
      <c r="BW637" s="104"/>
      <c r="BX637" s="104"/>
    </row>
    <row r="638" spans="1:7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 s="104"/>
      <c r="BG638" s="104"/>
      <c r="BH638" s="104"/>
      <c r="BI638" s="104"/>
      <c r="BJ638" s="104"/>
      <c r="BK638" s="104"/>
      <c r="BL638" s="104"/>
      <c r="BM638" s="104"/>
      <c r="BN638" s="104"/>
      <c r="BO638" s="104"/>
      <c r="BP638" s="104"/>
      <c r="BQ638" s="104"/>
      <c r="BR638" s="104"/>
      <c r="BS638" s="104"/>
      <c r="BT638" s="104"/>
      <c r="BU638" s="104"/>
      <c r="BV638" s="104"/>
      <c r="BW638" s="104"/>
      <c r="BX638" s="104"/>
    </row>
    <row r="639" spans="1:7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 s="104"/>
      <c r="BG639" s="104"/>
      <c r="BH639" s="104"/>
      <c r="BI639" s="104"/>
      <c r="BJ639" s="104"/>
      <c r="BK639" s="104"/>
      <c r="BL639" s="104"/>
      <c r="BM639" s="104"/>
      <c r="BN639" s="104"/>
      <c r="BO639" s="104"/>
      <c r="BP639" s="104"/>
      <c r="BQ639" s="104"/>
      <c r="BR639" s="104"/>
      <c r="BS639" s="104"/>
      <c r="BT639" s="104"/>
      <c r="BU639" s="104"/>
      <c r="BV639" s="104"/>
      <c r="BW639" s="104"/>
      <c r="BX639" s="104"/>
    </row>
    <row r="640" spans="1:7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 s="104"/>
      <c r="BG640" s="104"/>
      <c r="BH640" s="104"/>
      <c r="BI640" s="104"/>
      <c r="BJ640" s="104"/>
      <c r="BK640" s="104"/>
      <c r="BL640" s="104"/>
      <c r="BM640" s="104"/>
      <c r="BN640" s="104"/>
      <c r="BO640" s="104"/>
      <c r="BP640" s="104"/>
      <c r="BQ640" s="104"/>
      <c r="BR640" s="104"/>
      <c r="BS640" s="104"/>
      <c r="BT640" s="104"/>
      <c r="BU640" s="104"/>
      <c r="BV640" s="104"/>
      <c r="BW640" s="104"/>
      <c r="BX640" s="104"/>
    </row>
    <row r="641" spans="1:7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 s="104"/>
      <c r="BG641" s="104"/>
      <c r="BH641" s="104"/>
      <c r="BI641" s="104"/>
      <c r="BJ641" s="104"/>
      <c r="BK641" s="104"/>
      <c r="BL641" s="104"/>
      <c r="BM641" s="104"/>
      <c r="BN641" s="104"/>
      <c r="BO641" s="104"/>
      <c r="BP641" s="104"/>
      <c r="BQ641" s="104"/>
      <c r="BR641" s="104"/>
      <c r="BS641" s="104"/>
      <c r="BT641" s="104"/>
      <c r="BU641" s="104"/>
      <c r="BV641" s="104"/>
      <c r="BW641" s="104"/>
      <c r="BX641" s="104"/>
    </row>
    <row r="642" spans="1:7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 s="104"/>
      <c r="BG642" s="104"/>
      <c r="BH642" s="104"/>
      <c r="BI642" s="104"/>
      <c r="BJ642" s="104"/>
      <c r="BK642" s="104"/>
      <c r="BL642" s="104"/>
      <c r="BM642" s="104"/>
      <c r="BN642" s="104"/>
      <c r="BO642" s="104"/>
      <c r="BP642" s="104"/>
      <c r="BQ642" s="104"/>
      <c r="BR642" s="104"/>
      <c r="BS642" s="104"/>
      <c r="BT642" s="104"/>
      <c r="BU642" s="104"/>
      <c r="BV642" s="104"/>
      <c r="BW642" s="104"/>
      <c r="BX642" s="104"/>
    </row>
    <row r="643" spans="1:7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 s="104"/>
      <c r="BG643" s="104"/>
      <c r="BH643" s="104"/>
      <c r="BI643" s="104"/>
      <c r="BJ643" s="104"/>
      <c r="BK643" s="104"/>
      <c r="BL643" s="104"/>
      <c r="BM643" s="104"/>
      <c r="BN643" s="104"/>
      <c r="BO643" s="104"/>
      <c r="BP643" s="104"/>
      <c r="BQ643" s="104"/>
      <c r="BR643" s="104"/>
      <c r="BS643" s="104"/>
      <c r="BT643" s="104"/>
      <c r="BU643" s="104"/>
      <c r="BV643" s="104"/>
      <c r="BW643" s="104"/>
      <c r="BX643" s="104"/>
    </row>
    <row r="644" spans="1:7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 s="104"/>
      <c r="BG644" s="104"/>
      <c r="BH644" s="104"/>
      <c r="BI644" s="104"/>
      <c r="BJ644" s="104"/>
      <c r="BK644" s="104"/>
      <c r="BL644" s="104"/>
      <c r="BM644" s="104"/>
      <c r="BN644" s="104"/>
      <c r="BO644" s="104"/>
      <c r="BP644" s="104"/>
      <c r="BQ644" s="104"/>
      <c r="BR644" s="104"/>
      <c r="BS644" s="104"/>
      <c r="BT644" s="104"/>
      <c r="BU644" s="104"/>
      <c r="BV644" s="104"/>
      <c r="BW644" s="104"/>
      <c r="BX644" s="104"/>
    </row>
    <row r="645" spans="1:7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 s="104"/>
      <c r="BG645" s="104"/>
      <c r="BH645" s="104"/>
      <c r="BI645" s="104"/>
      <c r="BJ645" s="104"/>
      <c r="BK645" s="104"/>
      <c r="BL645" s="104"/>
      <c r="BM645" s="104"/>
      <c r="BN645" s="104"/>
      <c r="BO645" s="104"/>
      <c r="BP645" s="104"/>
      <c r="BQ645" s="104"/>
      <c r="BR645" s="104"/>
      <c r="BS645" s="104"/>
      <c r="BT645" s="104"/>
      <c r="BU645" s="104"/>
      <c r="BV645" s="104"/>
      <c r="BW645" s="104"/>
      <c r="BX645" s="104"/>
    </row>
    <row r="646" spans="1:7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 s="104"/>
      <c r="BG646" s="104"/>
      <c r="BH646" s="104"/>
      <c r="BI646" s="104"/>
      <c r="BJ646" s="104"/>
      <c r="BK646" s="104"/>
      <c r="BL646" s="104"/>
      <c r="BM646" s="104"/>
      <c r="BN646" s="104"/>
      <c r="BO646" s="104"/>
      <c r="BP646" s="104"/>
      <c r="BQ646" s="104"/>
      <c r="BR646" s="104"/>
      <c r="BS646" s="104"/>
      <c r="BT646" s="104"/>
      <c r="BU646" s="104"/>
      <c r="BV646" s="104"/>
      <c r="BW646" s="104"/>
      <c r="BX646" s="104"/>
    </row>
    <row r="647" spans="1:7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 s="104"/>
      <c r="BG647" s="104"/>
      <c r="BH647" s="104"/>
      <c r="BI647" s="104"/>
      <c r="BJ647" s="104"/>
      <c r="BK647" s="104"/>
      <c r="BL647" s="104"/>
      <c r="BM647" s="104"/>
      <c r="BN647" s="104"/>
      <c r="BO647" s="104"/>
      <c r="BP647" s="104"/>
      <c r="BQ647" s="104"/>
      <c r="BR647" s="104"/>
      <c r="BS647" s="104"/>
      <c r="BT647" s="104"/>
      <c r="BU647" s="104"/>
      <c r="BV647" s="104"/>
      <c r="BW647" s="104"/>
      <c r="BX647" s="104"/>
    </row>
    <row r="648" spans="1:7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 s="104"/>
      <c r="BG648" s="104"/>
      <c r="BH648" s="104"/>
      <c r="BI648" s="104"/>
      <c r="BJ648" s="104"/>
      <c r="BK648" s="104"/>
      <c r="BL648" s="104"/>
      <c r="BM648" s="104"/>
      <c r="BN648" s="104"/>
      <c r="BO648" s="104"/>
      <c r="BP648" s="104"/>
      <c r="BQ648" s="104"/>
      <c r="BR648" s="104"/>
      <c r="BS648" s="104"/>
      <c r="BT648" s="104"/>
      <c r="BU648" s="104"/>
      <c r="BV648" s="104"/>
      <c r="BW648" s="104"/>
      <c r="BX648" s="104"/>
    </row>
    <row r="649" spans="1:7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 s="104"/>
      <c r="BG649" s="104"/>
      <c r="BH649" s="104"/>
      <c r="BI649" s="104"/>
      <c r="BJ649" s="104"/>
      <c r="BK649" s="104"/>
      <c r="BL649" s="104"/>
      <c r="BM649" s="104"/>
      <c r="BN649" s="104"/>
      <c r="BO649" s="104"/>
      <c r="BP649" s="104"/>
      <c r="BQ649" s="104"/>
      <c r="BR649" s="104"/>
      <c r="BS649" s="104"/>
      <c r="BT649" s="104"/>
      <c r="BU649" s="104"/>
      <c r="BV649" s="104"/>
      <c r="BW649" s="104"/>
      <c r="BX649" s="104"/>
    </row>
    <row r="650" spans="1:7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 s="104"/>
      <c r="BG650" s="104"/>
      <c r="BH650" s="104"/>
      <c r="BI650" s="104"/>
      <c r="BJ650" s="104"/>
      <c r="BK650" s="104"/>
      <c r="BL650" s="104"/>
      <c r="BM650" s="104"/>
      <c r="BN650" s="104"/>
      <c r="BO650" s="104"/>
      <c r="BP650" s="104"/>
      <c r="BQ650" s="104"/>
      <c r="BR650" s="104"/>
      <c r="BS650" s="104"/>
      <c r="BT650" s="104"/>
      <c r="BU650" s="104"/>
      <c r="BV650" s="104"/>
      <c r="BW650" s="104"/>
      <c r="BX650" s="104"/>
    </row>
    <row r="651" spans="1:7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 s="104"/>
      <c r="BG651" s="104"/>
      <c r="BH651" s="104"/>
      <c r="BI651" s="104"/>
      <c r="BJ651" s="104"/>
      <c r="BK651" s="104"/>
      <c r="BL651" s="104"/>
      <c r="BM651" s="104"/>
      <c r="BN651" s="104"/>
      <c r="BO651" s="104"/>
      <c r="BP651" s="104"/>
      <c r="BQ651" s="104"/>
      <c r="BR651" s="104"/>
      <c r="BS651" s="104"/>
      <c r="BT651" s="104"/>
      <c r="BU651" s="104"/>
      <c r="BV651" s="104"/>
      <c r="BW651" s="104"/>
      <c r="BX651" s="104"/>
    </row>
    <row r="652" spans="1:7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 s="104"/>
      <c r="BG652" s="104"/>
      <c r="BH652" s="104"/>
      <c r="BI652" s="104"/>
      <c r="BJ652" s="104"/>
      <c r="BK652" s="104"/>
      <c r="BL652" s="104"/>
      <c r="BM652" s="104"/>
      <c r="BN652" s="104"/>
      <c r="BO652" s="104"/>
      <c r="BP652" s="104"/>
      <c r="BQ652" s="104"/>
      <c r="BR652" s="104"/>
      <c r="BS652" s="104"/>
      <c r="BT652" s="104"/>
      <c r="BU652" s="104"/>
      <c r="BV652" s="104"/>
      <c r="BW652" s="104"/>
      <c r="BX652" s="104"/>
    </row>
    <row r="653" spans="1:7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 s="104"/>
      <c r="BG653" s="104"/>
      <c r="BH653" s="104"/>
      <c r="BI653" s="104"/>
      <c r="BJ653" s="104"/>
      <c r="BK653" s="104"/>
      <c r="BL653" s="104"/>
      <c r="BM653" s="104"/>
      <c r="BN653" s="104"/>
      <c r="BO653" s="104"/>
      <c r="BP653" s="104"/>
      <c r="BQ653" s="104"/>
      <c r="BR653" s="104"/>
      <c r="BS653" s="104"/>
      <c r="BT653" s="104"/>
      <c r="BU653" s="104"/>
      <c r="BV653" s="104"/>
      <c r="BW653" s="104"/>
      <c r="BX653" s="104"/>
    </row>
    <row r="654" spans="1:7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 s="104"/>
      <c r="BG654" s="104"/>
      <c r="BH654" s="104"/>
      <c r="BI654" s="104"/>
      <c r="BJ654" s="104"/>
      <c r="BK654" s="104"/>
      <c r="BL654" s="104"/>
      <c r="BM654" s="104"/>
      <c r="BN654" s="104"/>
      <c r="BO654" s="104"/>
      <c r="BP654" s="104"/>
      <c r="BQ654" s="104"/>
      <c r="BR654" s="104"/>
      <c r="BS654" s="104"/>
      <c r="BT654" s="104"/>
      <c r="BU654" s="104"/>
      <c r="BV654" s="104"/>
      <c r="BW654" s="104"/>
      <c r="BX654" s="104"/>
    </row>
    <row r="655" spans="1:7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 s="104"/>
      <c r="BG655" s="104"/>
      <c r="BH655" s="104"/>
      <c r="BI655" s="104"/>
      <c r="BJ655" s="104"/>
      <c r="BK655" s="104"/>
      <c r="BL655" s="104"/>
      <c r="BM655" s="104"/>
      <c r="BN655" s="104"/>
      <c r="BO655" s="104"/>
      <c r="BP655" s="104"/>
      <c r="BQ655" s="104"/>
      <c r="BR655" s="104"/>
      <c r="BS655" s="104"/>
      <c r="BT655" s="104"/>
      <c r="BU655" s="104"/>
      <c r="BV655" s="104"/>
      <c r="BW655" s="104"/>
      <c r="BX655" s="104"/>
    </row>
    <row r="656" spans="1:7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 s="104"/>
      <c r="BG656" s="104"/>
      <c r="BH656" s="104"/>
      <c r="BI656" s="104"/>
      <c r="BJ656" s="104"/>
      <c r="BK656" s="104"/>
      <c r="BL656" s="104"/>
      <c r="BM656" s="104"/>
      <c r="BN656" s="104"/>
      <c r="BO656" s="104"/>
      <c r="BP656" s="104"/>
      <c r="BQ656" s="104"/>
      <c r="BR656" s="104"/>
      <c r="BS656" s="104"/>
      <c r="BT656" s="104"/>
      <c r="BU656" s="104"/>
      <c r="BV656" s="104"/>
      <c r="BW656" s="104"/>
      <c r="BX656" s="104"/>
    </row>
    <row r="657" spans="1:7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 s="104"/>
      <c r="BG657" s="104"/>
      <c r="BH657" s="104"/>
      <c r="BI657" s="104"/>
      <c r="BJ657" s="104"/>
      <c r="BK657" s="104"/>
      <c r="BL657" s="104"/>
      <c r="BM657" s="104"/>
      <c r="BN657" s="104"/>
      <c r="BO657" s="104"/>
      <c r="BP657" s="104"/>
      <c r="BQ657" s="104"/>
      <c r="BR657" s="104"/>
      <c r="BS657" s="104"/>
      <c r="BT657" s="104"/>
      <c r="BU657" s="104"/>
      <c r="BV657" s="104"/>
      <c r="BW657" s="104"/>
      <c r="BX657" s="104"/>
    </row>
    <row r="658" spans="1:7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 s="104"/>
      <c r="BG658" s="104"/>
      <c r="BH658" s="104"/>
      <c r="BI658" s="104"/>
      <c r="BJ658" s="104"/>
      <c r="BK658" s="104"/>
      <c r="BL658" s="104"/>
      <c r="BM658" s="104"/>
      <c r="BN658" s="104"/>
      <c r="BO658" s="104"/>
      <c r="BP658" s="104"/>
      <c r="BQ658" s="104"/>
      <c r="BR658" s="104"/>
      <c r="BS658" s="104"/>
      <c r="BT658" s="104"/>
      <c r="BU658" s="104"/>
      <c r="BV658" s="104"/>
      <c r="BW658" s="104"/>
      <c r="BX658" s="104"/>
    </row>
    <row r="659" spans="1:7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 s="104"/>
      <c r="BG659" s="104"/>
      <c r="BH659" s="104"/>
      <c r="BI659" s="104"/>
      <c r="BJ659" s="104"/>
      <c r="BK659" s="104"/>
      <c r="BL659" s="104"/>
      <c r="BM659" s="104"/>
      <c r="BN659" s="104"/>
      <c r="BO659" s="104"/>
      <c r="BP659" s="104"/>
      <c r="BQ659" s="104"/>
      <c r="BR659" s="104"/>
      <c r="BS659" s="104"/>
      <c r="BT659" s="104"/>
      <c r="BU659" s="104"/>
      <c r="BV659" s="104"/>
      <c r="BW659" s="104"/>
      <c r="BX659" s="104"/>
    </row>
    <row r="660" spans="1:7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 s="104"/>
      <c r="BG660" s="104"/>
      <c r="BH660" s="104"/>
      <c r="BI660" s="104"/>
      <c r="BJ660" s="104"/>
      <c r="BK660" s="104"/>
      <c r="BL660" s="104"/>
      <c r="BM660" s="104"/>
      <c r="BN660" s="104"/>
      <c r="BO660" s="104"/>
      <c r="BP660" s="104"/>
      <c r="BQ660" s="104"/>
      <c r="BR660" s="104"/>
      <c r="BS660" s="104"/>
      <c r="BT660" s="104"/>
      <c r="BU660" s="104"/>
      <c r="BV660" s="104"/>
      <c r="BW660" s="104"/>
      <c r="BX660" s="104"/>
    </row>
    <row r="661" spans="1:7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 s="104"/>
      <c r="BG661" s="104"/>
      <c r="BH661" s="104"/>
      <c r="BI661" s="104"/>
      <c r="BJ661" s="104"/>
      <c r="BK661" s="104"/>
      <c r="BL661" s="104"/>
      <c r="BM661" s="104"/>
      <c r="BN661" s="104"/>
      <c r="BO661" s="104"/>
      <c r="BP661" s="104"/>
      <c r="BQ661" s="104"/>
      <c r="BR661" s="104"/>
      <c r="BS661" s="104"/>
      <c r="BT661" s="104"/>
      <c r="BU661" s="104"/>
      <c r="BV661" s="104"/>
      <c r="BW661" s="104"/>
      <c r="BX661" s="104"/>
    </row>
    <row r="662" spans="1:7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 s="104"/>
      <c r="BG662" s="104"/>
      <c r="BH662" s="104"/>
      <c r="BI662" s="104"/>
      <c r="BJ662" s="104"/>
      <c r="BK662" s="104"/>
      <c r="BL662" s="104"/>
      <c r="BM662" s="104"/>
      <c r="BN662" s="104"/>
      <c r="BO662" s="104"/>
      <c r="BP662" s="104"/>
      <c r="BQ662" s="104"/>
      <c r="BR662" s="104"/>
      <c r="BS662" s="104"/>
      <c r="BT662" s="104"/>
      <c r="BU662" s="104"/>
      <c r="BV662" s="104"/>
      <c r="BW662" s="104"/>
      <c r="BX662" s="104"/>
    </row>
    <row r="663" spans="1:7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 s="104"/>
      <c r="BG663" s="104"/>
      <c r="BH663" s="104"/>
      <c r="BI663" s="104"/>
      <c r="BJ663" s="104"/>
      <c r="BK663" s="104"/>
      <c r="BL663" s="104"/>
      <c r="BM663" s="104"/>
      <c r="BN663" s="104"/>
      <c r="BO663" s="104"/>
      <c r="BP663" s="104"/>
      <c r="BQ663" s="104"/>
      <c r="BR663" s="104"/>
      <c r="BS663" s="104"/>
      <c r="BT663" s="104"/>
      <c r="BU663" s="104"/>
      <c r="BV663" s="104"/>
      <c r="BW663" s="104"/>
      <c r="BX663" s="104"/>
    </row>
    <row r="664" spans="1:7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 s="104"/>
      <c r="BG664" s="104"/>
      <c r="BH664" s="104"/>
      <c r="BI664" s="104"/>
      <c r="BJ664" s="104"/>
      <c r="BK664" s="104"/>
      <c r="BL664" s="104"/>
      <c r="BM664" s="104"/>
      <c r="BN664" s="104"/>
      <c r="BO664" s="104"/>
      <c r="BP664" s="104"/>
      <c r="BQ664" s="104"/>
      <c r="BR664" s="104"/>
      <c r="BS664" s="104"/>
      <c r="BT664" s="104"/>
      <c r="BU664" s="104"/>
      <c r="BV664" s="104"/>
      <c r="BW664" s="104"/>
      <c r="BX664" s="104"/>
    </row>
    <row r="665" spans="1:7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 s="104"/>
      <c r="BG665" s="104"/>
      <c r="BH665" s="104"/>
      <c r="BI665" s="104"/>
      <c r="BJ665" s="104"/>
      <c r="BK665" s="104"/>
      <c r="BL665" s="104"/>
      <c r="BM665" s="104"/>
      <c r="BN665" s="104"/>
      <c r="BO665" s="104"/>
      <c r="BP665" s="104"/>
      <c r="BQ665" s="104"/>
      <c r="BR665" s="104"/>
      <c r="BS665" s="104"/>
      <c r="BT665" s="104"/>
      <c r="BU665" s="104"/>
      <c r="BV665" s="104"/>
      <c r="BW665" s="104"/>
      <c r="BX665" s="104"/>
    </row>
    <row r="666" spans="1:7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 s="104"/>
      <c r="BG666" s="104"/>
      <c r="BH666" s="104"/>
      <c r="BI666" s="104"/>
      <c r="BJ666" s="104"/>
      <c r="BK666" s="104"/>
      <c r="BL666" s="104"/>
      <c r="BM666" s="104"/>
      <c r="BN666" s="104"/>
      <c r="BO666" s="104"/>
      <c r="BP666" s="104"/>
      <c r="BQ666" s="104"/>
      <c r="BR666" s="104"/>
      <c r="BS666" s="104"/>
      <c r="BT666" s="104"/>
      <c r="BU666" s="104"/>
      <c r="BV666" s="104"/>
      <c r="BW666" s="104"/>
      <c r="BX666" s="104"/>
    </row>
    <row r="667" spans="1:7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 s="104"/>
      <c r="BG667" s="104"/>
      <c r="BH667" s="104"/>
      <c r="BI667" s="104"/>
      <c r="BJ667" s="104"/>
      <c r="BK667" s="104"/>
      <c r="BL667" s="104"/>
      <c r="BM667" s="104"/>
      <c r="BN667" s="104"/>
      <c r="BO667" s="104"/>
      <c r="BP667" s="104"/>
      <c r="BQ667" s="104"/>
      <c r="BR667" s="104"/>
      <c r="BS667" s="104"/>
      <c r="BT667" s="104"/>
      <c r="BU667" s="104"/>
      <c r="BV667" s="104"/>
      <c r="BW667" s="104"/>
      <c r="BX667" s="104"/>
    </row>
    <row r="668" spans="1:7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 s="104"/>
      <c r="BG668" s="104"/>
      <c r="BH668" s="104"/>
      <c r="BI668" s="104"/>
      <c r="BJ668" s="104"/>
      <c r="BK668" s="104"/>
      <c r="BL668" s="104"/>
      <c r="BM668" s="104"/>
      <c r="BN668" s="104"/>
      <c r="BO668" s="104"/>
      <c r="BP668" s="104"/>
      <c r="BQ668" s="104"/>
      <c r="BR668" s="104"/>
      <c r="BS668" s="104"/>
      <c r="BT668" s="104"/>
      <c r="BU668" s="104"/>
      <c r="BV668" s="104"/>
      <c r="BW668" s="104"/>
      <c r="BX668" s="104"/>
    </row>
    <row r="669" spans="1:7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 s="104"/>
      <c r="BG669" s="104"/>
      <c r="BH669" s="104"/>
      <c r="BI669" s="104"/>
      <c r="BJ669" s="104"/>
      <c r="BK669" s="104"/>
      <c r="BL669" s="104"/>
      <c r="BM669" s="104"/>
      <c r="BN669" s="104"/>
      <c r="BO669" s="104"/>
      <c r="BP669" s="104"/>
      <c r="BQ669" s="104"/>
      <c r="BR669" s="104"/>
      <c r="BS669" s="104"/>
      <c r="BT669" s="104"/>
      <c r="BU669" s="104"/>
      <c r="BV669" s="104"/>
      <c r="BW669" s="104"/>
      <c r="BX669" s="104"/>
    </row>
    <row r="670" spans="1:7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 s="104"/>
      <c r="BG670" s="104"/>
      <c r="BH670" s="104"/>
      <c r="BI670" s="104"/>
      <c r="BJ670" s="104"/>
      <c r="BK670" s="104"/>
      <c r="BL670" s="104"/>
      <c r="BM670" s="104"/>
      <c r="BN670" s="104"/>
      <c r="BO670" s="104"/>
      <c r="BP670" s="104"/>
      <c r="BQ670" s="104"/>
      <c r="BR670" s="104"/>
      <c r="BS670" s="104"/>
      <c r="BT670" s="104"/>
      <c r="BU670" s="104"/>
      <c r="BV670" s="104"/>
      <c r="BW670" s="104"/>
      <c r="BX670" s="104"/>
    </row>
    <row r="671" spans="1:7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 s="104"/>
      <c r="BG671" s="104"/>
      <c r="BH671" s="104"/>
      <c r="BI671" s="104"/>
      <c r="BJ671" s="104"/>
      <c r="BK671" s="104"/>
      <c r="BL671" s="104"/>
      <c r="BM671" s="104"/>
      <c r="BN671" s="104"/>
      <c r="BO671" s="104"/>
      <c r="BP671" s="104"/>
      <c r="BQ671" s="104"/>
      <c r="BR671" s="104"/>
      <c r="BS671" s="104"/>
      <c r="BT671" s="104"/>
      <c r="BU671" s="104"/>
      <c r="BV671" s="104"/>
      <c r="BW671" s="104"/>
      <c r="BX671" s="104"/>
    </row>
    <row r="672" spans="1:7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 s="104"/>
      <c r="BG672" s="104"/>
      <c r="BH672" s="104"/>
      <c r="BI672" s="104"/>
      <c r="BJ672" s="104"/>
      <c r="BK672" s="104"/>
      <c r="BL672" s="104"/>
      <c r="BM672" s="104"/>
      <c r="BN672" s="104"/>
      <c r="BO672" s="104"/>
      <c r="BP672" s="104"/>
      <c r="BQ672" s="104"/>
      <c r="BR672" s="104"/>
      <c r="BS672" s="104"/>
      <c r="BT672" s="104"/>
      <c r="BU672" s="104"/>
      <c r="BV672" s="104"/>
      <c r="BW672" s="104"/>
      <c r="BX672" s="104"/>
    </row>
    <row r="673" spans="1:7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 s="104"/>
      <c r="BG673" s="104"/>
      <c r="BH673" s="104"/>
      <c r="BI673" s="104"/>
      <c r="BJ673" s="104"/>
      <c r="BK673" s="104"/>
      <c r="BL673" s="104"/>
      <c r="BM673" s="104"/>
      <c r="BN673" s="104"/>
      <c r="BO673" s="104"/>
      <c r="BP673" s="104"/>
      <c r="BQ673" s="104"/>
      <c r="BR673" s="104"/>
      <c r="BS673" s="104"/>
      <c r="BT673" s="104"/>
      <c r="BU673" s="104"/>
      <c r="BV673" s="104"/>
      <c r="BW673" s="104"/>
      <c r="BX673" s="104"/>
    </row>
    <row r="674" spans="1:7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 s="104"/>
      <c r="BG674" s="104"/>
      <c r="BH674" s="104"/>
      <c r="BI674" s="104"/>
      <c r="BJ674" s="104"/>
      <c r="BK674" s="104"/>
      <c r="BL674" s="104"/>
      <c r="BM674" s="104"/>
      <c r="BN674" s="104"/>
      <c r="BO674" s="104"/>
      <c r="BP674" s="104"/>
      <c r="BQ674" s="104"/>
      <c r="BR674" s="104"/>
      <c r="BS674" s="104"/>
      <c r="BT674" s="104"/>
      <c r="BU674" s="104"/>
      <c r="BV674" s="104"/>
      <c r="BW674" s="104"/>
      <c r="BX674" s="104"/>
    </row>
    <row r="675" spans="1:7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 s="104"/>
      <c r="BG675" s="104"/>
      <c r="BH675" s="104"/>
      <c r="BI675" s="104"/>
      <c r="BJ675" s="104"/>
      <c r="BK675" s="104"/>
      <c r="BL675" s="104"/>
      <c r="BM675" s="104"/>
      <c r="BN675" s="104"/>
      <c r="BO675" s="104"/>
      <c r="BP675" s="104"/>
      <c r="BQ675" s="104"/>
      <c r="BR675" s="104"/>
      <c r="BS675" s="104"/>
      <c r="BT675" s="104"/>
      <c r="BU675" s="104"/>
      <c r="BV675" s="104"/>
      <c r="BW675" s="104"/>
      <c r="BX675" s="104"/>
    </row>
    <row r="676" spans="1:7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 s="104"/>
      <c r="BG676" s="104"/>
      <c r="BH676" s="104"/>
      <c r="BI676" s="104"/>
      <c r="BJ676" s="104"/>
      <c r="BK676" s="104"/>
      <c r="BL676" s="104"/>
      <c r="BM676" s="104"/>
      <c r="BN676" s="104"/>
      <c r="BO676" s="104"/>
      <c r="BP676" s="104"/>
      <c r="BQ676" s="104"/>
      <c r="BR676" s="104"/>
      <c r="BS676" s="104"/>
      <c r="BT676" s="104"/>
      <c r="BU676" s="104"/>
      <c r="BV676" s="104"/>
      <c r="BW676" s="104"/>
      <c r="BX676" s="104"/>
    </row>
    <row r="677" spans="1:7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 s="104"/>
      <c r="BG677" s="104"/>
      <c r="BH677" s="104"/>
      <c r="BI677" s="104"/>
      <c r="BJ677" s="104"/>
      <c r="BK677" s="104"/>
      <c r="BL677" s="104"/>
      <c r="BM677" s="104"/>
      <c r="BN677" s="104"/>
      <c r="BO677" s="104"/>
      <c r="BP677" s="104"/>
      <c r="BQ677" s="104"/>
      <c r="BR677" s="104"/>
      <c r="BS677" s="104"/>
      <c r="BT677" s="104"/>
      <c r="BU677" s="104"/>
      <c r="BV677" s="104"/>
      <c r="BW677" s="104"/>
      <c r="BX677" s="104"/>
    </row>
    <row r="678" spans="1:7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 s="104"/>
      <c r="BG678" s="104"/>
      <c r="BH678" s="104"/>
      <c r="BI678" s="104"/>
      <c r="BJ678" s="104"/>
      <c r="BK678" s="104"/>
      <c r="BL678" s="104"/>
      <c r="BM678" s="104"/>
      <c r="BN678" s="104"/>
      <c r="BO678" s="104"/>
      <c r="BP678" s="104"/>
      <c r="BQ678" s="104"/>
      <c r="BR678" s="104"/>
      <c r="BS678" s="104"/>
      <c r="BT678" s="104"/>
      <c r="BU678" s="104"/>
      <c r="BV678" s="104"/>
      <c r="BW678" s="104"/>
      <c r="BX678" s="104"/>
    </row>
    <row r="679" spans="1:7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 s="104"/>
      <c r="BG679" s="104"/>
      <c r="BH679" s="104"/>
      <c r="BI679" s="104"/>
      <c r="BJ679" s="104"/>
      <c r="BK679" s="104"/>
      <c r="BL679" s="104"/>
      <c r="BM679" s="104"/>
      <c r="BN679" s="104"/>
      <c r="BO679" s="104"/>
      <c r="BP679" s="104"/>
      <c r="BQ679" s="104"/>
      <c r="BR679" s="104"/>
      <c r="BS679" s="104"/>
      <c r="BT679" s="104"/>
      <c r="BU679" s="104"/>
      <c r="BV679" s="104"/>
      <c r="BW679" s="104"/>
      <c r="BX679" s="104"/>
    </row>
    <row r="680" spans="1:7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 s="104"/>
      <c r="BG680" s="104"/>
      <c r="BH680" s="104"/>
      <c r="BI680" s="104"/>
      <c r="BJ680" s="104"/>
      <c r="BK680" s="104"/>
      <c r="BL680" s="104"/>
      <c r="BM680" s="104"/>
      <c r="BN680" s="104"/>
      <c r="BO680" s="104"/>
      <c r="BP680" s="104"/>
      <c r="BQ680" s="104"/>
      <c r="BR680" s="104"/>
      <c r="BS680" s="104"/>
      <c r="BT680" s="104"/>
      <c r="BU680" s="104"/>
      <c r="BV680" s="104"/>
      <c r="BW680" s="104"/>
      <c r="BX680" s="104"/>
    </row>
    <row r="681" spans="1:7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 s="104"/>
      <c r="BG681" s="104"/>
      <c r="BH681" s="104"/>
      <c r="BI681" s="104"/>
      <c r="BJ681" s="104"/>
      <c r="BK681" s="104"/>
      <c r="BL681" s="104"/>
      <c r="BM681" s="104"/>
      <c r="BN681" s="104"/>
      <c r="BO681" s="104"/>
      <c r="BP681" s="104"/>
      <c r="BQ681" s="104"/>
      <c r="BR681" s="104"/>
      <c r="BS681" s="104"/>
      <c r="BT681" s="104"/>
      <c r="BU681" s="104"/>
      <c r="BV681" s="104"/>
      <c r="BW681" s="104"/>
      <c r="BX681" s="104"/>
    </row>
    <row r="682" spans="1:7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 s="104"/>
      <c r="BG682" s="104"/>
      <c r="BH682" s="104"/>
      <c r="BI682" s="104"/>
      <c r="BJ682" s="104"/>
      <c r="BK682" s="104"/>
      <c r="BL682" s="104"/>
      <c r="BM682" s="104"/>
      <c r="BN682" s="104"/>
      <c r="BO682" s="104"/>
      <c r="BP682" s="104"/>
      <c r="BQ682" s="104"/>
      <c r="BR682" s="104"/>
      <c r="BS682" s="104"/>
      <c r="BT682" s="104"/>
      <c r="BU682" s="104"/>
      <c r="BV682" s="104"/>
      <c r="BW682" s="104"/>
      <c r="BX682" s="104"/>
    </row>
    <row r="683" spans="1:7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 s="104"/>
      <c r="BG683" s="104"/>
      <c r="BH683" s="104"/>
      <c r="BI683" s="104"/>
      <c r="BJ683" s="104"/>
      <c r="BK683" s="104"/>
      <c r="BL683" s="104"/>
      <c r="BM683" s="104"/>
      <c r="BN683" s="104"/>
      <c r="BO683" s="104"/>
      <c r="BP683" s="104"/>
      <c r="BQ683" s="104"/>
      <c r="BR683" s="104"/>
      <c r="BS683" s="104"/>
      <c r="BT683" s="104"/>
      <c r="BU683" s="104"/>
      <c r="BV683" s="104"/>
      <c r="BW683" s="104"/>
      <c r="BX683" s="104"/>
    </row>
    <row r="684" spans="1:7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 s="104"/>
      <c r="BG684" s="104"/>
      <c r="BH684" s="104"/>
      <c r="BI684" s="104"/>
      <c r="BJ684" s="104"/>
      <c r="BK684" s="104"/>
      <c r="BL684" s="104"/>
      <c r="BM684" s="104"/>
      <c r="BN684" s="104"/>
      <c r="BO684" s="104"/>
      <c r="BP684" s="104"/>
      <c r="BQ684" s="104"/>
      <c r="BR684" s="104"/>
      <c r="BS684" s="104"/>
      <c r="BT684" s="104"/>
      <c r="BU684" s="104"/>
      <c r="BV684" s="104"/>
      <c r="BW684" s="104"/>
      <c r="BX684" s="104"/>
    </row>
    <row r="685" spans="1:7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 s="104"/>
      <c r="BG685" s="104"/>
      <c r="BH685" s="104"/>
      <c r="BI685" s="104"/>
      <c r="BJ685" s="104"/>
      <c r="BK685" s="104"/>
      <c r="BL685" s="104"/>
      <c r="BM685" s="104"/>
      <c r="BN685" s="104"/>
      <c r="BO685" s="104"/>
      <c r="BP685" s="104"/>
      <c r="BQ685" s="104"/>
      <c r="BR685" s="104"/>
      <c r="BS685" s="104"/>
      <c r="BT685" s="104"/>
      <c r="BU685" s="104"/>
      <c r="BV685" s="104"/>
      <c r="BW685" s="104"/>
      <c r="BX685" s="104"/>
    </row>
    <row r="686" spans="1:7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 s="104"/>
      <c r="BG686" s="104"/>
      <c r="BH686" s="104"/>
      <c r="BI686" s="104"/>
      <c r="BJ686" s="104"/>
      <c r="BK686" s="104"/>
      <c r="BL686" s="104"/>
      <c r="BM686" s="104"/>
      <c r="BN686" s="104"/>
      <c r="BO686" s="104"/>
      <c r="BP686" s="104"/>
      <c r="BQ686" s="104"/>
      <c r="BR686" s="104"/>
      <c r="BS686" s="104"/>
      <c r="BT686" s="104"/>
      <c r="BU686" s="104"/>
      <c r="BV686" s="104"/>
      <c r="BW686" s="104"/>
      <c r="BX686" s="104"/>
    </row>
    <row r="687" spans="1:7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 s="104"/>
      <c r="BG687" s="104"/>
      <c r="BH687" s="104"/>
      <c r="BI687" s="104"/>
      <c r="BJ687" s="104"/>
      <c r="BK687" s="104"/>
      <c r="BL687" s="104"/>
      <c r="BM687" s="104"/>
      <c r="BN687" s="104"/>
      <c r="BO687" s="104"/>
      <c r="BP687" s="104"/>
      <c r="BQ687" s="104"/>
      <c r="BR687" s="104"/>
      <c r="BS687" s="104"/>
      <c r="BT687" s="104"/>
      <c r="BU687" s="104"/>
      <c r="BV687" s="104"/>
      <c r="BW687" s="104"/>
      <c r="BX687" s="104"/>
    </row>
    <row r="688" spans="1:7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 s="104"/>
      <c r="BG688" s="104"/>
      <c r="BH688" s="104"/>
      <c r="BI688" s="104"/>
      <c r="BJ688" s="104"/>
      <c r="BK688" s="104"/>
      <c r="BL688" s="104"/>
      <c r="BM688" s="104"/>
      <c r="BN688" s="104"/>
      <c r="BO688" s="104"/>
      <c r="BP688" s="104"/>
      <c r="BQ688" s="104"/>
      <c r="BR688" s="104"/>
      <c r="BS688" s="104"/>
      <c r="BT688" s="104"/>
      <c r="BU688" s="104"/>
      <c r="BV688" s="104"/>
      <c r="BW688" s="104"/>
      <c r="BX688" s="104"/>
    </row>
    <row r="689" spans="1:7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 s="104"/>
      <c r="BG689" s="104"/>
      <c r="BH689" s="104"/>
      <c r="BI689" s="104"/>
      <c r="BJ689" s="104"/>
      <c r="BK689" s="104"/>
      <c r="BL689" s="104"/>
      <c r="BM689" s="104"/>
      <c r="BN689" s="104"/>
      <c r="BO689" s="104"/>
      <c r="BP689" s="104"/>
      <c r="BQ689" s="104"/>
      <c r="BR689" s="104"/>
      <c r="BS689" s="104"/>
      <c r="BT689" s="104"/>
      <c r="BU689" s="104"/>
      <c r="BV689" s="104"/>
      <c r="BW689" s="104"/>
      <c r="BX689" s="104"/>
    </row>
    <row r="690" spans="1:7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 s="104"/>
      <c r="BG690" s="104"/>
      <c r="BH690" s="104"/>
      <c r="BI690" s="104"/>
      <c r="BJ690" s="104"/>
      <c r="BK690" s="104"/>
      <c r="BL690" s="104"/>
      <c r="BM690" s="104"/>
      <c r="BN690" s="104"/>
      <c r="BO690" s="104"/>
      <c r="BP690" s="104"/>
      <c r="BQ690" s="104"/>
      <c r="BR690" s="104"/>
      <c r="BS690" s="104"/>
      <c r="BT690" s="104"/>
      <c r="BU690" s="104"/>
      <c r="BV690" s="104"/>
      <c r="BW690" s="104"/>
      <c r="BX690" s="104"/>
    </row>
    <row r="691" spans="1:7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 s="104"/>
      <c r="BG691" s="104"/>
      <c r="BH691" s="104"/>
      <c r="BI691" s="104"/>
      <c r="BJ691" s="104"/>
      <c r="BK691" s="104"/>
      <c r="BL691" s="104"/>
      <c r="BM691" s="104"/>
      <c r="BN691" s="104"/>
      <c r="BO691" s="104"/>
      <c r="BP691" s="104"/>
      <c r="BQ691" s="104"/>
      <c r="BR691" s="104"/>
      <c r="BS691" s="104"/>
      <c r="BT691" s="104"/>
      <c r="BU691" s="104"/>
      <c r="BV691" s="104"/>
      <c r="BW691" s="104"/>
      <c r="BX691" s="104"/>
    </row>
    <row r="692" spans="1:7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 s="104"/>
      <c r="BG692" s="104"/>
      <c r="BH692" s="104"/>
      <c r="BI692" s="104"/>
      <c r="BJ692" s="104"/>
      <c r="BK692" s="104"/>
      <c r="BL692" s="104"/>
      <c r="BM692" s="104"/>
      <c r="BN692" s="104"/>
      <c r="BO692" s="104"/>
      <c r="BP692" s="104"/>
      <c r="BQ692" s="104"/>
      <c r="BR692" s="104"/>
      <c r="BS692" s="104"/>
      <c r="BT692" s="104"/>
      <c r="BU692" s="104"/>
      <c r="BV692" s="104"/>
      <c r="BW692" s="104"/>
      <c r="BX692" s="104"/>
    </row>
    <row r="693" spans="1:7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 s="104"/>
      <c r="BG693" s="104"/>
      <c r="BH693" s="104"/>
      <c r="BI693" s="104"/>
      <c r="BJ693" s="104"/>
      <c r="BK693" s="104"/>
      <c r="BL693" s="104"/>
      <c r="BM693" s="104"/>
      <c r="BN693" s="104"/>
      <c r="BO693" s="104"/>
      <c r="BP693" s="104"/>
      <c r="BQ693" s="104"/>
      <c r="BR693" s="104"/>
      <c r="BS693" s="104"/>
      <c r="BT693" s="104"/>
      <c r="BU693" s="104"/>
      <c r="BV693" s="104"/>
      <c r="BW693" s="104"/>
      <c r="BX693" s="104"/>
    </row>
    <row r="694" spans="1:7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 s="104"/>
      <c r="BG694" s="104"/>
      <c r="BH694" s="104"/>
      <c r="BI694" s="104"/>
      <c r="BJ694" s="104"/>
      <c r="BK694" s="104"/>
      <c r="BL694" s="104"/>
      <c r="BM694" s="104"/>
      <c r="BN694" s="104"/>
      <c r="BO694" s="104"/>
      <c r="BP694" s="104"/>
      <c r="BQ694" s="104"/>
      <c r="BR694" s="104"/>
      <c r="BS694" s="104"/>
      <c r="BT694" s="104"/>
      <c r="BU694" s="104"/>
      <c r="BV694" s="104"/>
      <c r="BW694" s="104"/>
      <c r="BX694" s="104"/>
    </row>
    <row r="695" spans="1:7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 s="104"/>
      <c r="BG695" s="104"/>
      <c r="BH695" s="104"/>
      <c r="BI695" s="104"/>
      <c r="BJ695" s="104"/>
      <c r="BK695" s="104"/>
      <c r="BL695" s="104"/>
      <c r="BM695" s="104"/>
      <c r="BN695" s="104"/>
      <c r="BO695" s="104"/>
      <c r="BP695" s="104"/>
      <c r="BQ695" s="104"/>
      <c r="BR695" s="104"/>
      <c r="BS695" s="104"/>
      <c r="BT695" s="104"/>
      <c r="BU695" s="104"/>
      <c r="BV695" s="104"/>
      <c r="BW695" s="104"/>
      <c r="BX695" s="104"/>
    </row>
    <row r="696" spans="1:7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 s="104"/>
      <c r="BG696" s="104"/>
      <c r="BH696" s="104"/>
      <c r="BI696" s="104"/>
      <c r="BJ696" s="104"/>
      <c r="BK696" s="104"/>
      <c r="BL696" s="104"/>
      <c r="BM696" s="104"/>
      <c r="BN696" s="104"/>
      <c r="BO696" s="104"/>
      <c r="BP696" s="104"/>
      <c r="BQ696" s="104"/>
      <c r="BR696" s="104"/>
      <c r="BS696" s="104"/>
      <c r="BT696" s="104"/>
      <c r="BU696" s="104"/>
      <c r="BV696" s="104"/>
      <c r="BW696" s="104"/>
      <c r="BX696" s="104"/>
    </row>
    <row r="697" spans="1:7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 s="104"/>
      <c r="BG697" s="104"/>
      <c r="BH697" s="104"/>
      <c r="BI697" s="104"/>
      <c r="BJ697" s="104"/>
      <c r="BK697" s="104"/>
      <c r="BL697" s="104"/>
      <c r="BM697" s="104"/>
      <c r="BN697" s="104"/>
      <c r="BO697" s="104"/>
      <c r="BP697" s="104"/>
      <c r="BQ697" s="104"/>
      <c r="BR697" s="104"/>
      <c r="BS697" s="104"/>
      <c r="BT697" s="104"/>
      <c r="BU697" s="104"/>
      <c r="BV697" s="104"/>
      <c r="BW697" s="104"/>
      <c r="BX697" s="104"/>
    </row>
    <row r="698" spans="1:7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 s="104"/>
      <c r="BG698" s="104"/>
      <c r="BH698" s="104"/>
      <c r="BI698" s="104"/>
      <c r="BJ698" s="104"/>
      <c r="BK698" s="104"/>
      <c r="BL698" s="104"/>
      <c r="BM698" s="104"/>
      <c r="BN698" s="104"/>
      <c r="BO698" s="104"/>
      <c r="BP698" s="104"/>
      <c r="BQ698" s="104"/>
      <c r="BR698" s="104"/>
      <c r="BS698" s="104"/>
      <c r="BT698" s="104"/>
      <c r="BU698" s="104"/>
      <c r="BV698" s="104"/>
      <c r="BW698" s="104"/>
      <c r="BX698" s="104"/>
    </row>
    <row r="699" spans="1:7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 s="104"/>
      <c r="BG699" s="104"/>
      <c r="BH699" s="104"/>
      <c r="BI699" s="104"/>
      <c r="BJ699" s="104"/>
      <c r="BK699" s="104"/>
      <c r="BL699" s="104"/>
      <c r="BM699" s="104"/>
      <c r="BN699" s="104"/>
      <c r="BO699" s="104"/>
      <c r="BP699" s="104"/>
      <c r="BQ699" s="104"/>
      <c r="BR699" s="104"/>
      <c r="BS699" s="104"/>
      <c r="BT699" s="104"/>
      <c r="BU699" s="104"/>
      <c r="BV699" s="104"/>
      <c r="BW699" s="104"/>
      <c r="BX699" s="104"/>
    </row>
    <row r="700" spans="1:7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 s="104"/>
      <c r="BG700" s="104"/>
      <c r="BH700" s="104"/>
      <c r="BI700" s="104"/>
      <c r="BJ700" s="104"/>
      <c r="BK700" s="104"/>
      <c r="BL700" s="104"/>
      <c r="BM700" s="104"/>
      <c r="BN700" s="104"/>
      <c r="BO700" s="104"/>
      <c r="BP700" s="104"/>
      <c r="BQ700" s="104"/>
      <c r="BR700" s="104"/>
      <c r="BS700" s="104"/>
      <c r="BT700" s="104"/>
      <c r="BU700" s="104"/>
      <c r="BV700" s="104"/>
      <c r="BW700" s="104"/>
      <c r="BX700" s="104"/>
    </row>
    <row r="701" spans="1:7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 s="104"/>
      <c r="BG701" s="104"/>
      <c r="BH701" s="104"/>
      <c r="BI701" s="104"/>
      <c r="BJ701" s="104"/>
      <c r="BK701" s="104"/>
      <c r="BL701" s="104"/>
      <c r="BM701" s="104"/>
      <c r="BN701" s="104"/>
      <c r="BO701" s="104"/>
      <c r="BP701" s="104"/>
      <c r="BQ701" s="104"/>
      <c r="BR701" s="104"/>
      <c r="BS701" s="104"/>
      <c r="BT701" s="104"/>
      <c r="BU701" s="104"/>
      <c r="BV701" s="104"/>
      <c r="BW701" s="104"/>
      <c r="BX701" s="104"/>
    </row>
    <row r="702" spans="1:7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 s="104"/>
      <c r="BG702" s="104"/>
      <c r="BH702" s="104"/>
      <c r="BI702" s="104"/>
      <c r="BJ702" s="104"/>
      <c r="BK702" s="104"/>
      <c r="BL702" s="104"/>
      <c r="BM702" s="104"/>
      <c r="BN702" s="104"/>
      <c r="BO702" s="104"/>
      <c r="BP702" s="104"/>
      <c r="BQ702" s="104"/>
      <c r="BR702" s="104"/>
      <c r="BS702" s="104"/>
      <c r="BT702" s="104"/>
      <c r="BU702" s="104"/>
      <c r="BV702" s="104"/>
      <c r="BW702" s="104"/>
      <c r="BX702" s="104"/>
    </row>
    <row r="703" spans="1:7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 s="104"/>
      <c r="BG703" s="104"/>
      <c r="BH703" s="104"/>
      <c r="BI703" s="104"/>
      <c r="BJ703" s="104"/>
      <c r="BK703" s="104"/>
      <c r="BL703" s="104"/>
      <c r="BM703" s="104"/>
      <c r="BN703" s="104"/>
      <c r="BO703" s="104"/>
      <c r="BP703" s="104"/>
      <c r="BQ703" s="104"/>
      <c r="BR703" s="104"/>
      <c r="BS703" s="104"/>
      <c r="BT703" s="104"/>
      <c r="BU703" s="104"/>
      <c r="BV703" s="104"/>
      <c r="BW703" s="104"/>
      <c r="BX703" s="104"/>
    </row>
    <row r="704" spans="1:7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 s="104"/>
      <c r="BG704" s="104"/>
      <c r="BH704" s="104"/>
      <c r="BI704" s="104"/>
      <c r="BJ704" s="104"/>
      <c r="BK704" s="104"/>
      <c r="BL704" s="104"/>
      <c r="BM704" s="104"/>
      <c r="BN704" s="104"/>
      <c r="BO704" s="104"/>
      <c r="BP704" s="104"/>
      <c r="BQ704" s="104"/>
      <c r="BR704" s="104"/>
      <c r="BS704" s="104"/>
      <c r="BT704" s="104"/>
      <c r="BU704" s="104"/>
      <c r="BV704" s="104"/>
      <c r="BW704" s="104"/>
      <c r="BX704" s="104"/>
    </row>
    <row r="705" spans="1:7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 s="104"/>
      <c r="BG705" s="104"/>
      <c r="BH705" s="104"/>
      <c r="BI705" s="104"/>
      <c r="BJ705" s="104"/>
      <c r="BK705" s="104"/>
      <c r="BL705" s="104"/>
      <c r="BM705" s="104"/>
      <c r="BN705" s="104"/>
      <c r="BO705" s="104"/>
      <c r="BP705" s="104"/>
      <c r="BQ705" s="104"/>
      <c r="BR705" s="104"/>
      <c r="BS705" s="104"/>
      <c r="BT705" s="104"/>
      <c r="BU705" s="104"/>
      <c r="BV705" s="104"/>
      <c r="BW705" s="104"/>
      <c r="BX705" s="104"/>
    </row>
    <row r="706" spans="1:7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 s="104"/>
      <c r="BG706" s="104"/>
      <c r="BH706" s="104"/>
      <c r="BI706" s="104"/>
      <c r="BJ706" s="104"/>
      <c r="BK706" s="104"/>
      <c r="BL706" s="104"/>
      <c r="BM706" s="104"/>
      <c r="BN706" s="104"/>
      <c r="BO706" s="104"/>
      <c r="BP706" s="104"/>
      <c r="BQ706" s="104"/>
      <c r="BR706" s="104"/>
      <c r="BS706" s="104"/>
      <c r="BT706" s="104"/>
      <c r="BU706" s="104"/>
      <c r="BV706" s="104"/>
      <c r="BW706" s="104"/>
      <c r="BX706" s="104"/>
    </row>
    <row r="707" spans="1:7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 s="104"/>
      <c r="BG707" s="104"/>
      <c r="BH707" s="104"/>
      <c r="BI707" s="104"/>
      <c r="BJ707" s="104"/>
      <c r="BK707" s="104"/>
      <c r="BL707" s="104"/>
      <c r="BM707" s="104"/>
      <c r="BN707" s="104"/>
      <c r="BO707" s="104"/>
      <c r="BP707" s="104"/>
      <c r="BQ707" s="104"/>
      <c r="BR707" s="104"/>
      <c r="BS707" s="104"/>
      <c r="BT707" s="104"/>
      <c r="BU707" s="104"/>
      <c r="BV707" s="104"/>
      <c r="BW707" s="104"/>
      <c r="BX707" s="104"/>
    </row>
    <row r="708" spans="1:7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 s="104"/>
      <c r="BG708" s="104"/>
      <c r="BH708" s="104"/>
      <c r="BI708" s="104"/>
      <c r="BJ708" s="104"/>
      <c r="BK708" s="104"/>
      <c r="BL708" s="104"/>
      <c r="BM708" s="104"/>
      <c r="BN708" s="104"/>
      <c r="BO708" s="104"/>
      <c r="BP708" s="104"/>
      <c r="BQ708" s="104"/>
      <c r="BR708" s="104"/>
      <c r="BS708" s="104"/>
      <c r="BT708" s="104"/>
      <c r="BU708" s="104"/>
      <c r="BV708" s="104"/>
      <c r="BW708" s="104"/>
      <c r="BX708" s="104"/>
    </row>
    <row r="709" spans="1:7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 s="104"/>
      <c r="BG709" s="104"/>
      <c r="BH709" s="104"/>
      <c r="BI709" s="104"/>
      <c r="BJ709" s="104"/>
      <c r="BK709" s="104"/>
      <c r="BL709" s="104"/>
      <c r="BM709" s="104"/>
      <c r="BN709" s="104"/>
      <c r="BO709" s="104"/>
      <c r="BP709" s="104"/>
      <c r="BQ709" s="104"/>
      <c r="BR709" s="104"/>
      <c r="BS709" s="104"/>
      <c r="BT709" s="104"/>
      <c r="BU709" s="104"/>
      <c r="BV709" s="104"/>
      <c r="BW709" s="104"/>
      <c r="BX709" s="104"/>
    </row>
    <row r="710" spans="1:7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 s="104"/>
      <c r="BG710" s="104"/>
      <c r="BH710" s="104"/>
      <c r="BI710" s="104"/>
      <c r="BJ710" s="104"/>
      <c r="BK710" s="104"/>
      <c r="BL710" s="104"/>
      <c r="BM710" s="104"/>
      <c r="BN710" s="104"/>
      <c r="BO710" s="104"/>
      <c r="BP710" s="104"/>
      <c r="BQ710" s="104"/>
      <c r="BR710" s="104"/>
      <c r="BS710" s="104"/>
      <c r="BT710" s="104"/>
      <c r="BU710" s="104"/>
      <c r="BV710" s="104"/>
      <c r="BW710" s="104"/>
      <c r="BX710" s="104"/>
    </row>
    <row r="711" spans="1:7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 s="104"/>
      <c r="BG711" s="104"/>
      <c r="BH711" s="104"/>
      <c r="BI711" s="104"/>
      <c r="BJ711" s="104"/>
      <c r="BK711" s="104"/>
      <c r="BL711" s="104"/>
      <c r="BM711" s="104"/>
      <c r="BN711" s="104"/>
      <c r="BO711" s="104"/>
      <c r="BP711" s="104"/>
      <c r="BQ711" s="104"/>
      <c r="BR711" s="104"/>
      <c r="BS711" s="104"/>
      <c r="BT711" s="104"/>
      <c r="BU711" s="104"/>
      <c r="BV711" s="104"/>
      <c r="BW711" s="104"/>
      <c r="BX711" s="104"/>
    </row>
    <row r="712" spans="1:7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 s="104"/>
      <c r="BG712" s="104"/>
      <c r="BH712" s="104"/>
      <c r="BI712" s="104"/>
      <c r="BJ712" s="104"/>
      <c r="BK712" s="104"/>
      <c r="BL712" s="104"/>
      <c r="BM712" s="104"/>
      <c r="BN712" s="104"/>
      <c r="BO712" s="104"/>
      <c r="BP712" s="104"/>
      <c r="BQ712" s="104"/>
      <c r="BR712" s="104"/>
      <c r="BS712" s="104"/>
      <c r="BT712" s="104"/>
      <c r="BU712" s="104"/>
      <c r="BV712" s="104"/>
      <c r="BW712" s="104"/>
      <c r="BX712" s="104"/>
    </row>
    <row r="713" spans="1:7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 s="104"/>
      <c r="BG713" s="104"/>
      <c r="BH713" s="104"/>
      <c r="BI713" s="104"/>
      <c r="BJ713" s="104"/>
      <c r="BK713" s="104"/>
      <c r="BL713" s="104"/>
      <c r="BM713" s="104"/>
      <c r="BN713" s="104"/>
      <c r="BO713" s="104"/>
      <c r="BP713" s="104"/>
      <c r="BQ713" s="104"/>
      <c r="BR713" s="104"/>
      <c r="BS713" s="104"/>
      <c r="BT713" s="104"/>
      <c r="BU713" s="104"/>
      <c r="BV713" s="104"/>
      <c r="BW713" s="104"/>
      <c r="BX713" s="104"/>
    </row>
    <row r="714" spans="1:7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 s="104"/>
      <c r="BG714" s="104"/>
      <c r="BH714" s="104"/>
      <c r="BI714" s="104"/>
      <c r="BJ714" s="104"/>
      <c r="BK714" s="104"/>
      <c r="BL714" s="104"/>
      <c r="BM714" s="104"/>
      <c r="BN714" s="104"/>
      <c r="BO714" s="104"/>
      <c r="BP714" s="104"/>
      <c r="BQ714" s="104"/>
      <c r="BR714" s="104"/>
      <c r="BS714" s="104"/>
      <c r="BT714" s="104"/>
      <c r="BU714" s="104"/>
      <c r="BV714" s="104"/>
      <c r="BW714" s="104"/>
      <c r="BX714" s="104"/>
    </row>
    <row r="715" spans="1:7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 s="104"/>
      <c r="BG715" s="104"/>
      <c r="BH715" s="104"/>
      <c r="BI715" s="104"/>
      <c r="BJ715" s="104"/>
      <c r="BK715" s="104"/>
      <c r="BL715" s="104"/>
      <c r="BM715" s="104"/>
      <c r="BN715" s="104"/>
      <c r="BO715" s="104"/>
      <c r="BP715" s="104"/>
      <c r="BQ715" s="104"/>
      <c r="BR715" s="104"/>
      <c r="BS715" s="104"/>
      <c r="BT715" s="104"/>
      <c r="BU715" s="104"/>
      <c r="BV715" s="104"/>
      <c r="BW715" s="104"/>
      <c r="BX715" s="104"/>
    </row>
    <row r="716" spans="1:7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 s="104"/>
      <c r="BG716" s="104"/>
      <c r="BH716" s="104"/>
      <c r="BI716" s="104"/>
      <c r="BJ716" s="104"/>
      <c r="BK716" s="104"/>
      <c r="BL716" s="104"/>
      <c r="BM716" s="104"/>
      <c r="BN716" s="104"/>
      <c r="BO716" s="104"/>
      <c r="BP716" s="104"/>
      <c r="BQ716" s="104"/>
      <c r="BR716" s="104"/>
      <c r="BS716" s="104"/>
      <c r="BT716" s="104"/>
      <c r="BU716" s="104"/>
      <c r="BV716" s="104"/>
      <c r="BW716" s="104"/>
      <c r="BX716" s="104"/>
    </row>
    <row r="717" spans="1:7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 s="104"/>
      <c r="BG717" s="104"/>
      <c r="BH717" s="104"/>
      <c r="BI717" s="104"/>
      <c r="BJ717" s="104"/>
      <c r="BK717" s="104"/>
      <c r="BL717" s="104"/>
      <c r="BM717" s="104"/>
      <c r="BN717" s="104"/>
      <c r="BO717" s="104"/>
      <c r="BP717" s="104"/>
      <c r="BQ717" s="104"/>
      <c r="BR717" s="104"/>
      <c r="BS717" s="104"/>
      <c r="BT717" s="104"/>
      <c r="BU717" s="104"/>
      <c r="BV717" s="104"/>
      <c r="BW717" s="104"/>
      <c r="BX717" s="104"/>
    </row>
    <row r="718" spans="1:7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 s="104"/>
      <c r="BG718" s="104"/>
      <c r="BH718" s="104"/>
      <c r="BI718" s="104"/>
      <c r="BJ718" s="104"/>
      <c r="BK718" s="104"/>
      <c r="BL718" s="104"/>
      <c r="BM718" s="104"/>
      <c r="BN718" s="104"/>
      <c r="BO718" s="104"/>
      <c r="BP718" s="104"/>
      <c r="BQ718" s="104"/>
      <c r="BR718" s="104"/>
      <c r="BS718" s="104"/>
      <c r="BT718" s="104"/>
      <c r="BU718" s="104"/>
      <c r="BV718" s="104"/>
      <c r="BW718" s="104"/>
      <c r="BX718" s="104"/>
    </row>
    <row r="719" spans="1:7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 s="104"/>
      <c r="BG719" s="104"/>
      <c r="BH719" s="104"/>
      <c r="BI719" s="104"/>
      <c r="BJ719" s="104"/>
      <c r="BK719" s="104"/>
      <c r="BL719" s="104"/>
      <c r="BM719" s="104"/>
      <c r="BN719" s="104"/>
      <c r="BO719" s="104"/>
      <c r="BP719" s="104"/>
      <c r="BQ719" s="104"/>
      <c r="BR719" s="104"/>
      <c r="BS719" s="104"/>
      <c r="BT719" s="104"/>
      <c r="BU719" s="104"/>
      <c r="BV719" s="104"/>
      <c r="BW719" s="104"/>
      <c r="BX719" s="104"/>
    </row>
    <row r="720" spans="1:7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 s="104"/>
      <c r="BG720" s="104"/>
      <c r="BH720" s="104"/>
      <c r="BI720" s="104"/>
      <c r="BJ720" s="104"/>
      <c r="BK720" s="104"/>
      <c r="BL720" s="104"/>
      <c r="BM720" s="104"/>
      <c r="BN720" s="104"/>
      <c r="BO720" s="104"/>
      <c r="BP720" s="104"/>
      <c r="BQ720" s="104"/>
      <c r="BR720" s="104"/>
      <c r="BS720" s="104"/>
      <c r="BT720" s="104"/>
      <c r="BU720" s="104"/>
      <c r="BV720" s="104"/>
      <c r="BW720" s="104"/>
      <c r="BX720" s="104"/>
    </row>
    <row r="721" spans="1:7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 s="104"/>
      <c r="BG721" s="104"/>
      <c r="BH721" s="104"/>
      <c r="BI721" s="104"/>
      <c r="BJ721" s="104"/>
      <c r="BK721" s="104"/>
      <c r="BL721" s="104"/>
      <c r="BM721" s="104"/>
      <c r="BN721" s="104"/>
      <c r="BO721" s="104"/>
      <c r="BP721" s="104"/>
      <c r="BQ721" s="104"/>
      <c r="BR721" s="104"/>
      <c r="BS721" s="104"/>
      <c r="BT721" s="104"/>
      <c r="BU721" s="104"/>
      <c r="BV721" s="104"/>
      <c r="BW721" s="104"/>
      <c r="BX721" s="104"/>
    </row>
    <row r="722" spans="1:7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 s="104"/>
      <c r="BG722" s="104"/>
      <c r="BH722" s="104"/>
      <c r="BI722" s="104"/>
      <c r="BJ722" s="104"/>
      <c r="BK722" s="104"/>
      <c r="BL722" s="104"/>
      <c r="BM722" s="104"/>
      <c r="BN722" s="104"/>
      <c r="BO722" s="104"/>
      <c r="BP722" s="104"/>
      <c r="BQ722" s="104"/>
      <c r="BR722" s="104"/>
      <c r="BS722" s="104"/>
      <c r="BT722" s="104"/>
      <c r="BU722" s="104"/>
      <c r="BV722" s="104"/>
      <c r="BW722" s="104"/>
      <c r="BX722" s="104"/>
    </row>
    <row r="723" spans="1:7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 s="104"/>
      <c r="BG723" s="104"/>
      <c r="BH723" s="104"/>
      <c r="BI723" s="104"/>
      <c r="BJ723" s="104"/>
      <c r="BK723" s="104"/>
      <c r="BL723" s="104"/>
      <c r="BM723" s="104"/>
      <c r="BN723" s="104"/>
      <c r="BO723" s="104"/>
      <c r="BP723" s="104"/>
      <c r="BQ723" s="104"/>
      <c r="BR723" s="104"/>
      <c r="BS723" s="104"/>
      <c r="BT723" s="104"/>
      <c r="BU723" s="104"/>
      <c r="BV723" s="104"/>
      <c r="BW723" s="104"/>
      <c r="BX723" s="104"/>
    </row>
    <row r="724" spans="1:7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 s="104"/>
      <c r="BG724" s="104"/>
      <c r="BH724" s="104"/>
      <c r="BI724" s="104"/>
      <c r="BJ724" s="104"/>
      <c r="BK724" s="104"/>
      <c r="BL724" s="104"/>
      <c r="BM724" s="104"/>
      <c r="BN724" s="104"/>
      <c r="BO724" s="104"/>
      <c r="BP724" s="104"/>
      <c r="BQ724" s="104"/>
      <c r="BR724" s="104"/>
      <c r="BS724" s="104"/>
      <c r="BT724" s="104"/>
      <c r="BU724" s="104"/>
      <c r="BV724" s="104"/>
      <c r="BW724" s="104"/>
      <c r="BX724" s="104"/>
    </row>
    <row r="725" spans="1:7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 s="104"/>
      <c r="BG725" s="104"/>
      <c r="BH725" s="104"/>
      <c r="BI725" s="104"/>
      <c r="BJ725" s="104"/>
      <c r="BK725" s="104"/>
      <c r="BL725" s="104"/>
      <c r="BM725" s="104"/>
      <c r="BN725" s="104"/>
      <c r="BO725" s="104"/>
      <c r="BP725" s="104"/>
      <c r="BQ725" s="104"/>
      <c r="BR725" s="104"/>
      <c r="BS725" s="104"/>
      <c r="BT725" s="104"/>
      <c r="BU725" s="104"/>
      <c r="BV725" s="104"/>
      <c r="BW725" s="104"/>
      <c r="BX725" s="104"/>
    </row>
    <row r="726" spans="1:7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 s="104"/>
      <c r="BG726" s="104"/>
      <c r="BH726" s="104"/>
      <c r="BI726" s="104"/>
      <c r="BJ726" s="104"/>
      <c r="BK726" s="104"/>
      <c r="BL726" s="104"/>
      <c r="BM726" s="104"/>
      <c r="BN726" s="104"/>
      <c r="BO726" s="104"/>
      <c r="BP726" s="104"/>
      <c r="BQ726" s="104"/>
      <c r="BR726" s="104"/>
      <c r="BS726" s="104"/>
      <c r="BT726" s="104"/>
      <c r="BU726" s="104"/>
      <c r="BV726" s="104"/>
      <c r="BW726" s="104"/>
      <c r="BX726" s="104"/>
    </row>
    <row r="727" spans="1:7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 s="104"/>
      <c r="BG727" s="104"/>
      <c r="BH727" s="104"/>
      <c r="BI727" s="104"/>
      <c r="BJ727" s="104"/>
      <c r="BK727" s="104"/>
      <c r="BL727" s="104"/>
      <c r="BM727" s="104"/>
      <c r="BN727" s="104"/>
      <c r="BO727" s="104"/>
      <c r="BP727" s="104"/>
      <c r="BQ727" s="104"/>
      <c r="BR727" s="104"/>
      <c r="BS727" s="104"/>
      <c r="BT727" s="104"/>
      <c r="BU727" s="104"/>
      <c r="BV727" s="104"/>
      <c r="BW727" s="104"/>
      <c r="BX727" s="104"/>
    </row>
    <row r="728" spans="1:7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 s="104"/>
      <c r="BG728" s="104"/>
      <c r="BH728" s="104"/>
      <c r="BI728" s="104"/>
      <c r="BJ728" s="104"/>
      <c r="BK728" s="104"/>
      <c r="BL728" s="104"/>
      <c r="BM728" s="104"/>
      <c r="BN728" s="104"/>
      <c r="BO728" s="104"/>
      <c r="BP728" s="104"/>
      <c r="BQ728" s="104"/>
      <c r="BR728" s="104"/>
      <c r="BS728" s="104"/>
      <c r="BT728" s="104"/>
      <c r="BU728" s="104"/>
      <c r="BV728" s="104"/>
      <c r="BW728" s="104"/>
      <c r="BX728" s="104"/>
    </row>
    <row r="729" spans="1:7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 s="104"/>
      <c r="BG729" s="104"/>
      <c r="BH729" s="104"/>
      <c r="BI729" s="104"/>
      <c r="BJ729" s="104"/>
      <c r="BK729" s="104"/>
      <c r="BL729" s="104"/>
      <c r="BM729" s="104"/>
      <c r="BN729" s="104"/>
      <c r="BO729" s="104"/>
      <c r="BP729" s="104"/>
      <c r="BQ729" s="104"/>
      <c r="BR729" s="104"/>
      <c r="BS729" s="104"/>
      <c r="BT729" s="104"/>
      <c r="BU729" s="104"/>
      <c r="BV729" s="104"/>
      <c r="BW729" s="104"/>
      <c r="BX729" s="104"/>
    </row>
    <row r="730" spans="1:7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 s="104"/>
      <c r="BG730" s="104"/>
      <c r="BH730" s="104"/>
      <c r="BI730" s="104"/>
      <c r="BJ730" s="104"/>
      <c r="BK730" s="104"/>
      <c r="BL730" s="104"/>
      <c r="BM730" s="104"/>
      <c r="BN730" s="104"/>
      <c r="BO730" s="104"/>
      <c r="BP730" s="104"/>
      <c r="BQ730" s="104"/>
      <c r="BR730" s="104"/>
      <c r="BS730" s="104"/>
      <c r="BT730" s="104"/>
      <c r="BU730" s="104"/>
      <c r="BV730" s="104"/>
      <c r="BW730" s="104"/>
      <c r="BX730" s="104"/>
    </row>
    <row r="731" spans="1:7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 s="104"/>
      <c r="BG731" s="104"/>
      <c r="BH731" s="104"/>
      <c r="BI731" s="104"/>
      <c r="BJ731" s="104"/>
      <c r="BK731" s="104"/>
      <c r="BL731" s="104"/>
      <c r="BM731" s="104"/>
      <c r="BN731" s="104"/>
      <c r="BO731" s="104"/>
      <c r="BP731" s="104"/>
      <c r="BQ731" s="104"/>
      <c r="BR731" s="104"/>
      <c r="BS731" s="104"/>
      <c r="BT731" s="104"/>
      <c r="BU731" s="104"/>
      <c r="BV731" s="104"/>
      <c r="BW731" s="104"/>
      <c r="BX731" s="104"/>
    </row>
    <row r="732" spans="1:7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 s="104"/>
      <c r="BG732" s="104"/>
      <c r="BH732" s="104"/>
      <c r="BI732" s="104"/>
      <c r="BJ732" s="104"/>
      <c r="BK732" s="104"/>
      <c r="BL732" s="104"/>
      <c r="BM732" s="104"/>
      <c r="BN732" s="104"/>
      <c r="BO732" s="104"/>
      <c r="BP732" s="104"/>
      <c r="BQ732" s="104"/>
      <c r="BR732" s="104"/>
      <c r="BS732" s="104"/>
      <c r="BT732" s="104"/>
      <c r="BU732" s="104"/>
      <c r="BV732" s="104"/>
      <c r="BW732" s="104"/>
      <c r="BX732" s="104"/>
    </row>
    <row r="733" spans="1:7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 s="104"/>
      <c r="BG733" s="104"/>
      <c r="BH733" s="104"/>
      <c r="BI733" s="104"/>
      <c r="BJ733" s="104"/>
      <c r="BK733" s="104"/>
      <c r="BL733" s="104"/>
      <c r="BM733" s="104"/>
      <c r="BN733" s="104"/>
      <c r="BO733" s="104"/>
      <c r="BP733" s="104"/>
      <c r="BQ733" s="104"/>
      <c r="BR733" s="104"/>
      <c r="BS733" s="104"/>
      <c r="BT733" s="104"/>
      <c r="BU733" s="104"/>
      <c r="BV733" s="104"/>
      <c r="BW733" s="104"/>
      <c r="BX733" s="104"/>
    </row>
    <row r="734" spans="1:7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 s="104"/>
      <c r="BG734" s="104"/>
      <c r="BH734" s="104"/>
      <c r="BI734" s="104"/>
      <c r="BJ734" s="104"/>
      <c r="BK734" s="104"/>
      <c r="BL734" s="104"/>
      <c r="BM734" s="104"/>
      <c r="BN734" s="104"/>
      <c r="BO734" s="104"/>
      <c r="BP734" s="104"/>
      <c r="BQ734" s="104"/>
      <c r="BR734" s="104"/>
      <c r="BS734" s="104"/>
      <c r="BT734" s="104"/>
      <c r="BU734" s="104"/>
      <c r="BV734" s="104"/>
      <c r="BW734" s="104"/>
      <c r="BX734" s="104"/>
    </row>
    <row r="735" spans="1:7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 s="104"/>
      <c r="BG735" s="104"/>
      <c r="BH735" s="104"/>
      <c r="BI735" s="104"/>
      <c r="BJ735" s="104"/>
      <c r="BK735" s="104"/>
      <c r="BL735" s="104"/>
      <c r="BM735" s="104"/>
      <c r="BN735" s="104"/>
      <c r="BO735" s="104"/>
      <c r="BP735" s="104"/>
      <c r="BQ735" s="104"/>
      <c r="BR735" s="104"/>
      <c r="BS735" s="104"/>
      <c r="BT735" s="104"/>
      <c r="BU735" s="104"/>
      <c r="BV735" s="104"/>
      <c r="BW735" s="104"/>
      <c r="BX735" s="104"/>
    </row>
    <row r="736" spans="1:7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 s="104"/>
      <c r="BG736" s="104"/>
      <c r="BH736" s="104"/>
      <c r="BI736" s="104"/>
      <c r="BJ736" s="104"/>
      <c r="BK736" s="104"/>
      <c r="BL736" s="104"/>
      <c r="BM736" s="104"/>
      <c r="BN736" s="104"/>
      <c r="BO736" s="104"/>
      <c r="BP736" s="104"/>
      <c r="BQ736" s="104"/>
      <c r="BR736" s="104"/>
      <c r="BS736" s="104"/>
      <c r="BT736" s="104"/>
      <c r="BU736" s="104"/>
      <c r="BV736" s="104"/>
      <c r="BW736" s="104"/>
      <c r="BX736" s="104"/>
    </row>
    <row r="737" spans="1:7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 s="104"/>
      <c r="BG737" s="104"/>
      <c r="BH737" s="104"/>
      <c r="BI737" s="104"/>
      <c r="BJ737" s="104"/>
      <c r="BK737" s="104"/>
      <c r="BL737" s="104"/>
      <c r="BM737" s="104"/>
      <c r="BN737" s="104"/>
      <c r="BO737" s="104"/>
      <c r="BP737" s="104"/>
      <c r="BQ737" s="104"/>
      <c r="BR737" s="104"/>
      <c r="BS737" s="104"/>
      <c r="BT737" s="104"/>
      <c r="BU737" s="104"/>
      <c r="BV737" s="104"/>
      <c r="BW737" s="104"/>
      <c r="BX737" s="104"/>
    </row>
    <row r="738" spans="1:7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 s="104"/>
      <c r="BG738" s="104"/>
      <c r="BH738" s="104"/>
      <c r="BI738" s="104"/>
      <c r="BJ738" s="104"/>
      <c r="BK738" s="104"/>
      <c r="BL738" s="104"/>
      <c r="BM738" s="104"/>
      <c r="BN738" s="104"/>
      <c r="BO738" s="104"/>
      <c r="BP738" s="104"/>
      <c r="BQ738" s="104"/>
      <c r="BR738" s="104"/>
      <c r="BS738" s="104"/>
      <c r="BT738" s="104"/>
      <c r="BU738" s="104"/>
      <c r="BV738" s="104"/>
      <c r="BW738" s="104"/>
      <c r="BX738" s="104"/>
    </row>
    <row r="739" spans="1:7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 s="104"/>
      <c r="BG739" s="104"/>
      <c r="BH739" s="104"/>
      <c r="BI739" s="104"/>
      <c r="BJ739" s="104"/>
      <c r="BK739" s="104"/>
      <c r="BL739" s="104"/>
      <c r="BM739" s="104"/>
      <c r="BN739" s="104"/>
      <c r="BO739" s="104"/>
      <c r="BP739" s="104"/>
      <c r="BQ739" s="104"/>
      <c r="BR739" s="104"/>
      <c r="BS739" s="104"/>
      <c r="BT739" s="104"/>
      <c r="BU739" s="104"/>
      <c r="BV739" s="104"/>
      <c r="BW739" s="104"/>
      <c r="BX739" s="104"/>
    </row>
    <row r="740" spans="1:7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 s="104"/>
      <c r="BG740" s="104"/>
      <c r="BH740" s="104"/>
      <c r="BI740" s="104"/>
      <c r="BJ740" s="104"/>
      <c r="BK740" s="104"/>
      <c r="BL740" s="104"/>
      <c r="BM740" s="104"/>
      <c r="BN740" s="104"/>
      <c r="BO740" s="104"/>
      <c r="BP740" s="104"/>
      <c r="BQ740" s="104"/>
      <c r="BR740" s="104"/>
      <c r="BS740" s="104"/>
      <c r="BT740" s="104"/>
      <c r="BU740" s="104"/>
      <c r="BV740" s="104"/>
      <c r="BW740" s="104"/>
      <c r="BX740" s="104"/>
    </row>
    <row r="741" spans="1:7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 s="104"/>
      <c r="BG741" s="104"/>
      <c r="BH741" s="104"/>
      <c r="BI741" s="104"/>
      <c r="BJ741" s="104"/>
      <c r="BK741" s="104"/>
      <c r="BL741" s="104"/>
      <c r="BM741" s="104"/>
      <c r="BN741" s="104"/>
      <c r="BO741" s="104"/>
      <c r="BP741" s="104"/>
      <c r="BQ741" s="104"/>
      <c r="BR741" s="104"/>
      <c r="BS741" s="104"/>
      <c r="BT741" s="104"/>
      <c r="BU741" s="104"/>
      <c r="BV741" s="104"/>
      <c r="BW741" s="104"/>
      <c r="BX741" s="104"/>
    </row>
    <row r="742" spans="1:7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 s="104"/>
      <c r="BG742" s="104"/>
      <c r="BH742" s="104"/>
      <c r="BI742" s="104"/>
      <c r="BJ742" s="104"/>
      <c r="BK742" s="104"/>
      <c r="BL742" s="104"/>
      <c r="BM742" s="104"/>
      <c r="BN742" s="104"/>
      <c r="BO742" s="104"/>
      <c r="BP742" s="104"/>
      <c r="BQ742" s="104"/>
      <c r="BR742" s="104"/>
      <c r="BS742" s="104"/>
      <c r="BT742" s="104"/>
      <c r="BU742" s="104"/>
      <c r="BV742" s="104"/>
      <c r="BW742" s="104"/>
      <c r="BX742" s="104"/>
    </row>
    <row r="743" spans="1:7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 s="104"/>
      <c r="BG743" s="104"/>
      <c r="BH743" s="104"/>
      <c r="BI743" s="104"/>
      <c r="BJ743" s="104"/>
      <c r="BK743" s="104"/>
      <c r="BL743" s="104"/>
      <c r="BM743" s="104"/>
      <c r="BN743" s="104"/>
      <c r="BO743" s="104"/>
      <c r="BP743" s="104"/>
      <c r="BQ743" s="104"/>
      <c r="BR743" s="104"/>
      <c r="BS743" s="104"/>
      <c r="BT743" s="104"/>
      <c r="BU743" s="104"/>
      <c r="BV743" s="104"/>
      <c r="BW743" s="104"/>
      <c r="BX743" s="104"/>
    </row>
    <row r="744" spans="1:7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 s="104"/>
      <c r="BG744" s="104"/>
      <c r="BH744" s="104"/>
      <c r="BI744" s="104"/>
      <c r="BJ744" s="104"/>
      <c r="BK744" s="104"/>
      <c r="BL744" s="104"/>
      <c r="BM744" s="104"/>
      <c r="BN744" s="104"/>
      <c r="BO744" s="104"/>
      <c r="BP744" s="104"/>
      <c r="BQ744" s="104"/>
      <c r="BR744" s="104"/>
      <c r="BS744" s="104"/>
      <c r="BT744" s="104"/>
      <c r="BU744" s="104"/>
      <c r="BV744" s="104"/>
      <c r="BW744" s="104"/>
      <c r="BX744" s="104"/>
    </row>
    <row r="745" spans="1:7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 s="104"/>
      <c r="BG745" s="104"/>
      <c r="BH745" s="104"/>
      <c r="BI745" s="104"/>
      <c r="BJ745" s="104"/>
      <c r="BK745" s="104"/>
      <c r="BL745" s="104"/>
      <c r="BM745" s="104"/>
      <c r="BN745" s="104"/>
      <c r="BO745" s="104"/>
      <c r="BP745" s="104"/>
      <c r="BQ745" s="104"/>
      <c r="BR745" s="104"/>
      <c r="BS745" s="104"/>
      <c r="BT745" s="104"/>
      <c r="BU745" s="104"/>
      <c r="BV745" s="104"/>
      <c r="BW745" s="104"/>
      <c r="BX745" s="104"/>
    </row>
    <row r="746" spans="1:7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 s="104"/>
      <c r="BG746" s="104"/>
      <c r="BH746" s="104"/>
      <c r="BI746" s="104"/>
      <c r="BJ746" s="104"/>
      <c r="BK746" s="104"/>
      <c r="BL746" s="104"/>
      <c r="BM746" s="104"/>
      <c r="BN746" s="104"/>
      <c r="BO746" s="104"/>
      <c r="BP746" s="104"/>
      <c r="BQ746" s="104"/>
      <c r="BR746" s="104"/>
      <c r="BS746" s="104"/>
      <c r="BT746" s="104"/>
      <c r="BU746" s="104"/>
      <c r="BV746" s="104"/>
      <c r="BW746" s="104"/>
      <c r="BX746" s="104"/>
    </row>
    <row r="747" spans="1:7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 s="104"/>
      <c r="BG747" s="104"/>
      <c r="BH747" s="104"/>
      <c r="BI747" s="104"/>
      <c r="BJ747" s="104"/>
      <c r="BK747" s="104"/>
      <c r="BL747" s="104"/>
      <c r="BM747" s="104"/>
      <c r="BN747" s="104"/>
      <c r="BO747" s="104"/>
      <c r="BP747" s="104"/>
      <c r="BQ747" s="104"/>
      <c r="BR747" s="104"/>
      <c r="BS747" s="104"/>
      <c r="BT747" s="104"/>
      <c r="BU747" s="104"/>
      <c r="BV747" s="104"/>
      <c r="BW747" s="104"/>
      <c r="BX747" s="104"/>
    </row>
    <row r="748" spans="1:7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 s="104"/>
      <c r="BG748" s="104"/>
      <c r="BH748" s="104"/>
      <c r="BI748" s="104"/>
      <c r="BJ748" s="104"/>
      <c r="BK748" s="104"/>
      <c r="BL748" s="104"/>
      <c r="BM748" s="104"/>
      <c r="BN748" s="104"/>
      <c r="BO748" s="104"/>
      <c r="BP748" s="104"/>
      <c r="BQ748" s="104"/>
      <c r="BR748" s="104"/>
      <c r="BS748" s="104"/>
      <c r="BT748" s="104"/>
      <c r="BU748" s="104"/>
      <c r="BV748" s="104"/>
      <c r="BW748" s="104"/>
      <c r="BX748" s="104"/>
    </row>
    <row r="749" spans="1:7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 s="104"/>
      <c r="BG749" s="104"/>
      <c r="BH749" s="104"/>
      <c r="BI749" s="104"/>
      <c r="BJ749" s="104"/>
      <c r="BK749" s="104"/>
      <c r="BL749" s="104"/>
      <c r="BM749" s="104"/>
      <c r="BN749" s="104"/>
      <c r="BO749" s="104"/>
      <c r="BP749" s="104"/>
      <c r="BQ749" s="104"/>
      <c r="BR749" s="104"/>
      <c r="BS749" s="104"/>
      <c r="BT749" s="104"/>
      <c r="BU749" s="104"/>
      <c r="BV749" s="104"/>
      <c r="BW749" s="104"/>
      <c r="BX749" s="104"/>
    </row>
    <row r="750" spans="1:7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 s="104"/>
      <c r="BG750" s="104"/>
      <c r="BH750" s="104"/>
      <c r="BI750" s="104"/>
      <c r="BJ750" s="104"/>
      <c r="BK750" s="104"/>
      <c r="BL750" s="104"/>
      <c r="BM750" s="104"/>
      <c r="BN750" s="104"/>
      <c r="BO750" s="104"/>
      <c r="BP750" s="104"/>
      <c r="BQ750" s="104"/>
      <c r="BR750" s="104"/>
      <c r="BS750" s="104"/>
      <c r="BT750" s="104"/>
      <c r="BU750" s="104"/>
      <c r="BV750" s="104"/>
      <c r="BW750" s="104"/>
      <c r="BX750" s="104"/>
    </row>
    <row r="751" spans="1:7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 s="104"/>
      <c r="BG751" s="104"/>
      <c r="BH751" s="104"/>
      <c r="BI751" s="104"/>
      <c r="BJ751" s="104"/>
      <c r="BK751" s="104"/>
      <c r="BL751" s="104"/>
      <c r="BM751" s="104"/>
      <c r="BN751" s="104"/>
      <c r="BO751" s="104"/>
      <c r="BP751" s="104"/>
      <c r="BQ751" s="104"/>
      <c r="BR751" s="104"/>
      <c r="BS751" s="104"/>
      <c r="BT751" s="104"/>
      <c r="BU751" s="104"/>
      <c r="BV751" s="104"/>
      <c r="BW751" s="104"/>
      <c r="BX751" s="104"/>
    </row>
    <row r="752" spans="1:7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 s="104"/>
      <c r="BG752" s="104"/>
      <c r="BH752" s="104"/>
      <c r="BI752" s="104"/>
      <c r="BJ752" s="104"/>
      <c r="BK752" s="104"/>
      <c r="BL752" s="104"/>
      <c r="BM752" s="104"/>
      <c r="BN752" s="104"/>
      <c r="BO752" s="104"/>
      <c r="BP752" s="104"/>
      <c r="BQ752" s="104"/>
      <c r="BR752" s="104"/>
      <c r="BS752" s="104"/>
      <c r="BT752" s="104"/>
      <c r="BU752" s="104"/>
      <c r="BV752" s="104"/>
      <c r="BW752" s="104"/>
      <c r="BX752" s="104"/>
    </row>
    <row r="753" spans="1:7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 s="104"/>
      <c r="BG753" s="104"/>
      <c r="BH753" s="104"/>
      <c r="BI753" s="104"/>
      <c r="BJ753" s="104"/>
      <c r="BK753" s="104"/>
      <c r="BL753" s="104"/>
      <c r="BM753" s="104"/>
      <c r="BN753" s="104"/>
      <c r="BO753" s="104"/>
      <c r="BP753" s="104"/>
      <c r="BQ753" s="104"/>
      <c r="BR753" s="104"/>
      <c r="BS753" s="104"/>
      <c r="BT753" s="104"/>
      <c r="BU753" s="104"/>
      <c r="BV753" s="104"/>
      <c r="BW753" s="104"/>
      <c r="BX753" s="104"/>
    </row>
    <row r="754" spans="1:7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 s="104"/>
      <c r="BG754" s="104"/>
      <c r="BH754" s="104"/>
      <c r="BI754" s="104"/>
      <c r="BJ754" s="104"/>
      <c r="BK754" s="104"/>
      <c r="BL754" s="104"/>
      <c r="BM754" s="104"/>
      <c r="BN754" s="104"/>
      <c r="BO754" s="104"/>
      <c r="BP754" s="104"/>
      <c r="BQ754" s="104"/>
      <c r="BR754" s="104"/>
      <c r="BS754" s="104"/>
      <c r="BT754" s="104"/>
      <c r="BU754" s="104"/>
      <c r="BV754" s="104"/>
      <c r="BW754" s="104"/>
      <c r="BX754" s="104"/>
    </row>
    <row r="755" spans="1:7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 s="104"/>
      <c r="BG755" s="104"/>
      <c r="BH755" s="104"/>
      <c r="BI755" s="104"/>
      <c r="BJ755" s="104"/>
      <c r="BK755" s="104"/>
      <c r="BL755" s="104"/>
      <c r="BM755" s="104"/>
      <c r="BN755" s="104"/>
      <c r="BO755" s="104"/>
      <c r="BP755" s="104"/>
      <c r="BQ755" s="104"/>
      <c r="BR755" s="104"/>
      <c r="BS755" s="104"/>
      <c r="BT755" s="104"/>
      <c r="BU755" s="104"/>
      <c r="BV755" s="104"/>
      <c r="BW755" s="104"/>
      <c r="BX755" s="104"/>
    </row>
    <row r="756" spans="1:7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 s="104"/>
      <c r="BG756" s="104"/>
      <c r="BH756" s="104"/>
      <c r="BI756" s="104"/>
      <c r="BJ756" s="104"/>
      <c r="BK756" s="104"/>
      <c r="BL756" s="104"/>
      <c r="BM756" s="104"/>
      <c r="BN756" s="104"/>
      <c r="BO756" s="104"/>
      <c r="BP756" s="104"/>
      <c r="BQ756" s="104"/>
      <c r="BR756" s="104"/>
      <c r="BS756" s="104"/>
      <c r="BT756" s="104"/>
      <c r="BU756" s="104"/>
      <c r="BV756" s="104"/>
      <c r="BW756" s="104"/>
      <c r="BX756" s="104"/>
    </row>
    <row r="757" spans="1:7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 s="104"/>
      <c r="BG757" s="104"/>
      <c r="BH757" s="104"/>
      <c r="BI757" s="104"/>
      <c r="BJ757" s="104"/>
      <c r="BK757" s="104"/>
      <c r="BL757" s="104"/>
      <c r="BM757" s="104"/>
      <c r="BN757" s="104"/>
      <c r="BO757" s="104"/>
      <c r="BP757" s="104"/>
      <c r="BQ757" s="104"/>
      <c r="BR757" s="104"/>
      <c r="BS757" s="104"/>
      <c r="BT757" s="104"/>
      <c r="BU757" s="104"/>
      <c r="BV757" s="104"/>
      <c r="BW757" s="104"/>
      <c r="BX757" s="104"/>
    </row>
    <row r="758" spans="1:7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 s="104"/>
      <c r="BG758" s="104"/>
      <c r="BH758" s="104"/>
      <c r="BI758" s="104"/>
      <c r="BJ758" s="104"/>
      <c r="BK758" s="104"/>
      <c r="BL758" s="104"/>
      <c r="BM758" s="104"/>
      <c r="BN758" s="104"/>
      <c r="BO758" s="104"/>
      <c r="BP758" s="104"/>
      <c r="BQ758" s="104"/>
      <c r="BR758" s="104"/>
      <c r="BS758" s="104"/>
      <c r="BT758" s="104"/>
      <c r="BU758" s="104"/>
      <c r="BV758" s="104"/>
      <c r="BW758" s="104"/>
      <c r="BX758" s="104"/>
    </row>
    <row r="759" spans="1:7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 s="104"/>
      <c r="BG759" s="104"/>
      <c r="BH759" s="104"/>
      <c r="BI759" s="104"/>
      <c r="BJ759" s="104"/>
      <c r="BK759" s="104"/>
      <c r="BL759" s="104"/>
      <c r="BM759" s="104"/>
      <c r="BN759" s="104"/>
      <c r="BO759" s="104"/>
      <c r="BP759" s="104"/>
      <c r="BQ759" s="104"/>
      <c r="BR759" s="104"/>
      <c r="BS759" s="104"/>
      <c r="BT759" s="104"/>
      <c r="BU759" s="104"/>
      <c r="BV759" s="104"/>
      <c r="BW759" s="104"/>
      <c r="BX759" s="104"/>
    </row>
    <row r="760" spans="1:7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 s="104"/>
      <c r="BG760" s="104"/>
      <c r="BH760" s="104"/>
      <c r="BI760" s="104"/>
      <c r="BJ760" s="104"/>
      <c r="BK760" s="104"/>
      <c r="BL760" s="104"/>
      <c r="BM760" s="104"/>
      <c r="BN760" s="104"/>
      <c r="BO760" s="104"/>
      <c r="BP760" s="104"/>
      <c r="BQ760" s="104"/>
      <c r="BR760" s="104"/>
      <c r="BS760" s="104"/>
      <c r="BT760" s="104"/>
      <c r="BU760" s="104"/>
      <c r="BV760" s="104"/>
      <c r="BW760" s="104"/>
      <c r="BX760" s="104"/>
    </row>
    <row r="761" spans="1:7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 s="104"/>
      <c r="BG761" s="104"/>
      <c r="BH761" s="104"/>
      <c r="BI761" s="104"/>
      <c r="BJ761" s="104"/>
      <c r="BK761" s="104"/>
      <c r="BL761" s="104"/>
      <c r="BM761" s="104"/>
      <c r="BN761" s="104"/>
      <c r="BO761" s="104"/>
      <c r="BP761" s="104"/>
      <c r="BQ761" s="104"/>
      <c r="BR761" s="104"/>
      <c r="BS761" s="104"/>
      <c r="BT761" s="104"/>
      <c r="BU761" s="104"/>
      <c r="BV761" s="104"/>
      <c r="BW761" s="104"/>
      <c r="BX761" s="104"/>
    </row>
    <row r="762" spans="1:7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 s="104"/>
      <c r="BG762" s="104"/>
      <c r="BH762" s="104"/>
      <c r="BI762" s="104"/>
      <c r="BJ762" s="104"/>
      <c r="BK762" s="104"/>
      <c r="BL762" s="104"/>
      <c r="BM762" s="104"/>
      <c r="BN762" s="104"/>
      <c r="BO762" s="104"/>
      <c r="BP762" s="104"/>
      <c r="BQ762" s="104"/>
      <c r="BR762" s="104"/>
      <c r="BS762" s="104"/>
      <c r="BT762" s="104"/>
      <c r="BU762" s="104"/>
      <c r="BV762" s="104"/>
      <c r="BW762" s="104"/>
      <c r="BX762" s="104"/>
    </row>
    <row r="763" spans="1:7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 s="104"/>
      <c r="BG763" s="104"/>
      <c r="BH763" s="104"/>
      <c r="BI763" s="104"/>
      <c r="BJ763" s="104"/>
      <c r="BK763" s="104"/>
      <c r="BL763" s="104"/>
      <c r="BM763" s="104"/>
      <c r="BN763" s="104"/>
      <c r="BO763" s="104"/>
      <c r="BP763" s="104"/>
      <c r="BQ763" s="104"/>
      <c r="BR763" s="104"/>
      <c r="BS763" s="104"/>
      <c r="BT763" s="104"/>
      <c r="BU763" s="104"/>
      <c r="BV763" s="104"/>
      <c r="BW763" s="104"/>
      <c r="BX763" s="104"/>
    </row>
    <row r="764" spans="1:7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 s="104"/>
      <c r="BG764" s="104"/>
      <c r="BH764" s="104"/>
      <c r="BI764" s="104"/>
      <c r="BJ764" s="104"/>
      <c r="BK764" s="104"/>
      <c r="BL764" s="104"/>
      <c r="BM764" s="104"/>
      <c r="BN764" s="104"/>
      <c r="BO764" s="104"/>
      <c r="BP764" s="104"/>
      <c r="BQ764" s="104"/>
      <c r="BR764" s="104"/>
      <c r="BS764" s="104"/>
      <c r="BT764" s="104"/>
      <c r="BU764" s="104"/>
      <c r="BV764" s="104"/>
      <c r="BW764" s="104"/>
      <c r="BX764" s="104"/>
    </row>
    <row r="765" spans="1:7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 s="104"/>
      <c r="BG765" s="104"/>
      <c r="BH765" s="104"/>
      <c r="BI765" s="104"/>
      <c r="BJ765" s="104"/>
      <c r="BK765" s="104"/>
      <c r="BL765" s="104"/>
      <c r="BM765" s="104"/>
      <c r="BN765" s="104"/>
      <c r="BO765" s="104"/>
      <c r="BP765" s="104"/>
      <c r="BQ765" s="104"/>
      <c r="BR765" s="104"/>
      <c r="BS765" s="104"/>
      <c r="BT765" s="104"/>
      <c r="BU765" s="104"/>
      <c r="BV765" s="104"/>
      <c r="BW765" s="104"/>
      <c r="BX765" s="104"/>
    </row>
    <row r="766" spans="1:7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 s="104"/>
      <c r="BG766" s="104"/>
      <c r="BH766" s="104"/>
      <c r="BI766" s="104"/>
      <c r="BJ766" s="104"/>
      <c r="BK766" s="104"/>
      <c r="BL766" s="104"/>
      <c r="BM766" s="104"/>
      <c r="BN766" s="104"/>
      <c r="BO766" s="104"/>
      <c r="BP766" s="104"/>
      <c r="BQ766" s="104"/>
      <c r="BR766" s="104"/>
      <c r="BS766" s="104"/>
      <c r="BT766" s="104"/>
      <c r="BU766" s="104"/>
      <c r="BV766" s="104"/>
      <c r="BW766" s="104"/>
      <c r="BX766" s="104"/>
    </row>
    <row r="767" spans="1:7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 s="104"/>
      <c r="BG767" s="104"/>
      <c r="BH767" s="104"/>
      <c r="BI767" s="104"/>
      <c r="BJ767" s="104"/>
      <c r="BK767" s="104"/>
      <c r="BL767" s="104"/>
      <c r="BM767" s="104"/>
      <c r="BN767" s="104"/>
      <c r="BO767" s="104"/>
      <c r="BP767" s="104"/>
      <c r="BQ767" s="104"/>
      <c r="BR767" s="104"/>
      <c r="BS767" s="104"/>
      <c r="BT767" s="104"/>
      <c r="BU767" s="104"/>
      <c r="BV767" s="104"/>
      <c r="BW767" s="104"/>
      <c r="BX767" s="104"/>
    </row>
    <row r="768" spans="1:7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 s="104"/>
      <c r="BG768" s="104"/>
      <c r="BH768" s="104"/>
      <c r="BI768" s="104"/>
      <c r="BJ768" s="104"/>
      <c r="BK768" s="104"/>
      <c r="BL768" s="104"/>
      <c r="BM768" s="104"/>
      <c r="BN768" s="104"/>
      <c r="BO768" s="104"/>
      <c r="BP768" s="104"/>
      <c r="BQ768" s="104"/>
      <c r="BR768" s="104"/>
      <c r="BS768" s="104"/>
      <c r="BT768" s="104"/>
      <c r="BU768" s="104"/>
      <c r="BV768" s="104"/>
      <c r="BW768" s="104"/>
      <c r="BX768" s="104"/>
    </row>
    <row r="769" spans="1:7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 s="104"/>
      <c r="BG769" s="104"/>
      <c r="BH769" s="104"/>
      <c r="BI769" s="104"/>
      <c r="BJ769" s="104"/>
      <c r="BK769" s="104"/>
      <c r="BL769" s="104"/>
      <c r="BM769" s="104"/>
      <c r="BN769" s="104"/>
      <c r="BO769" s="104"/>
      <c r="BP769" s="104"/>
      <c r="BQ769" s="104"/>
      <c r="BR769" s="104"/>
      <c r="BS769" s="104"/>
      <c r="BT769" s="104"/>
      <c r="BU769" s="104"/>
      <c r="BV769" s="104"/>
      <c r="BW769" s="104"/>
      <c r="BX769" s="104"/>
    </row>
    <row r="770" spans="1:7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 s="104"/>
      <c r="BG770" s="104"/>
      <c r="BH770" s="104"/>
      <c r="BI770" s="104"/>
      <c r="BJ770" s="104"/>
      <c r="BK770" s="104"/>
      <c r="BL770" s="104"/>
      <c r="BM770" s="104"/>
      <c r="BN770" s="104"/>
      <c r="BO770" s="104"/>
      <c r="BP770" s="104"/>
      <c r="BQ770" s="104"/>
      <c r="BR770" s="104"/>
      <c r="BS770" s="104"/>
      <c r="BT770" s="104"/>
      <c r="BU770" s="104"/>
      <c r="BV770" s="104"/>
      <c r="BW770" s="104"/>
      <c r="BX770" s="104"/>
    </row>
    <row r="771" spans="1:7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 s="104"/>
      <c r="BG771" s="104"/>
      <c r="BH771" s="104"/>
      <c r="BI771" s="104"/>
      <c r="BJ771" s="104"/>
      <c r="BK771" s="104"/>
      <c r="BL771" s="104"/>
      <c r="BM771" s="104"/>
      <c r="BN771" s="104"/>
      <c r="BO771" s="104"/>
      <c r="BP771" s="104"/>
      <c r="BQ771" s="104"/>
      <c r="BR771" s="104"/>
      <c r="BS771" s="104"/>
      <c r="BT771" s="104"/>
      <c r="BU771" s="104"/>
      <c r="BV771" s="104"/>
      <c r="BW771" s="104"/>
      <c r="BX771" s="104"/>
    </row>
    <row r="772" spans="1:7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 s="104"/>
      <c r="BG772" s="104"/>
      <c r="BH772" s="104"/>
      <c r="BI772" s="104"/>
      <c r="BJ772" s="104"/>
      <c r="BK772" s="104"/>
      <c r="BL772" s="104"/>
      <c r="BM772" s="104"/>
      <c r="BN772" s="104"/>
      <c r="BO772" s="104"/>
      <c r="BP772" s="104"/>
      <c r="BQ772" s="104"/>
      <c r="BR772" s="104"/>
      <c r="BS772" s="104"/>
      <c r="BT772" s="104"/>
      <c r="BU772" s="104"/>
      <c r="BV772" s="104"/>
      <c r="BW772" s="104"/>
      <c r="BX772" s="104"/>
    </row>
    <row r="773" spans="1:7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 s="104"/>
      <c r="BG773" s="104"/>
      <c r="BH773" s="104"/>
      <c r="BI773" s="104"/>
      <c r="BJ773" s="104"/>
      <c r="BK773" s="104"/>
      <c r="BL773" s="104"/>
      <c r="BM773" s="104"/>
      <c r="BN773" s="104"/>
      <c r="BO773" s="104"/>
      <c r="BP773" s="104"/>
      <c r="BQ773" s="104"/>
      <c r="BR773" s="104"/>
      <c r="BS773" s="104"/>
      <c r="BT773" s="104"/>
      <c r="BU773" s="104"/>
      <c r="BV773" s="104"/>
      <c r="BW773" s="104"/>
      <c r="BX773" s="104"/>
    </row>
    <row r="774" spans="1:7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 s="104"/>
      <c r="BG774" s="104"/>
      <c r="BH774" s="104"/>
      <c r="BI774" s="104"/>
      <c r="BJ774" s="104"/>
      <c r="BK774" s="104"/>
      <c r="BL774" s="104"/>
      <c r="BM774" s="104"/>
      <c r="BN774" s="104"/>
      <c r="BO774" s="104"/>
      <c r="BP774" s="104"/>
      <c r="BQ774" s="104"/>
      <c r="BR774" s="104"/>
      <c r="BS774" s="104"/>
      <c r="BT774" s="104"/>
      <c r="BU774" s="104"/>
      <c r="BV774" s="104"/>
      <c r="BW774" s="104"/>
      <c r="BX774" s="104"/>
    </row>
    <row r="775" spans="1:7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 s="104"/>
      <c r="BG775" s="104"/>
      <c r="BH775" s="104"/>
      <c r="BI775" s="104"/>
      <c r="BJ775" s="104"/>
      <c r="BK775" s="104"/>
      <c r="BL775" s="104"/>
      <c r="BM775" s="104"/>
      <c r="BN775" s="104"/>
      <c r="BO775" s="104"/>
      <c r="BP775" s="104"/>
      <c r="BQ775" s="104"/>
      <c r="BR775" s="104"/>
      <c r="BS775" s="104"/>
      <c r="BT775" s="104"/>
      <c r="BU775" s="104"/>
      <c r="BV775" s="104"/>
      <c r="BW775" s="104"/>
      <c r="BX775" s="104"/>
    </row>
    <row r="776" spans="1:7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 s="104"/>
      <c r="BG776" s="104"/>
      <c r="BH776" s="104"/>
      <c r="BI776" s="104"/>
      <c r="BJ776" s="104"/>
      <c r="BK776" s="104"/>
      <c r="BL776" s="104"/>
      <c r="BM776" s="104"/>
      <c r="BN776" s="104"/>
      <c r="BO776" s="104"/>
      <c r="BP776" s="104"/>
      <c r="BQ776" s="104"/>
      <c r="BR776" s="104"/>
      <c r="BS776" s="104"/>
      <c r="BT776" s="104"/>
      <c r="BU776" s="104"/>
      <c r="BV776" s="104"/>
      <c r="BW776" s="104"/>
      <c r="BX776" s="104"/>
    </row>
    <row r="777" spans="1:7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 s="104"/>
      <c r="BG777" s="104"/>
      <c r="BH777" s="104"/>
      <c r="BI777" s="104"/>
      <c r="BJ777" s="104"/>
      <c r="BK777" s="104"/>
      <c r="BL777" s="104"/>
      <c r="BM777" s="104"/>
      <c r="BN777" s="104"/>
      <c r="BO777" s="104"/>
      <c r="BP777" s="104"/>
      <c r="BQ777" s="104"/>
      <c r="BR777" s="104"/>
      <c r="BS777" s="104"/>
      <c r="BT777" s="104"/>
      <c r="BU777" s="104"/>
      <c r="BV777" s="104"/>
      <c r="BW777" s="104"/>
      <c r="BX777" s="104"/>
    </row>
    <row r="778" spans="1:7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 s="104"/>
      <c r="BG778" s="104"/>
      <c r="BH778" s="104"/>
      <c r="BI778" s="104"/>
      <c r="BJ778" s="104"/>
      <c r="BK778" s="104"/>
      <c r="BL778" s="104"/>
      <c r="BM778" s="104"/>
      <c r="BN778" s="104"/>
      <c r="BO778" s="104"/>
      <c r="BP778" s="104"/>
      <c r="BQ778" s="104"/>
      <c r="BR778" s="104"/>
      <c r="BS778" s="104"/>
      <c r="BT778" s="104"/>
      <c r="BU778" s="104"/>
      <c r="BV778" s="104"/>
      <c r="BW778" s="104"/>
      <c r="BX778" s="104"/>
    </row>
    <row r="779" spans="1:7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 s="104"/>
      <c r="BG779" s="104"/>
      <c r="BH779" s="104"/>
      <c r="BI779" s="104"/>
      <c r="BJ779" s="104"/>
      <c r="BK779" s="104"/>
      <c r="BL779" s="104"/>
      <c r="BM779" s="104"/>
      <c r="BN779" s="104"/>
      <c r="BO779" s="104"/>
      <c r="BP779" s="104"/>
      <c r="BQ779" s="104"/>
      <c r="BR779" s="104"/>
      <c r="BS779" s="104"/>
      <c r="BT779" s="104"/>
      <c r="BU779" s="104"/>
      <c r="BV779" s="104"/>
      <c r="BW779" s="104"/>
      <c r="BX779" s="104"/>
    </row>
    <row r="780" spans="1:7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 s="104"/>
      <c r="BG780" s="104"/>
      <c r="BH780" s="104"/>
      <c r="BI780" s="104"/>
      <c r="BJ780" s="104"/>
      <c r="BK780" s="104"/>
      <c r="BL780" s="104"/>
      <c r="BM780" s="104"/>
      <c r="BN780" s="104"/>
      <c r="BO780" s="104"/>
      <c r="BP780" s="104"/>
      <c r="BQ780" s="104"/>
      <c r="BR780" s="104"/>
      <c r="BS780" s="104"/>
      <c r="BT780" s="104"/>
      <c r="BU780" s="104"/>
      <c r="BV780" s="104"/>
      <c r="BW780" s="104"/>
      <c r="BX780" s="104"/>
    </row>
    <row r="781" spans="1:7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 s="104"/>
      <c r="BG781" s="104"/>
      <c r="BH781" s="104"/>
      <c r="BI781" s="104"/>
      <c r="BJ781" s="104"/>
      <c r="BK781" s="104"/>
      <c r="BL781" s="104"/>
      <c r="BM781" s="104"/>
      <c r="BN781" s="104"/>
      <c r="BO781" s="104"/>
      <c r="BP781" s="104"/>
      <c r="BQ781" s="104"/>
      <c r="BR781" s="104"/>
      <c r="BS781" s="104"/>
      <c r="BT781" s="104"/>
      <c r="BU781" s="104"/>
      <c r="BV781" s="104"/>
      <c r="BW781" s="104"/>
      <c r="BX781" s="104"/>
    </row>
    <row r="782" spans="1:7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 s="104"/>
      <c r="BG782" s="104"/>
      <c r="BH782" s="104"/>
      <c r="BI782" s="104"/>
      <c r="BJ782" s="104"/>
      <c r="BK782" s="104"/>
      <c r="BL782" s="104"/>
      <c r="BM782" s="104"/>
      <c r="BN782" s="104"/>
      <c r="BO782" s="104"/>
      <c r="BP782" s="104"/>
      <c r="BQ782" s="104"/>
      <c r="BR782" s="104"/>
      <c r="BS782" s="104"/>
      <c r="BT782" s="104"/>
      <c r="BU782" s="104"/>
      <c r="BV782" s="104"/>
      <c r="BW782" s="104"/>
      <c r="BX782" s="104"/>
    </row>
    <row r="783" spans="1:7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 s="104"/>
      <c r="BG783" s="104"/>
      <c r="BH783" s="104"/>
      <c r="BI783" s="104"/>
      <c r="BJ783" s="104"/>
      <c r="BK783" s="104"/>
      <c r="BL783" s="104"/>
      <c r="BM783" s="104"/>
      <c r="BN783" s="104"/>
      <c r="BO783" s="104"/>
      <c r="BP783" s="104"/>
      <c r="BQ783" s="104"/>
      <c r="BR783" s="104"/>
      <c r="BS783" s="104"/>
      <c r="BT783" s="104"/>
      <c r="BU783" s="104"/>
      <c r="BV783" s="104"/>
      <c r="BW783" s="104"/>
      <c r="BX783" s="104"/>
    </row>
    <row r="784" spans="1:7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 s="104"/>
      <c r="BG784" s="104"/>
      <c r="BH784" s="104"/>
      <c r="BI784" s="104"/>
      <c r="BJ784" s="104"/>
      <c r="BK784" s="104"/>
      <c r="BL784" s="104"/>
      <c r="BM784" s="104"/>
      <c r="BN784" s="104"/>
      <c r="BO784" s="104"/>
      <c r="BP784" s="104"/>
      <c r="BQ784" s="104"/>
      <c r="BR784" s="104"/>
      <c r="BS784" s="104"/>
      <c r="BT784" s="104"/>
      <c r="BU784" s="104"/>
      <c r="BV784" s="104"/>
      <c r="BW784" s="104"/>
      <c r="BX784" s="104"/>
    </row>
    <row r="785" spans="1:7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 s="104"/>
      <c r="BG785" s="104"/>
      <c r="BH785" s="104"/>
      <c r="BI785" s="104"/>
      <c r="BJ785" s="104"/>
      <c r="BK785" s="104"/>
      <c r="BL785" s="104"/>
      <c r="BM785" s="104"/>
      <c r="BN785" s="104"/>
      <c r="BO785" s="104"/>
      <c r="BP785" s="104"/>
      <c r="BQ785" s="104"/>
      <c r="BR785" s="104"/>
      <c r="BS785" s="104"/>
      <c r="BT785" s="104"/>
      <c r="BU785" s="104"/>
      <c r="BV785" s="104"/>
      <c r="BW785" s="104"/>
      <c r="BX785" s="104"/>
    </row>
    <row r="786" spans="1:7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 s="104"/>
      <c r="BG786" s="104"/>
      <c r="BH786" s="104"/>
      <c r="BI786" s="104"/>
      <c r="BJ786" s="104"/>
      <c r="BK786" s="104"/>
      <c r="BL786" s="104"/>
      <c r="BM786" s="104"/>
      <c r="BN786" s="104"/>
      <c r="BO786" s="104"/>
      <c r="BP786" s="104"/>
      <c r="BQ786" s="104"/>
      <c r="BR786" s="104"/>
      <c r="BS786" s="104"/>
      <c r="BT786" s="104"/>
      <c r="BU786" s="104"/>
      <c r="BV786" s="104"/>
      <c r="BW786" s="104"/>
      <c r="BX786" s="104"/>
    </row>
    <row r="787" spans="1:7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 s="104"/>
      <c r="BG787" s="104"/>
      <c r="BH787" s="104"/>
      <c r="BI787" s="104"/>
      <c r="BJ787" s="104"/>
      <c r="BK787" s="104"/>
      <c r="BL787" s="104"/>
      <c r="BM787" s="104"/>
      <c r="BN787" s="104"/>
      <c r="BO787" s="104"/>
      <c r="BP787" s="104"/>
      <c r="BQ787" s="104"/>
      <c r="BR787" s="104"/>
      <c r="BS787" s="104"/>
      <c r="BT787" s="104"/>
      <c r="BU787" s="104"/>
      <c r="BV787" s="104"/>
      <c r="BW787" s="104"/>
      <c r="BX787" s="104"/>
    </row>
    <row r="788" spans="1:7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 s="104"/>
      <c r="BG788" s="104"/>
      <c r="BH788" s="104"/>
      <c r="BI788" s="104"/>
      <c r="BJ788" s="104"/>
      <c r="BK788" s="104"/>
      <c r="BL788" s="104"/>
      <c r="BM788" s="104"/>
      <c r="BN788" s="104"/>
      <c r="BO788" s="104"/>
      <c r="BP788" s="104"/>
      <c r="BQ788" s="104"/>
      <c r="BR788" s="104"/>
      <c r="BS788" s="104"/>
      <c r="BT788" s="104"/>
      <c r="BU788" s="104"/>
      <c r="BV788" s="104"/>
      <c r="BW788" s="104"/>
      <c r="BX788" s="104"/>
    </row>
    <row r="789" spans="1:7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 s="104"/>
      <c r="BG789" s="104"/>
      <c r="BH789" s="104"/>
      <c r="BI789" s="104"/>
      <c r="BJ789" s="104"/>
      <c r="BK789" s="104"/>
      <c r="BL789" s="104"/>
      <c r="BM789" s="104"/>
      <c r="BN789" s="104"/>
      <c r="BO789" s="104"/>
      <c r="BP789" s="104"/>
      <c r="BQ789" s="104"/>
      <c r="BR789" s="104"/>
      <c r="BS789" s="104"/>
      <c r="BT789" s="104"/>
      <c r="BU789" s="104"/>
      <c r="BV789" s="104"/>
      <c r="BW789" s="104"/>
      <c r="BX789" s="104"/>
    </row>
    <row r="790" spans="1:7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 s="104"/>
      <c r="BG790" s="104"/>
      <c r="BH790" s="104"/>
      <c r="BI790" s="104"/>
      <c r="BJ790" s="104"/>
      <c r="BK790" s="104"/>
      <c r="BL790" s="104"/>
      <c r="BM790" s="104"/>
      <c r="BN790" s="104"/>
      <c r="BO790" s="104"/>
      <c r="BP790" s="104"/>
      <c r="BQ790" s="104"/>
      <c r="BR790" s="104"/>
      <c r="BS790" s="104"/>
      <c r="BT790" s="104"/>
      <c r="BU790" s="104"/>
      <c r="BV790" s="104"/>
      <c r="BW790" s="104"/>
      <c r="BX790" s="104"/>
    </row>
    <row r="791" spans="1:7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 s="104"/>
      <c r="BG791" s="104"/>
      <c r="BH791" s="104"/>
      <c r="BI791" s="104"/>
      <c r="BJ791" s="104"/>
      <c r="BK791" s="104"/>
      <c r="BL791" s="104"/>
      <c r="BM791" s="104"/>
      <c r="BN791" s="104"/>
      <c r="BO791" s="104"/>
      <c r="BP791" s="104"/>
      <c r="BQ791" s="104"/>
      <c r="BR791" s="104"/>
      <c r="BS791" s="104"/>
      <c r="BT791" s="104"/>
      <c r="BU791" s="104"/>
      <c r="BV791" s="104"/>
      <c r="BW791" s="104"/>
      <c r="BX791" s="104"/>
    </row>
    <row r="792" spans="1:7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 s="104"/>
      <c r="BG792" s="104"/>
      <c r="BH792" s="104"/>
      <c r="BI792" s="104"/>
      <c r="BJ792" s="104"/>
      <c r="BK792" s="104"/>
      <c r="BL792" s="104"/>
      <c r="BM792" s="104"/>
      <c r="BN792" s="104"/>
      <c r="BO792" s="104"/>
      <c r="BP792" s="104"/>
      <c r="BQ792" s="104"/>
      <c r="BR792" s="104"/>
      <c r="BS792" s="104"/>
      <c r="BT792" s="104"/>
      <c r="BU792" s="104"/>
      <c r="BV792" s="104"/>
      <c r="BW792" s="104"/>
      <c r="BX792" s="104"/>
    </row>
    <row r="793" spans="1:7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 s="104"/>
      <c r="BG793" s="104"/>
      <c r="BH793" s="104"/>
      <c r="BI793" s="104"/>
      <c r="BJ793" s="104"/>
      <c r="BK793" s="104"/>
      <c r="BL793" s="104"/>
      <c r="BM793" s="104"/>
      <c r="BN793" s="104"/>
      <c r="BO793" s="104"/>
      <c r="BP793" s="104"/>
      <c r="BQ793" s="104"/>
      <c r="BR793" s="104"/>
      <c r="BS793" s="104"/>
      <c r="BT793" s="104"/>
      <c r="BU793" s="104"/>
      <c r="BV793" s="104"/>
      <c r="BW793" s="104"/>
      <c r="BX793" s="104"/>
    </row>
    <row r="794" spans="1:7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 s="104"/>
      <c r="BG794" s="104"/>
      <c r="BH794" s="104"/>
      <c r="BI794" s="104"/>
      <c r="BJ794" s="104"/>
      <c r="BK794" s="104"/>
      <c r="BL794" s="104"/>
      <c r="BM794" s="104"/>
      <c r="BN794" s="104"/>
      <c r="BO794" s="104"/>
      <c r="BP794" s="104"/>
      <c r="BQ794" s="104"/>
      <c r="BR794" s="104"/>
      <c r="BS794" s="104"/>
      <c r="BT794" s="104"/>
      <c r="BU794" s="104"/>
      <c r="BV794" s="104"/>
      <c r="BW794" s="104"/>
      <c r="BX794" s="104"/>
    </row>
    <row r="795" spans="1:7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 s="104"/>
      <c r="BG795" s="104"/>
      <c r="BH795" s="104"/>
      <c r="BI795" s="104"/>
      <c r="BJ795" s="104"/>
      <c r="BK795" s="104"/>
      <c r="BL795" s="104"/>
      <c r="BM795" s="104"/>
      <c r="BN795" s="104"/>
      <c r="BO795" s="104"/>
      <c r="BP795" s="104"/>
      <c r="BQ795" s="104"/>
      <c r="BR795" s="104"/>
      <c r="BS795" s="104"/>
      <c r="BT795" s="104"/>
      <c r="BU795" s="104"/>
      <c r="BV795" s="104"/>
      <c r="BW795" s="104"/>
      <c r="BX795" s="104"/>
    </row>
    <row r="796" spans="1:7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 s="104"/>
      <c r="BG796" s="104"/>
      <c r="BH796" s="104"/>
      <c r="BI796" s="104"/>
      <c r="BJ796" s="104"/>
      <c r="BK796" s="104"/>
      <c r="BL796" s="104"/>
      <c r="BM796" s="104"/>
      <c r="BN796" s="104"/>
      <c r="BO796" s="104"/>
      <c r="BP796" s="104"/>
      <c r="BQ796" s="104"/>
      <c r="BR796" s="104"/>
      <c r="BS796" s="104"/>
      <c r="BT796" s="104"/>
      <c r="BU796" s="104"/>
      <c r="BV796" s="104"/>
      <c r="BW796" s="104"/>
      <c r="BX796" s="104"/>
    </row>
    <row r="797" spans="1:7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 s="104"/>
      <c r="BG797" s="104"/>
      <c r="BH797" s="104"/>
      <c r="BI797" s="104"/>
      <c r="BJ797" s="104"/>
      <c r="BK797" s="104"/>
      <c r="BL797" s="104"/>
      <c r="BM797" s="104"/>
      <c r="BN797" s="104"/>
      <c r="BO797" s="104"/>
      <c r="BP797" s="104"/>
      <c r="BQ797" s="104"/>
      <c r="BR797" s="104"/>
      <c r="BS797" s="104"/>
      <c r="BT797" s="104"/>
      <c r="BU797" s="104"/>
      <c r="BV797" s="104"/>
      <c r="BW797" s="104"/>
      <c r="BX797" s="104"/>
    </row>
    <row r="798" spans="1:7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 s="104"/>
      <c r="BG798" s="104"/>
      <c r="BH798" s="104"/>
      <c r="BI798" s="104"/>
      <c r="BJ798" s="104"/>
      <c r="BK798" s="104"/>
      <c r="BL798" s="104"/>
      <c r="BM798" s="104"/>
      <c r="BN798" s="104"/>
      <c r="BO798" s="104"/>
      <c r="BP798" s="104"/>
      <c r="BQ798" s="104"/>
      <c r="BR798" s="104"/>
      <c r="BS798" s="104"/>
      <c r="BT798" s="104"/>
      <c r="BU798" s="104"/>
      <c r="BV798" s="104"/>
      <c r="BW798" s="104"/>
      <c r="BX798" s="104"/>
    </row>
    <row r="799" spans="1:7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 s="104"/>
      <c r="BG799" s="104"/>
      <c r="BH799" s="104"/>
      <c r="BI799" s="104"/>
      <c r="BJ799" s="104"/>
      <c r="BK799" s="104"/>
      <c r="BL799" s="104"/>
      <c r="BM799" s="104"/>
      <c r="BN799" s="104"/>
      <c r="BO799" s="104"/>
      <c r="BP799" s="104"/>
      <c r="BQ799" s="104"/>
      <c r="BR799" s="104"/>
      <c r="BS799" s="104"/>
      <c r="BT799" s="104"/>
      <c r="BU799" s="104"/>
      <c r="BV799" s="104"/>
      <c r="BW799" s="104"/>
      <c r="BX799" s="104"/>
    </row>
    <row r="800" spans="1:7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 s="104"/>
      <c r="BG800" s="104"/>
      <c r="BH800" s="104"/>
      <c r="BI800" s="104"/>
      <c r="BJ800" s="104"/>
      <c r="BK800" s="104"/>
      <c r="BL800" s="104"/>
      <c r="BM800" s="104"/>
      <c r="BN800" s="104"/>
      <c r="BO800" s="104"/>
      <c r="BP800" s="104"/>
      <c r="BQ800" s="104"/>
      <c r="BR800" s="104"/>
      <c r="BS800" s="104"/>
      <c r="BT800" s="104"/>
      <c r="BU800" s="104"/>
      <c r="BV800" s="104"/>
      <c r="BW800" s="104"/>
      <c r="BX800" s="104"/>
    </row>
    <row r="801" spans="1:7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 s="104"/>
      <c r="BG801" s="104"/>
      <c r="BH801" s="104"/>
      <c r="BI801" s="104"/>
      <c r="BJ801" s="104"/>
      <c r="BK801" s="104"/>
      <c r="BL801" s="104"/>
      <c r="BM801" s="104"/>
      <c r="BN801" s="104"/>
      <c r="BO801" s="104"/>
      <c r="BP801" s="104"/>
      <c r="BQ801" s="104"/>
      <c r="BR801" s="104"/>
      <c r="BS801" s="104"/>
      <c r="BT801" s="104"/>
      <c r="BU801" s="104"/>
      <c r="BV801" s="104"/>
      <c r="BW801" s="104"/>
      <c r="BX801" s="104"/>
    </row>
    <row r="802" spans="1:7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 s="104"/>
      <c r="BG802" s="104"/>
      <c r="BH802" s="104"/>
      <c r="BI802" s="104"/>
      <c r="BJ802" s="104"/>
      <c r="BK802" s="104"/>
      <c r="BL802" s="104"/>
      <c r="BM802" s="104"/>
      <c r="BN802" s="104"/>
      <c r="BO802" s="104"/>
      <c r="BP802" s="104"/>
      <c r="BQ802" s="104"/>
      <c r="BR802" s="104"/>
      <c r="BS802" s="104"/>
      <c r="BT802" s="104"/>
      <c r="BU802" s="104"/>
      <c r="BV802" s="104"/>
      <c r="BW802" s="104"/>
      <c r="BX802" s="104"/>
    </row>
    <row r="803" spans="1:7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 s="104"/>
      <c r="BG803" s="104"/>
      <c r="BH803" s="104"/>
      <c r="BI803" s="104"/>
      <c r="BJ803" s="104"/>
      <c r="BK803" s="104"/>
      <c r="BL803" s="104"/>
      <c r="BM803" s="104"/>
      <c r="BN803" s="104"/>
      <c r="BO803" s="104"/>
      <c r="BP803" s="104"/>
      <c r="BQ803" s="104"/>
      <c r="BR803" s="104"/>
      <c r="BS803" s="104"/>
      <c r="BT803" s="104"/>
      <c r="BU803" s="104"/>
      <c r="BV803" s="104"/>
      <c r="BW803" s="104"/>
      <c r="BX803" s="104"/>
    </row>
    <row r="804" spans="1:7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 s="104"/>
      <c r="BG804" s="104"/>
      <c r="BH804" s="104"/>
      <c r="BI804" s="104"/>
      <c r="BJ804" s="104"/>
      <c r="BK804" s="104"/>
      <c r="BL804" s="104"/>
      <c r="BM804" s="104"/>
      <c r="BN804" s="104"/>
      <c r="BO804" s="104"/>
      <c r="BP804" s="104"/>
      <c r="BQ804" s="104"/>
      <c r="BR804" s="104"/>
      <c r="BS804" s="104"/>
      <c r="BT804" s="104"/>
      <c r="BU804" s="104"/>
      <c r="BV804" s="104"/>
      <c r="BW804" s="104"/>
      <c r="BX804" s="104"/>
    </row>
    <row r="805" spans="1:7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 s="104"/>
      <c r="BG805" s="104"/>
      <c r="BH805" s="104"/>
      <c r="BI805" s="104"/>
      <c r="BJ805" s="104"/>
      <c r="BK805" s="104"/>
      <c r="BL805" s="104"/>
      <c r="BM805" s="104"/>
      <c r="BN805" s="104"/>
      <c r="BO805" s="104"/>
      <c r="BP805" s="104"/>
      <c r="BQ805" s="104"/>
      <c r="BR805" s="104"/>
      <c r="BS805" s="104"/>
      <c r="BT805" s="104"/>
      <c r="BU805" s="104"/>
      <c r="BV805" s="104"/>
      <c r="BW805" s="104"/>
      <c r="BX805" s="104"/>
    </row>
    <row r="806" spans="1:7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 s="104"/>
      <c r="BG806" s="104"/>
      <c r="BH806" s="104"/>
      <c r="BI806" s="104"/>
      <c r="BJ806" s="104"/>
      <c r="BK806" s="104"/>
      <c r="BL806" s="104"/>
      <c r="BM806" s="104"/>
      <c r="BN806" s="104"/>
      <c r="BO806" s="104"/>
      <c r="BP806" s="104"/>
      <c r="BQ806" s="104"/>
      <c r="BR806" s="104"/>
      <c r="BS806" s="104"/>
      <c r="BT806" s="104"/>
      <c r="BU806" s="104"/>
      <c r="BV806" s="104"/>
      <c r="BW806" s="104"/>
      <c r="BX806" s="104"/>
    </row>
    <row r="807" spans="1:7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 s="104"/>
      <c r="BG807" s="104"/>
      <c r="BH807" s="104"/>
      <c r="BI807" s="104"/>
      <c r="BJ807" s="104"/>
      <c r="BK807" s="104"/>
      <c r="BL807" s="104"/>
      <c r="BM807" s="104"/>
      <c r="BN807" s="104"/>
      <c r="BO807" s="104"/>
      <c r="BP807" s="104"/>
      <c r="BQ807" s="104"/>
      <c r="BR807" s="104"/>
      <c r="BS807" s="104"/>
      <c r="BT807" s="104"/>
      <c r="BU807" s="104"/>
      <c r="BV807" s="104"/>
      <c r="BW807" s="104"/>
      <c r="BX807" s="104"/>
    </row>
    <row r="808" spans="1:7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 s="104"/>
      <c r="BG808" s="104"/>
      <c r="BH808" s="104"/>
      <c r="BI808" s="104"/>
      <c r="BJ808" s="104"/>
      <c r="BK808" s="104"/>
      <c r="BL808" s="104"/>
      <c r="BM808" s="104"/>
      <c r="BN808" s="104"/>
      <c r="BO808" s="104"/>
      <c r="BP808" s="104"/>
      <c r="BQ808" s="104"/>
      <c r="BR808" s="104"/>
      <c r="BS808" s="104"/>
      <c r="BT808" s="104"/>
      <c r="BU808" s="104"/>
      <c r="BV808" s="104"/>
      <c r="BW808" s="104"/>
      <c r="BX808" s="104"/>
    </row>
    <row r="809" spans="1:7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 s="104"/>
      <c r="BG809" s="104"/>
      <c r="BH809" s="104"/>
      <c r="BI809" s="104"/>
      <c r="BJ809" s="104"/>
      <c r="BK809" s="104"/>
      <c r="BL809" s="104"/>
      <c r="BM809" s="104"/>
      <c r="BN809" s="104"/>
      <c r="BO809" s="104"/>
      <c r="BP809" s="104"/>
      <c r="BQ809" s="104"/>
      <c r="BR809" s="104"/>
      <c r="BS809" s="104"/>
      <c r="BT809" s="104"/>
      <c r="BU809" s="104"/>
      <c r="BV809" s="104"/>
      <c r="BW809" s="104"/>
      <c r="BX809" s="104"/>
    </row>
    <row r="810" spans="1:7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 s="104"/>
      <c r="BG810" s="104"/>
      <c r="BH810" s="104"/>
      <c r="BI810" s="104"/>
      <c r="BJ810" s="104"/>
      <c r="BK810" s="104"/>
      <c r="BL810" s="104"/>
      <c r="BM810" s="104"/>
      <c r="BN810" s="104"/>
      <c r="BO810" s="104"/>
      <c r="BP810" s="104"/>
      <c r="BQ810" s="104"/>
      <c r="BR810" s="104"/>
      <c r="BS810" s="104"/>
      <c r="BT810" s="104"/>
      <c r="BU810" s="104"/>
      <c r="BV810" s="104"/>
      <c r="BW810" s="104"/>
      <c r="BX810" s="104"/>
    </row>
    <row r="811" spans="1:7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 s="104"/>
      <c r="BG811" s="104"/>
      <c r="BH811" s="104"/>
      <c r="BI811" s="104"/>
      <c r="BJ811" s="104"/>
      <c r="BK811" s="104"/>
      <c r="BL811" s="104"/>
      <c r="BM811" s="104"/>
      <c r="BN811" s="104"/>
      <c r="BO811" s="104"/>
      <c r="BP811" s="104"/>
      <c r="BQ811" s="104"/>
      <c r="BR811" s="104"/>
      <c r="BS811" s="104"/>
      <c r="BT811" s="104"/>
      <c r="BU811" s="104"/>
      <c r="BV811" s="104"/>
      <c r="BW811" s="104"/>
      <c r="BX811" s="104"/>
    </row>
    <row r="812" spans="1:7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 s="104"/>
      <c r="BG812" s="104"/>
      <c r="BH812" s="104"/>
      <c r="BI812" s="104"/>
      <c r="BJ812" s="104"/>
      <c r="BK812" s="104"/>
      <c r="BL812" s="104"/>
      <c r="BM812" s="104"/>
      <c r="BN812" s="104"/>
      <c r="BO812" s="104"/>
      <c r="BP812" s="104"/>
      <c r="BQ812" s="104"/>
      <c r="BR812" s="104"/>
      <c r="BS812" s="104"/>
      <c r="BT812" s="104"/>
      <c r="BU812" s="104"/>
      <c r="BV812" s="104"/>
      <c r="BW812" s="104"/>
      <c r="BX812" s="104"/>
    </row>
    <row r="813" spans="1:7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 s="104"/>
      <c r="BG813" s="104"/>
      <c r="BH813" s="104"/>
      <c r="BI813" s="104"/>
      <c r="BJ813" s="104"/>
      <c r="BK813" s="104"/>
      <c r="BL813" s="104"/>
      <c r="BM813" s="104"/>
      <c r="BN813" s="104"/>
      <c r="BO813" s="104"/>
      <c r="BP813" s="104"/>
      <c r="BQ813" s="104"/>
      <c r="BR813" s="104"/>
      <c r="BS813" s="104"/>
      <c r="BT813" s="104"/>
      <c r="BU813" s="104"/>
      <c r="BV813" s="104"/>
      <c r="BW813" s="104"/>
      <c r="BX813" s="104"/>
    </row>
    <row r="814" spans="1:7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 s="104"/>
      <c r="BG814" s="104"/>
      <c r="BH814" s="104"/>
      <c r="BI814" s="104"/>
      <c r="BJ814" s="104"/>
      <c r="BK814" s="104"/>
      <c r="BL814" s="104"/>
      <c r="BM814" s="104"/>
      <c r="BN814" s="104"/>
      <c r="BO814" s="104"/>
      <c r="BP814" s="104"/>
      <c r="BQ814" s="104"/>
      <c r="BR814" s="104"/>
      <c r="BS814" s="104"/>
      <c r="BT814" s="104"/>
      <c r="BU814" s="104"/>
      <c r="BV814" s="104"/>
      <c r="BW814" s="104"/>
      <c r="BX814" s="104"/>
    </row>
    <row r="815" spans="1:7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 s="104"/>
      <c r="BG815" s="104"/>
      <c r="BH815" s="104"/>
      <c r="BI815" s="104"/>
      <c r="BJ815" s="104"/>
      <c r="BK815" s="104"/>
      <c r="BL815" s="104"/>
      <c r="BM815" s="104"/>
      <c r="BN815" s="104"/>
      <c r="BO815" s="104"/>
      <c r="BP815" s="104"/>
      <c r="BQ815" s="104"/>
      <c r="BR815" s="104"/>
      <c r="BS815" s="104"/>
      <c r="BT815" s="104"/>
      <c r="BU815" s="104"/>
      <c r="BV815" s="104"/>
      <c r="BW815" s="104"/>
      <c r="BX815" s="104"/>
    </row>
    <row r="816" spans="1:7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 s="104"/>
      <c r="BG816" s="104"/>
      <c r="BH816" s="104"/>
      <c r="BI816" s="104"/>
      <c r="BJ816" s="104"/>
      <c r="BK816" s="104"/>
      <c r="BL816" s="104"/>
      <c r="BM816" s="104"/>
      <c r="BN816" s="104"/>
      <c r="BO816" s="104"/>
      <c r="BP816" s="104"/>
      <c r="BQ816" s="104"/>
      <c r="BR816" s="104"/>
      <c r="BS816" s="104"/>
      <c r="BT816" s="104"/>
      <c r="BU816" s="104"/>
      <c r="BV816" s="104"/>
      <c r="BW816" s="104"/>
      <c r="BX816" s="104"/>
    </row>
    <row r="817" spans="1:7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 s="104"/>
      <c r="BG817" s="104"/>
      <c r="BH817" s="104"/>
      <c r="BI817" s="104"/>
      <c r="BJ817" s="104"/>
      <c r="BK817" s="104"/>
      <c r="BL817" s="104"/>
      <c r="BM817" s="104"/>
      <c r="BN817" s="104"/>
      <c r="BO817" s="104"/>
      <c r="BP817" s="104"/>
      <c r="BQ817" s="104"/>
      <c r="BR817" s="104"/>
      <c r="BS817" s="104"/>
      <c r="BT817" s="104"/>
      <c r="BU817" s="104"/>
      <c r="BV817" s="104"/>
      <c r="BW817" s="104"/>
      <c r="BX817" s="104"/>
    </row>
    <row r="818" spans="1:7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 s="104"/>
      <c r="BG818" s="104"/>
      <c r="BH818" s="104"/>
      <c r="BI818" s="104"/>
      <c r="BJ818" s="104"/>
      <c r="BK818" s="104"/>
      <c r="BL818" s="104"/>
      <c r="BM818" s="104"/>
      <c r="BN818" s="104"/>
      <c r="BO818" s="104"/>
      <c r="BP818" s="104"/>
      <c r="BQ818" s="104"/>
      <c r="BR818" s="104"/>
      <c r="BS818" s="104"/>
      <c r="BT818" s="104"/>
      <c r="BU818" s="104"/>
      <c r="BV818" s="104"/>
      <c r="BW818" s="104"/>
      <c r="BX818" s="104"/>
    </row>
    <row r="819" spans="1:7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 s="104"/>
      <c r="BG819" s="104"/>
      <c r="BH819" s="104"/>
      <c r="BI819" s="104"/>
      <c r="BJ819" s="104"/>
      <c r="BK819" s="104"/>
      <c r="BL819" s="104"/>
      <c r="BM819" s="104"/>
      <c r="BN819" s="104"/>
      <c r="BO819" s="104"/>
      <c r="BP819" s="104"/>
      <c r="BQ819" s="104"/>
      <c r="BR819" s="104"/>
      <c r="BS819" s="104"/>
      <c r="BT819" s="104"/>
      <c r="BU819" s="104"/>
      <c r="BV819" s="104"/>
      <c r="BW819" s="104"/>
      <c r="BX819" s="104"/>
    </row>
    <row r="820" spans="1:7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 s="104"/>
      <c r="BG820" s="104"/>
      <c r="BH820" s="104"/>
      <c r="BI820" s="104"/>
      <c r="BJ820" s="104"/>
      <c r="BK820" s="104"/>
      <c r="BL820" s="104"/>
      <c r="BM820" s="104"/>
      <c r="BN820" s="104"/>
      <c r="BO820" s="104"/>
      <c r="BP820" s="104"/>
      <c r="BQ820" s="104"/>
      <c r="BR820" s="104"/>
      <c r="BS820" s="104"/>
      <c r="BT820" s="104"/>
      <c r="BU820" s="104"/>
      <c r="BV820" s="104"/>
      <c r="BW820" s="104"/>
      <c r="BX820" s="104"/>
    </row>
    <row r="821" spans="1:7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 s="104"/>
      <c r="BG821" s="104"/>
      <c r="BH821" s="104"/>
      <c r="BI821" s="104"/>
      <c r="BJ821" s="104"/>
      <c r="BK821" s="104"/>
      <c r="BL821" s="104"/>
      <c r="BM821" s="104"/>
      <c r="BN821" s="104"/>
      <c r="BO821" s="104"/>
      <c r="BP821" s="104"/>
      <c r="BQ821" s="104"/>
      <c r="BR821" s="104"/>
      <c r="BS821" s="104"/>
      <c r="BT821" s="104"/>
      <c r="BU821" s="104"/>
      <c r="BV821" s="104"/>
      <c r="BW821" s="104"/>
      <c r="BX821" s="104"/>
    </row>
    <row r="822" spans="1:7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 s="104"/>
      <c r="BG822" s="104"/>
      <c r="BH822" s="104"/>
      <c r="BI822" s="104"/>
      <c r="BJ822" s="104"/>
      <c r="BK822" s="104"/>
      <c r="BL822" s="104"/>
      <c r="BM822" s="104"/>
      <c r="BN822" s="104"/>
      <c r="BO822" s="104"/>
      <c r="BP822" s="104"/>
      <c r="BQ822" s="104"/>
      <c r="BR822" s="104"/>
      <c r="BS822" s="104"/>
      <c r="BT822" s="104"/>
      <c r="BU822" s="104"/>
      <c r="BV822" s="104"/>
      <c r="BW822" s="104"/>
      <c r="BX822" s="104"/>
    </row>
    <row r="823" spans="1:7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 s="104"/>
      <c r="BG823" s="104"/>
      <c r="BH823" s="104"/>
      <c r="BI823" s="104"/>
      <c r="BJ823" s="104"/>
      <c r="BK823" s="104"/>
      <c r="BL823" s="104"/>
      <c r="BM823" s="104"/>
      <c r="BN823" s="104"/>
      <c r="BO823" s="104"/>
      <c r="BP823" s="104"/>
      <c r="BQ823" s="104"/>
      <c r="BR823" s="104"/>
      <c r="BS823" s="104"/>
      <c r="BT823" s="104"/>
      <c r="BU823" s="104"/>
      <c r="BV823" s="104"/>
      <c r="BW823" s="104"/>
      <c r="BX823" s="104"/>
    </row>
    <row r="824" spans="1:7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 s="104"/>
      <c r="BG824" s="104"/>
      <c r="BH824" s="104"/>
      <c r="BI824" s="104"/>
      <c r="BJ824" s="104"/>
      <c r="BK824" s="104"/>
      <c r="BL824" s="104"/>
      <c r="BM824" s="104"/>
      <c r="BN824" s="104"/>
      <c r="BO824" s="104"/>
      <c r="BP824" s="104"/>
      <c r="BQ824" s="104"/>
      <c r="BR824" s="104"/>
      <c r="BS824" s="104"/>
      <c r="BT824" s="104"/>
      <c r="BU824" s="104"/>
      <c r="BV824" s="104"/>
      <c r="BW824" s="104"/>
      <c r="BX824" s="104"/>
    </row>
    <row r="825" spans="1:7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 s="104"/>
      <c r="BG825" s="104"/>
      <c r="BH825" s="104"/>
      <c r="BI825" s="104"/>
      <c r="BJ825" s="104"/>
      <c r="BK825" s="104"/>
      <c r="BL825" s="104"/>
      <c r="BM825" s="104"/>
      <c r="BN825" s="104"/>
      <c r="BO825" s="104"/>
      <c r="BP825" s="104"/>
      <c r="BQ825" s="104"/>
      <c r="BR825" s="104"/>
      <c r="BS825" s="104"/>
      <c r="BT825" s="104"/>
      <c r="BU825" s="104"/>
      <c r="BV825" s="104"/>
      <c r="BW825" s="104"/>
      <c r="BX825" s="104"/>
    </row>
    <row r="826" spans="1:7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 s="104"/>
      <c r="BG826" s="104"/>
      <c r="BH826" s="104"/>
      <c r="BI826" s="104"/>
      <c r="BJ826" s="104"/>
      <c r="BK826" s="104"/>
      <c r="BL826" s="104"/>
      <c r="BM826" s="104"/>
      <c r="BN826" s="104"/>
      <c r="BO826" s="104"/>
      <c r="BP826" s="104"/>
      <c r="BQ826" s="104"/>
      <c r="BR826" s="104"/>
      <c r="BS826" s="104"/>
      <c r="BT826" s="104"/>
      <c r="BU826" s="104"/>
      <c r="BV826" s="104"/>
      <c r="BW826" s="104"/>
      <c r="BX826" s="104"/>
    </row>
    <row r="827" spans="1:7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 s="104"/>
      <c r="BG827" s="104"/>
      <c r="BH827" s="104"/>
      <c r="BI827" s="104"/>
      <c r="BJ827" s="104"/>
      <c r="BK827" s="104"/>
      <c r="BL827" s="104"/>
      <c r="BM827" s="104"/>
      <c r="BN827" s="104"/>
      <c r="BO827" s="104"/>
      <c r="BP827" s="104"/>
      <c r="BQ827" s="104"/>
      <c r="BR827" s="104"/>
      <c r="BS827" s="104"/>
      <c r="BT827" s="104"/>
      <c r="BU827" s="104"/>
      <c r="BV827" s="104"/>
      <c r="BW827" s="104"/>
      <c r="BX827" s="104"/>
    </row>
    <row r="828" spans="1:7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 s="104"/>
      <c r="BG828" s="104"/>
      <c r="BH828" s="104"/>
      <c r="BI828" s="104"/>
      <c r="BJ828" s="104"/>
      <c r="BK828" s="104"/>
      <c r="BL828" s="104"/>
      <c r="BM828" s="104"/>
      <c r="BN828" s="104"/>
      <c r="BO828" s="104"/>
      <c r="BP828" s="104"/>
      <c r="BQ828" s="104"/>
      <c r="BR828" s="104"/>
      <c r="BS828" s="104"/>
      <c r="BT828" s="104"/>
      <c r="BU828" s="104"/>
      <c r="BV828" s="104"/>
      <c r="BW828" s="104"/>
      <c r="BX828" s="104"/>
    </row>
    <row r="829" spans="1:7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 s="104"/>
      <c r="BG829" s="104"/>
      <c r="BH829" s="104"/>
      <c r="BI829" s="104"/>
      <c r="BJ829" s="104"/>
      <c r="BK829" s="104"/>
      <c r="BL829" s="104"/>
      <c r="BM829" s="104"/>
      <c r="BN829" s="104"/>
      <c r="BO829" s="104"/>
      <c r="BP829" s="104"/>
      <c r="BQ829" s="104"/>
      <c r="BR829" s="104"/>
      <c r="BS829" s="104"/>
      <c r="BT829" s="104"/>
      <c r="BU829" s="104"/>
      <c r="BV829" s="104"/>
      <c r="BW829" s="104"/>
      <c r="BX829" s="104"/>
    </row>
    <row r="830" spans="1:7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 s="104"/>
      <c r="BG830" s="104"/>
      <c r="BH830" s="104"/>
      <c r="BI830" s="104"/>
      <c r="BJ830" s="104"/>
      <c r="BK830" s="104"/>
      <c r="BL830" s="104"/>
      <c r="BM830" s="104"/>
      <c r="BN830" s="104"/>
      <c r="BO830" s="104"/>
      <c r="BP830" s="104"/>
      <c r="BQ830" s="104"/>
      <c r="BR830" s="104"/>
      <c r="BS830" s="104"/>
      <c r="BT830" s="104"/>
      <c r="BU830" s="104"/>
      <c r="BV830" s="104"/>
      <c r="BW830" s="104"/>
      <c r="BX830" s="104"/>
    </row>
    <row r="831" spans="1:7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 s="104"/>
      <c r="BG831" s="104"/>
      <c r="BH831" s="104"/>
      <c r="BI831" s="104"/>
      <c r="BJ831" s="104"/>
      <c r="BK831" s="104"/>
      <c r="BL831" s="104"/>
      <c r="BM831" s="104"/>
      <c r="BN831" s="104"/>
      <c r="BO831" s="104"/>
      <c r="BP831" s="104"/>
      <c r="BQ831" s="104"/>
      <c r="BR831" s="104"/>
      <c r="BS831" s="104"/>
      <c r="BT831" s="104"/>
      <c r="BU831" s="104"/>
      <c r="BV831" s="104"/>
      <c r="BW831" s="104"/>
      <c r="BX831" s="104"/>
    </row>
    <row r="832" spans="1:7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 s="104"/>
      <c r="BG832" s="104"/>
      <c r="BH832" s="104"/>
      <c r="BI832" s="104"/>
      <c r="BJ832" s="104"/>
      <c r="BK832" s="104"/>
      <c r="BL832" s="104"/>
      <c r="BM832" s="104"/>
      <c r="BN832" s="104"/>
      <c r="BO832" s="104"/>
      <c r="BP832" s="104"/>
      <c r="BQ832" s="104"/>
      <c r="BR832" s="104"/>
      <c r="BS832" s="104"/>
      <c r="BT832" s="104"/>
      <c r="BU832" s="104"/>
      <c r="BV832" s="104"/>
      <c r="BW832" s="104"/>
      <c r="BX832" s="104"/>
    </row>
    <row r="833" spans="1:7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 s="104"/>
      <c r="BG833" s="104"/>
      <c r="BH833" s="104"/>
      <c r="BI833" s="104"/>
      <c r="BJ833" s="104"/>
      <c r="BK833" s="104"/>
      <c r="BL833" s="104"/>
      <c r="BM833" s="104"/>
      <c r="BN833" s="104"/>
      <c r="BO833" s="104"/>
      <c r="BP833" s="104"/>
      <c r="BQ833" s="104"/>
      <c r="BR833" s="104"/>
      <c r="BS833" s="104"/>
      <c r="BT833" s="104"/>
      <c r="BU833" s="104"/>
      <c r="BV833" s="104"/>
      <c r="BW833" s="104"/>
      <c r="BX833" s="104"/>
    </row>
    <row r="834" spans="1:7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 s="104"/>
      <c r="BG834" s="104"/>
      <c r="BH834" s="104"/>
      <c r="BI834" s="104"/>
      <c r="BJ834" s="104"/>
      <c r="BK834" s="104"/>
      <c r="BL834" s="104"/>
      <c r="BM834" s="104"/>
      <c r="BN834" s="104"/>
      <c r="BO834" s="104"/>
      <c r="BP834" s="104"/>
      <c r="BQ834" s="104"/>
      <c r="BR834" s="104"/>
      <c r="BS834" s="104"/>
      <c r="BT834" s="104"/>
      <c r="BU834" s="104"/>
      <c r="BV834" s="104"/>
      <c r="BW834" s="104"/>
      <c r="BX834" s="104"/>
    </row>
    <row r="835" spans="1:7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 s="104"/>
      <c r="BG835" s="104"/>
      <c r="BH835" s="104"/>
      <c r="BI835" s="104"/>
      <c r="BJ835" s="104"/>
      <c r="BK835" s="104"/>
      <c r="BL835" s="104"/>
      <c r="BM835" s="104"/>
      <c r="BN835" s="104"/>
      <c r="BO835" s="104"/>
      <c r="BP835" s="104"/>
      <c r="BQ835" s="104"/>
      <c r="BR835" s="104"/>
      <c r="BS835" s="104"/>
      <c r="BT835" s="104"/>
      <c r="BU835" s="104"/>
      <c r="BV835" s="104"/>
      <c r="BW835" s="104"/>
      <c r="BX835" s="104"/>
    </row>
    <row r="836" spans="1:7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 s="104"/>
      <c r="BG836" s="104"/>
      <c r="BH836" s="104"/>
      <c r="BI836" s="104"/>
      <c r="BJ836" s="104"/>
      <c r="BK836" s="104"/>
      <c r="BL836" s="104"/>
      <c r="BM836" s="104"/>
      <c r="BN836" s="104"/>
      <c r="BO836" s="104"/>
      <c r="BP836" s="104"/>
      <c r="BQ836" s="104"/>
      <c r="BR836" s="104"/>
      <c r="BS836" s="104"/>
      <c r="BT836" s="104"/>
      <c r="BU836" s="104"/>
      <c r="BV836" s="104"/>
      <c r="BW836" s="104"/>
      <c r="BX836" s="104"/>
    </row>
    <row r="837" spans="1:7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 s="104"/>
      <c r="BG837" s="104"/>
      <c r="BH837" s="104"/>
      <c r="BI837" s="104"/>
      <c r="BJ837" s="104"/>
      <c r="BK837" s="104"/>
      <c r="BL837" s="104"/>
      <c r="BM837" s="104"/>
      <c r="BN837" s="104"/>
      <c r="BO837" s="104"/>
      <c r="BP837" s="104"/>
      <c r="BQ837" s="104"/>
      <c r="BR837" s="104"/>
      <c r="BS837" s="104"/>
      <c r="BT837" s="104"/>
      <c r="BU837" s="104"/>
      <c r="BV837" s="104"/>
      <c r="BW837" s="104"/>
      <c r="BX837" s="104"/>
    </row>
    <row r="838" spans="1:7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 s="104"/>
      <c r="BG838" s="104"/>
      <c r="BH838" s="104"/>
      <c r="BI838" s="104"/>
      <c r="BJ838" s="104"/>
      <c r="BK838" s="104"/>
      <c r="BL838" s="104"/>
      <c r="BM838" s="104"/>
      <c r="BN838" s="104"/>
      <c r="BO838" s="104"/>
      <c r="BP838" s="104"/>
      <c r="BQ838" s="104"/>
      <c r="BR838" s="104"/>
      <c r="BS838" s="104"/>
      <c r="BT838" s="104"/>
      <c r="BU838" s="104"/>
      <c r="BV838" s="104"/>
      <c r="BW838" s="104"/>
      <c r="BX838" s="104"/>
    </row>
    <row r="839" spans="1:7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 s="104"/>
      <c r="BG839" s="104"/>
      <c r="BH839" s="104"/>
      <c r="BI839" s="104"/>
      <c r="BJ839" s="104"/>
      <c r="BK839" s="104"/>
      <c r="BL839" s="104"/>
      <c r="BM839" s="104"/>
      <c r="BN839" s="104"/>
      <c r="BO839" s="104"/>
      <c r="BP839" s="104"/>
      <c r="BQ839" s="104"/>
      <c r="BR839" s="104"/>
      <c r="BS839" s="104"/>
      <c r="BT839" s="104"/>
      <c r="BU839" s="104"/>
      <c r="BV839" s="104"/>
      <c r="BW839" s="104"/>
      <c r="BX839" s="104"/>
    </row>
    <row r="840" spans="1:7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 s="104"/>
      <c r="BG840" s="104"/>
      <c r="BH840" s="104"/>
      <c r="BI840" s="104"/>
      <c r="BJ840" s="104"/>
      <c r="BK840" s="104"/>
      <c r="BL840" s="104"/>
      <c r="BM840" s="104"/>
      <c r="BN840" s="104"/>
      <c r="BO840" s="104"/>
      <c r="BP840" s="104"/>
      <c r="BQ840" s="104"/>
      <c r="BR840" s="104"/>
      <c r="BS840" s="104"/>
      <c r="BT840" s="104"/>
      <c r="BU840" s="104"/>
      <c r="BV840" s="104"/>
      <c r="BW840" s="104"/>
      <c r="BX840" s="104"/>
    </row>
    <row r="841" spans="1:7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 s="104"/>
      <c r="BG841" s="104"/>
      <c r="BH841" s="104"/>
      <c r="BI841" s="104"/>
      <c r="BJ841" s="104"/>
      <c r="BK841" s="104"/>
      <c r="BL841" s="104"/>
      <c r="BM841" s="104"/>
      <c r="BN841" s="104"/>
      <c r="BO841" s="104"/>
      <c r="BP841" s="104"/>
      <c r="BQ841" s="104"/>
      <c r="BR841" s="104"/>
      <c r="BS841" s="104"/>
      <c r="BT841" s="104"/>
      <c r="BU841" s="104"/>
      <c r="BV841" s="104"/>
      <c r="BW841" s="104"/>
      <c r="BX841" s="104"/>
    </row>
    <row r="842" spans="1:7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 s="104"/>
      <c r="BG842" s="104"/>
      <c r="BH842" s="104"/>
      <c r="BI842" s="104"/>
      <c r="BJ842" s="104"/>
      <c r="BK842" s="104"/>
      <c r="BL842" s="104"/>
      <c r="BM842" s="104"/>
      <c r="BN842" s="104"/>
      <c r="BO842" s="104"/>
      <c r="BP842" s="104"/>
      <c r="BQ842" s="104"/>
      <c r="BR842" s="104"/>
      <c r="BS842" s="104"/>
      <c r="BT842" s="104"/>
      <c r="BU842" s="104"/>
      <c r="BV842" s="104"/>
      <c r="BW842" s="104"/>
      <c r="BX842" s="104"/>
    </row>
    <row r="843" spans="1:7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 s="104"/>
      <c r="BG843" s="104"/>
      <c r="BH843" s="104"/>
      <c r="BI843" s="104"/>
      <c r="BJ843" s="104"/>
      <c r="BK843" s="104"/>
      <c r="BL843" s="104"/>
      <c r="BM843" s="104"/>
      <c r="BN843" s="104"/>
      <c r="BO843" s="104"/>
      <c r="BP843" s="104"/>
      <c r="BQ843" s="104"/>
      <c r="BR843" s="104"/>
      <c r="BS843" s="104"/>
      <c r="BT843" s="104"/>
      <c r="BU843" s="104"/>
      <c r="BV843" s="104"/>
      <c r="BW843" s="104"/>
      <c r="BX843" s="104"/>
    </row>
    <row r="844" spans="1:7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 s="104"/>
      <c r="BG844" s="104"/>
      <c r="BH844" s="104"/>
      <c r="BI844" s="104"/>
      <c r="BJ844" s="104"/>
      <c r="BK844" s="104"/>
      <c r="BL844" s="104"/>
      <c r="BM844" s="104"/>
      <c r="BN844" s="104"/>
      <c r="BO844" s="104"/>
      <c r="BP844" s="104"/>
      <c r="BQ844" s="104"/>
      <c r="BR844" s="104"/>
      <c r="BS844" s="104"/>
      <c r="BT844" s="104"/>
      <c r="BU844" s="104"/>
      <c r="BV844" s="104"/>
      <c r="BW844" s="104"/>
      <c r="BX844" s="104"/>
    </row>
    <row r="845" spans="1:7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 s="104"/>
      <c r="BG845" s="104"/>
      <c r="BH845" s="104"/>
      <c r="BI845" s="104"/>
      <c r="BJ845" s="104"/>
      <c r="BK845" s="104"/>
      <c r="BL845" s="104"/>
      <c r="BM845" s="104"/>
      <c r="BN845" s="104"/>
      <c r="BO845" s="104"/>
      <c r="BP845" s="104"/>
      <c r="BQ845" s="104"/>
      <c r="BR845" s="104"/>
      <c r="BS845" s="104"/>
      <c r="BT845" s="104"/>
      <c r="BU845" s="104"/>
      <c r="BV845" s="104"/>
      <c r="BW845" s="104"/>
      <c r="BX845" s="104"/>
    </row>
    <row r="846" spans="1:7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 s="104"/>
      <c r="BG846" s="104"/>
      <c r="BH846" s="104"/>
      <c r="BI846" s="104"/>
      <c r="BJ846" s="104"/>
      <c r="BK846" s="104"/>
      <c r="BL846" s="104"/>
      <c r="BM846" s="104"/>
      <c r="BN846" s="104"/>
      <c r="BO846" s="104"/>
      <c r="BP846" s="104"/>
      <c r="BQ846" s="104"/>
      <c r="BR846" s="104"/>
      <c r="BS846" s="104"/>
      <c r="BT846" s="104"/>
      <c r="BU846" s="104"/>
      <c r="BV846" s="104"/>
      <c r="BW846" s="104"/>
      <c r="BX846" s="104"/>
    </row>
    <row r="847" spans="1:7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 s="104"/>
      <c r="BG847" s="104"/>
      <c r="BH847" s="104"/>
      <c r="BI847" s="104"/>
      <c r="BJ847" s="104"/>
      <c r="BK847" s="104"/>
      <c r="BL847" s="104"/>
      <c r="BM847" s="104"/>
      <c r="BN847" s="104"/>
      <c r="BO847" s="104"/>
      <c r="BP847" s="104"/>
      <c r="BQ847" s="104"/>
      <c r="BR847" s="104"/>
      <c r="BS847" s="104"/>
      <c r="BT847" s="104"/>
      <c r="BU847" s="104"/>
      <c r="BV847" s="104"/>
      <c r="BW847" s="104"/>
      <c r="BX847" s="104"/>
    </row>
    <row r="848" spans="1:7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 s="104"/>
      <c r="BG848" s="104"/>
      <c r="BH848" s="104"/>
      <c r="BI848" s="104"/>
      <c r="BJ848" s="104"/>
      <c r="BK848" s="104"/>
      <c r="BL848" s="104"/>
      <c r="BM848" s="104"/>
      <c r="BN848" s="104"/>
      <c r="BO848" s="104"/>
      <c r="BP848" s="104"/>
      <c r="BQ848" s="104"/>
      <c r="BR848" s="104"/>
      <c r="BS848" s="104"/>
      <c r="BT848" s="104"/>
      <c r="BU848" s="104"/>
      <c r="BV848" s="104"/>
      <c r="BW848" s="104"/>
      <c r="BX848" s="104"/>
    </row>
    <row r="849" spans="1:7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 s="104"/>
      <c r="BG849" s="104"/>
      <c r="BH849" s="104"/>
      <c r="BI849" s="104"/>
      <c r="BJ849" s="104"/>
      <c r="BK849" s="104"/>
      <c r="BL849" s="104"/>
      <c r="BM849" s="104"/>
      <c r="BN849" s="104"/>
      <c r="BO849" s="104"/>
      <c r="BP849" s="104"/>
      <c r="BQ849" s="104"/>
      <c r="BR849" s="104"/>
      <c r="BS849" s="104"/>
      <c r="BT849" s="104"/>
      <c r="BU849" s="104"/>
      <c r="BV849" s="104"/>
      <c r="BW849" s="104"/>
      <c r="BX849" s="104"/>
    </row>
    <row r="850" spans="1:7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 s="104"/>
      <c r="BG850" s="104"/>
      <c r="BH850" s="104"/>
      <c r="BI850" s="104"/>
      <c r="BJ850" s="104"/>
      <c r="BK850" s="104"/>
      <c r="BL850" s="104"/>
      <c r="BM850" s="104"/>
      <c r="BN850" s="104"/>
      <c r="BO850" s="104"/>
      <c r="BP850" s="104"/>
      <c r="BQ850" s="104"/>
      <c r="BR850" s="104"/>
      <c r="BS850" s="104"/>
      <c r="BT850" s="104"/>
      <c r="BU850" s="104"/>
      <c r="BV850" s="104"/>
      <c r="BW850" s="104"/>
      <c r="BX850" s="104"/>
    </row>
    <row r="851" spans="1:7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 s="104"/>
      <c r="BG851" s="104"/>
      <c r="BH851" s="104"/>
      <c r="BI851" s="104"/>
      <c r="BJ851" s="104"/>
      <c r="BK851" s="104"/>
      <c r="BL851" s="104"/>
      <c r="BM851" s="104"/>
      <c r="BN851" s="104"/>
      <c r="BO851" s="104"/>
      <c r="BP851" s="104"/>
      <c r="BQ851" s="104"/>
      <c r="BR851" s="104"/>
      <c r="BS851" s="104"/>
      <c r="BT851" s="104"/>
      <c r="BU851" s="104"/>
      <c r="BV851" s="104"/>
      <c r="BW851" s="104"/>
      <c r="BX851" s="104"/>
    </row>
    <row r="852" spans="1:7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 s="104"/>
      <c r="BG852" s="104"/>
      <c r="BH852" s="104"/>
      <c r="BI852" s="104"/>
      <c r="BJ852" s="104"/>
      <c r="BK852" s="104"/>
      <c r="BL852" s="104"/>
      <c r="BM852" s="104"/>
      <c r="BN852" s="104"/>
      <c r="BO852" s="104"/>
      <c r="BP852" s="104"/>
      <c r="BQ852" s="104"/>
      <c r="BR852" s="104"/>
      <c r="BS852" s="104"/>
      <c r="BT852" s="104"/>
      <c r="BU852" s="104"/>
      <c r="BV852" s="104"/>
      <c r="BW852" s="104"/>
      <c r="BX852" s="104"/>
    </row>
    <row r="853" spans="1:7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 s="104"/>
      <c r="BG853" s="104"/>
      <c r="BH853" s="104"/>
      <c r="BI853" s="104"/>
      <c r="BJ853" s="104"/>
      <c r="BK853" s="104"/>
      <c r="BL853" s="104"/>
      <c r="BM853" s="104"/>
      <c r="BN853" s="104"/>
      <c r="BO853" s="104"/>
      <c r="BP853" s="104"/>
      <c r="BQ853" s="104"/>
      <c r="BR853" s="104"/>
      <c r="BS853" s="104"/>
      <c r="BT853" s="104"/>
      <c r="BU853" s="104"/>
      <c r="BV853" s="104"/>
      <c r="BW853" s="104"/>
      <c r="BX853" s="104"/>
    </row>
    <row r="854" spans="1:7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 s="104"/>
      <c r="BG854" s="104"/>
      <c r="BH854" s="104"/>
      <c r="BI854" s="104"/>
      <c r="BJ854" s="104"/>
      <c r="BK854" s="104"/>
      <c r="BL854" s="104"/>
      <c r="BM854" s="104"/>
      <c r="BN854" s="104"/>
      <c r="BO854" s="104"/>
      <c r="BP854" s="104"/>
      <c r="BQ854" s="104"/>
      <c r="BR854" s="104"/>
      <c r="BS854" s="104"/>
      <c r="BT854" s="104"/>
      <c r="BU854" s="104"/>
      <c r="BV854" s="104"/>
      <c r="BW854" s="104"/>
      <c r="BX854" s="104"/>
    </row>
    <row r="855" spans="1:7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 s="104"/>
      <c r="BG855" s="104"/>
      <c r="BH855" s="104"/>
      <c r="BI855" s="104"/>
      <c r="BJ855" s="104"/>
      <c r="BK855" s="104"/>
      <c r="BL855" s="104"/>
      <c r="BM855" s="104"/>
      <c r="BN855" s="104"/>
      <c r="BO855" s="104"/>
      <c r="BP855" s="104"/>
      <c r="BQ855" s="104"/>
      <c r="BR855" s="104"/>
      <c r="BS855" s="104"/>
      <c r="BT855" s="104"/>
      <c r="BU855" s="104"/>
      <c r="BV855" s="104"/>
      <c r="BW855" s="104"/>
      <c r="BX855" s="104"/>
    </row>
    <row r="856" spans="1:7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 s="104"/>
      <c r="BG856" s="104"/>
      <c r="BH856" s="104"/>
      <c r="BI856" s="104"/>
      <c r="BJ856" s="104"/>
      <c r="BK856" s="104"/>
      <c r="BL856" s="104"/>
      <c r="BM856" s="104"/>
      <c r="BN856" s="104"/>
      <c r="BO856" s="104"/>
      <c r="BP856" s="104"/>
      <c r="BQ856" s="104"/>
      <c r="BR856" s="104"/>
      <c r="BS856" s="104"/>
      <c r="BT856" s="104"/>
      <c r="BU856" s="104"/>
      <c r="BV856" s="104"/>
      <c r="BW856" s="104"/>
      <c r="BX856" s="104"/>
    </row>
    <row r="857" spans="1:7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 s="104"/>
      <c r="BG857" s="104"/>
      <c r="BH857" s="104"/>
      <c r="BI857" s="104"/>
      <c r="BJ857" s="104"/>
      <c r="BK857" s="104"/>
      <c r="BL857" s="104"/>
      <c r="BM857" s="104"/>
      <c r="BN857" s="104"/>
      <c r="BO857" s="104"/>
      <c r="BP857" s="104"/>
      <c r="BQ857" s="104"/>
      <c r="BR857" s="104"/>
      <c r="BS857" s="104"/>
      <c r="BT857" s="104"/>
      <c r="BU857" s="104"/>
      <c r="BV857" s="104"/>
      <c r="BW857" s="104"/>
      <c r="BX857" s="104"/>
    </row>
    <row r="858" spans="1:7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 s="104"/>
      <c r="BG858" s="104"/>
      <c r="BH858" s="104"/>
      <c r="BI858" s="104"/>
      <c r="BJ858" s="104"/>
      <c r="BK858" s="104"/>
      <c r="BL858" s="104"/>
      <c r="BM858" s="104"/>
      <c r="BN858" s="104"/>
      <c r="BO858" s="104"/>
      <c r="BP858" s="104"/>
      <c r="BQ858" s="104"/>
      <c r="BR858" s="104"/>
      <c r="BS858" s="104"/>
      <c r="BT858" s="104"/>
      <c r="BU858" s="104"/>
      <c r="BV858" s="104"/>
      <c r="BW858" s="104"/>
      <c r="BX858" s="104"/>
    </row>
    <row r="859" spans="1:7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 s="104"/>
      <c r="BG859" s="104"/>
      <c r="BH859" s="104"/>
      <c r="BI859" s="104"/>
      <c r="BJ859" s="104"/>
      <c r="BK859" s="104"/>
      <c r="BL859" s="104"/>
      <c r="BM859" s="104"/>
      <c r="BN859" s="104"/>
      <c r="BO859" s="104"/>
      <c r="BP859" s="104"/>
      <c r="BQ859" s="104"/>
      <c r="BR859" s="104"/>
      <c r="BS859" s="104"/>
      <c r="BT859" s="104"/>
      <c r="BU859" s="104"/>
      <c r="BV859" s="104"/>
      <c r="BW859" s="104"/>
      <c r="BX859" s="104"/>
    </row>
    <row r="860" spans="1:7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 s="104"/>
      <c r="BG860" s="104"/>
      <c r="BH860" s="104"/>
      <c r="BI860" s="104"/>
      <c r="BJ860" s="104"/>
      <c r="BK860" s="104"/>
      <c r="BL860" s="104"/>
      <c r="BM860" s="104"/>
      <c r="BN860" s="104"/>
      <c r="BO860" s="104"/>
      <c r="BP860" s="104"/>
      <c r="BQ860" s="104"/>
      <c r="BR860" s="104"/>
      <c r="BS860" s="104"/>
      <c r="BT860" s="104"/>
      <c r="BU860" s="104"/>
      <c r="BV860" s="104"/>
      <c r="BW860" s="104"/>
      <c r="BX860" s="104"/>
    </row>
    <row r="861" spans="1:7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 s="104"/>
      <c r="BG861" s="104"/>
      <c r="BH861" s="104"/>
      <c r="BI861" s="104"/>
      <c r="BJ861" s="104"/>
      <c r="BK861" s="104"/>
      <c r="BL861" s="104"/>
      <c r="BM861" s="104"/>
      <c r="BN861" s="104"/>
      <c r="BO861" s="104"/>
      <c r="BP861" s="104"/>
      <c r="BQ861" s="104"/>
      <c r="BR861" s="104"/>
      <c r="BS861" s="104"/>
      <c r="BT861" s="104"/>
      <c r="BU861" s="104"/>
      <c r="BV861" s="104"/>
      <c r="BW861" s="104"/>
      <c r="BX861" s="104"/>
    </row>
    <row r="862" spans="1:7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 s="104"/>
      <c r="BG862" s="104"/>
      <c r="BH862" s="104"/>
      <c r="BI862" s="104"/>
      <c r="BJ862" s="104"/>
      <c r="BK862" s="104"/>
      <c r="BL862" s="104"/>
      <c r="BM862" s="104"/>
      <c r="BN862" s="104"/>
      <c r="BO862" s="104"/>
      <c r="BP862" s="104"/>
      <c r="BQ862" s="104"/>
      <c r="BR862" s="104"/>
      <c r="BS862" s="104"/>
      <c r="BT862" s="104"/>
      <c r="BU862" s="104"/>
      <c r="BV862" s="104"/>
      <c r="BW862" s="104"/>
      <c r="BX862" s="104"/>
    </row>
    <row r="863" spans="1:7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 s="104"/>
      <c r="BG863" s="104"/>
      <c r="BH863" s="104"/>
      <c r="BI863" s="104"/>
      <c r="BJ863" s="104"/>
      <c r="BK863" s="104"/>
      <c r="BL863" s="104"/>
      <c r="BM863" s="104"/>
      <c r="BN863" s="104"/>
      <c r="BO863" s="104"/>
      <c r="BP863" s="104"/>
      <c r="BQ863" s="104"/>
      <c r="BR863" s="104"/>
      <c r="BS863" s="104"/>
      <c r="BT863" s="104"/>
      <c r="BU863" s="104"/>
      <c r="BV863" s="104"/>
      <c r="BW863" s="104"/>
      <c r="BX863" s="104"/>
    </row>
    <row r="864" spans="1:7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 s="104"/>
      <c r="BG864" s="104"/>
      <c r="BH864" s="104"/>
      <c r="BI864" s="104"/>
      <c r="BJ864" s="104"/>
      <c r="BK864" s="104"/>
      <c r="BL864" s="104"/>
      <c r="BM864" s="104"/>
      <c r="BN864" s="104"/>
      <c r="BO864" s="104"/>
      <c r="BP864" s="104"/>
      <c r="BQ864" s="104"/>
      <c r="BR864" s="104"/>
      <c r="BS864" s="104"/>
      <c r="BT864" s="104"/>
      <c r="BU864" s="104"/>
      <c r="BV864" s="104"/>
      <c r="BW864" s="104"/>
      <c r="BX864" s="104"/>
    </row>
    <row r="865" spans="1:7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 s="104"/>
      <c r="BG865" s="104"/>
      <c r="BH865" s="104"/>
      <c r="BI865" s="104"/>
      <c r="BJ865" s="104"/>
      <c r="BK865" s="104"/>
      <c r="BL865" s="104"/>
      <c r="BM865" s="104"/>
      <c r="BN865" s="104"/>
      <c r="BO865" s="104"/>
      <c r="BP865" s="104"/>
      <c r="BQ865" s="104"/>
      <c r="BR865" s="104"/>
      <c r="BS865" s="104"/>
      <c r="BT865" s="104"/>
      <c r="BU865" s="104"/>
      <c r="BV865" s="104"/>
      <c r="BW865" s="104"/>
      <c r="BX865" s="104"/>
    </row>
    <row r="866" spans="1:7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 s="104"/>
      <c r="BG866" s="104"/>
      <c r="BH866" s="104"/>
      <c r="BI866" s="104"/>
      <c r="BJ866" s="104"/>
      <c r="BK866" s="104"/>
      <c r="BL866" s="104"/>
      <c r="BM866" s="104"/>
      <c r="BN866" s="104"/>
      <c r="BO866" s="104"/>
      <c r="BP866" s="104"/>
      <c r="BQ866" s="104"/>
      <c r="BR866" s="104"/>
      <c r="BS866" s="104"/>
      <c r="BT866" s="104"/>
      <c r="BU866" s="104"/>
      <c r="BV866" s="104"/>
      <c r="BW866" s="104"/>
      <c r="BX866" s="104"/>
    </row>
    <row r="867" spans="1:7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 s="104"/>
      <c r="BG867" s="104"/>
      <c r="BH867" s="104"/>
      <c r="BI867" s="104"/>
      <c r="BJ867" s="104"/>
      <c r="BK867" s="104"/>
      <c r="BL867" s="104"/>
      <c r="BM867" s="104"/>
      <c r="BN867" s="104"/>
      <c r="BO867" s="104"/>
      <c r="BP867" s="104"/>
      <c r="BQ867" s="104"/>
      <c r="BR867" s="104"/>
      <c r="BS867" s="104"/>
      <c r="BT867" s="104"/>
      <c r="BU867" s="104"/>
      <c r="BV867" s="104"/>
      <c r="BW867" s="104"/>
      <c r="BX867" s="104"/>
    </row>
    <row r="868" spans="1:7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 s="104"/>
      <c r="BG868" s="104"/>
      <c r="BH868" s="104"/>
      <c r="BI868" s="104"/>
      <c r="BJ868" s="104"/>
      <c r="BK868" s="104"/>
      <c r="BL868" s="104"/>
      <c r="BM868" s="104"/>
      <c r="BN868" s="104"/>
      <c r="BO868" s="104"/>
      <c r="BP868" s="104"/>
      <c r="BQ868" s="104"/>
      <c r="BR868" s="104"/>
      <c r="BS868" s="104"/>
      <c r="BT868" s="104"/>
      <c r="BU868" s="104"/>
      <c r="BV868" s="104"/>
      <c r="BW868" s="104"/>
      <c r="BX868" s="104"/>
    </row>
    <row r="869" spans="1:7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 s="104"/>
      <c r="BG869" s="104"/>
      <c r="BH869" s="104"/>
      <c r="BI869" s="104"/>
      <c r="BJ869" s="104"/>
      <c r="BK869" s="104"/>
      <c r="BL869" s="104"/>
      <c r="BM869" s="104"/>
      <c r="BN869" s="104"/>
      <c r="BO869" s="104"/>
      <c r="BP869" s="104"/>
      <c r="BQ869" s="104"/>
      <c r="BR869" s="104"/>
      <c r="BS869" s="104"/>
      <c r="BT869" s="104"/>
      <c r="BU869" s="104"/>
      <c r="BV869" s="104"/>
      <c r="BW869" s="104"/>
      <c r="BX869" s="104"/>
    </row>
    <row r="870" spans="1:7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 s="104"/>
      <c r="BG870" s="104"/>
      <c r="BH870" s="104"/>
      <c r="BI870" s="104"/>
      <c r="BJ870" s="104"/>
      <c r="BK870" s="104"/>
      <c r="BL870" s="104"/>
      <c r="BM870" s="104"/>
      <c r="BN870" s="104"/>
      <c r="BO870" s="104"/>
      <c r="BP870" s="104"/>
      <c r="BQ870" s="104"/>
      <c r="BR870" s="104"/>
      <c r="BS870" s="104"/>
      <c r="BT870" s="104"/>
      <c r="BU870" s="104"/>
      <c r="BV870" s="104"/>
      <c r="BW870" s="104"/>
      <c r="BX870" s="104"/>
    </row>
    <row r="871" spans="1:7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 s="104"/>
      <c r="BG871" s="104"/>
      <c r="BH871" s="104"/>
      <c r="BI871" s="104"/>
      <c r="BJ871" s="104"/>
      <c r="BK871" s="104"/>
      <c r="BL871" s="104"/>
      <c r="BM871" s="104"/>
      <c r="BN871" s="104"/>
      <c r="BO871" s="104"/>
      <c r="BP871" s="104"/>
      <c r="BQ871" s="104"/>
      <c r="BR871" s="104"/>
      <c r="BS871" s="104"/>
      <c r="BT871" s="104"/>
      <c r="BU871" s="104"/>
      <c r="BV871" s="104"/>
      <c r="BW871" s="104"/>
      <c r="BX871" s="104"/>
    </row>
    <row r="872" spans="1:7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 s="104"/>
      <c r="BG872" s="104"/>
      <c r="BH872" s="104"/>
      <c r="BI872" s="104"/>
      <c r="BJ872" s="104"/>
      <c r="BK872" s="104"/>
      <c r="BL872" s="104"/>
      <c r="BM872" s="104"/>
      <c r="BN872" s="104"/>
      <c r="BO872" s="104"/>
      <c r="BP872" s="104"/>
      <c r="BQ872" s="104"/>
      <c r="BR872" s="104"/>
      <c r="BS872" s="104"/>
      <c r="BT872" s="104"/>
      <c r="BU872" s="104"/>
      <c r="BV872" s="104"/>
      <c r="BW872" s="104"/>
      <c r="BX872" s="104"/>
    </row>
    <row r="873" spans="1:7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 s="104"/>
      <c r="BG873" s="104"/>
      <c r="BH873" s="104"/>
      <c r="BI873" s="104"/>
      <c r="BJ873" s="104"/>
      <c r="BK873" s="104"/>
      <c r="BL873" s="104"/>
      <c r="BM873" s="104"/>
      <c r="BN873" s="104"/>
      <c r="BO873" s="104"/>
      <c r="BP873" s="104"/>
      <c r="BQ873" s="104"/>
      <c r="BR873" s="104"/>
      <c r="BS873" s="104"/>
      <c r="BT873" s="104"/>
      <c r="BU873" s="104"/>
      <c r="BV873" s="104"/>
      <c r="BW873" s="104"/>
      <c r="BX873" s="104"/>
    </row>
    <row r="874" spans="1:7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 s="104"/>
      <c r="BG874" s="104"/>
      <c r="BH874" s="104"/>
      <c r="BI874" s="104"/>
      <c r="BJ874" s="104"/>
      <c r="BK874" s="104"/>
      <c r="BL874" s="104"/>
      <c r="BM874" s="104"/>
      <c r="BN874" s="104"/>
      <c r="BO874" s="104"/>
      <c r="BP874" s="104"/>
      <c r="BQ874" s="104"/>
      <c r="BR874" s="104"/>
      <c r="BS874" s="104"/>
      <c r="BT874" s="104"/>
      <c r="BU874" s="104"/>
      <c r="BV874" s="104"/>
      <c r="BW874" s="104"/>
      <c r="BX874" s="104"/>
    </row>
    <row r="875" spans="1:7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 s="104"/>
      <c r="BG875" s="104"/>
      <c r="BH875" s="104"/>
      <c r="BI875" s="104"/>
      <c r="BJ875" s="104"/>
      <c r="BK875" s="104"/>
      <c r="BL875" s="104"/>
      <c r="BM875" s="104"/>
      <c r="BN875" s="104"/>
      <c r="BO875" s="104"/>
      <c r="BP875" s="104"/>
      <c r="BQ875" s="104"/>
      <c r="BR875" s="104"/>
      <c r="BS875" s="104"/>
      <c r="BT875" s="104"/>
      <c r="BU875" s="104"/>
      <c r="BV875" s="104"/>
      <c r="BW875" s="104"/>
      <c r="BX875" s="104"/>
    </row>
    <row r="876" spans="1:7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 s="104"/>
      <c r="BG876" s="104"/>
      <c r="BH876" s="104"/>
      <c r="BI876" s="104"/>
      <c r="BJ876" s="104"/>
      <c r="BK876" s="104"/>
      <c r="BL876" s="104"/>
      <c r="BM876" s="104"/>
      <c r="BN876" s="104"/>
      <c r="BO876" s="104"/>
      <c r="BP876" s="104"/>
      <c r="BQ876" s="104"/>
      <c r="BR876" s="104"/>
      <c r="BS876" s="104"/>
      <c r="BT876" s="104"/>
      <c r="BU876" s="104"/>
      <c r="BV876" s="104"/>
      <c r="BW876" s="104"/>
      <c r="BX876" s="104"/>
    </row>
    <row r="877" spans="1:7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 s="104"/>
      <c r="BG877" s="104"/>
      <c r="BH877" s="104"/>
      <c r="BI877" s="104"/>
      <c r="BJ877" s="104"/>
      <c r="BK877" s="104"/>
      <c r="BL877" s="104"/>
      <c r="BM877" s="104"/>
      <c r="BN877" s="104"/>
      <c r="BO877" s="104"/>
      <c r="BP877" s="104"/>
      <c r="BQ877" s="104"/>
      <c r="BR877" s="104"/>
      <c r="BS877" s="104"/>
      <c r="BT877" s="104"/>
      <c r="BU877" s="104"/>
      <c r="BV877" s="104"/>
      <c r="BW877" s="104"/>
      <c r="BX877" s="104"/>
    </row>
    <row r="878" spans="1:7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 s="104"/>
      <c r="BG878" s="104"/>
      <c r="BH878" s="104"/>
      <c r="BI878" s="104"/>
      <c r="BJ878" s="104"/>
      <c r="BK878" s="104"/>
      <c r="BL878" s="104"/>
      <c r="BM878" s="104"/>
      <c r="BN878" s="104"/>
      <c r="BO878" s="104"/>
      <c r="BP878" s="104"/>
      <c r="BQ878" s="104"/>
      <c r="BR878" s="104"/>
      <c r="BS878" s="104"/>
      <c r="BT878" s="104"/>
      <c r="BU878" s="104"/>
      <c r="BV878" s="104"/>
      <c r="BW878" s="104"/>
      <c r="BX878" s="104"/>
    </row>
    <row r="879" spans="1:7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 s="104"/>
      <c r="BG879" s="104"/>
      <c r="BH879" s="104"/>
      <c r="BI879" s="104"/>
      <c r="BJ879" s="104"/>
      <c r="BK879" s="104"/>
      <c r="BL879" s="104"/>
      <c r="BM879" s="104"/>
      <c r="BN879" s="104"/>
      <c r="BO879" s="104"/>
      <c r="BP879" s="104"/>
      <c r="BQ879" s="104"/>
      <c r="BR879" s="104"/>
      <c r="BS879" s="104"/>
      <c r="BT879" s="104"/>
      <c r="BU879" s="104"/>
      <c r="BV879" s="104"/>
      <c r="BW879" s="104"/>
      <c r="BX879" s="104"/>
    </row>
    <row r="880" spans="1:7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 s="104"/>
      <c r="BG880" s="104"/>
      <c r="BH880" s="104"/>
      <c r="BI880" s="104"/>
      <c r="BJ880" s="104"/>
      <c r="BK880" s="104"/>
      <c r="BL880" s="104"/>
      <c r="BM880" s="104"/>
      <c r="BN880" s="104"/>
      <c r="BO880" s="104"/>
      <c r="BP880" s="104"/>
      <c r="BQ880" s="104"/>
      <c r="BR880" s="104"/>
      <c r="BS880" s="104"/>
      <c r="BT880" s="104"/>
      <c r="BU880" s="104"/>
      <c r="BV880" s="104"/>
      <c r="BW880" s="104"/>
      <c r="BX880" s="104"/>
    </row>
    <row r="881" spans="1:7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 s="104"/>
      <c r="BG881" s="104"/>
      <c r="BH881" s="104"/>
      <c r="BI881" s="104"/>
      <c r="BJ881" s="104"/>
      <c r="BK881" s="104"/>
      <c r="BL881" s="104"/>
      <c r="BM881" s="104"/>
      <c r="BN881" s="104"/>
      <c r="BO881" s="104"/>
      <c r="BP881" s="104"/>
      <c r="BQ881" s="104"/>
      <c r="BR881" s="104"/>
      <c r="BS881" s="104"/>
      <c r="BT881" s="104"/>
      <c r="BU881" s="104"/>
      <c r="BV881" s="104"/>
      <c r="BW881" s="104"/>
      <c r="BX881" s="104"/>
    </row>
    <row r="882" spans="1:7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 s="104"/>
      <c r="BG882" s="104"/>
      <c r="BH882" s="104"/>
      <c r="BI882" s="104"/>
      <c r="BJ882" s="104"/>
      <c r="BK882" s="104"/>
      <c r="BL882" s="104"/>
      <c r="BM882" s="104"/>
      <c r="BN882" s="104"/>
      <c r="BO882" s="104"/>
      <c r="BP882" s="104"/>
      <c r="BQ882" s="104"/>
      <c r="BR882" s="104"/>
      <c r="BS882" s="104"/>
      <c r="BT882" s="104"/>
      <c r="BU882" s="104"/>
      <c r="BV882" s="104"/>
      <c r="BW882" s="104"/>
      <c r="BX882" s="104"/>
    </row>
    <row r="883" spans="1:7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 s="104"/>
      <c r="BG883" s="104"/>
      <c r="BH883" s="104"/>
      <c r="BI883" s="104"/>
      <c r="BJ883" s="104"/>
      <c r="BK883" s="104"/>
      <c r="BL883" s="104"/>
      <c r="BM883" s="104"/>
      <c r="BN883" s="104"/>
      <c r="BO883" s="104"/>
      <c r="BP883" s="104"/>
      <c r="BQ883" s="104"/>
      <c r="BR883" s="104"/>
      <c r="BS883" s="104"/>
      <c r="BT883" s="104"/>
      <c r="BU883" s="104"/>
      <c r="BV883" s="104"/>
      <c r="BW883" s="104"/>
      <c r="BX883" s="104"/>
    </row>
    <row r="884" spans="1:7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 s="104"/>
      <c r="BG884" s="104"/>
      <c r="BH884" s="104"/>
      <c r="BI884" s="104"/>
      <c r="BJ884" s="104"/>
      <c r="BK884" s="104"/>
      <c r="BL884" s="104"/>
      <c r="BM884" s="104"/>
      <c r="BN884" s="104"/>
      <c r="BO884" s="104"/>
      <c r="BP884" s="104"/>
      <c r="BQ884" s="104"/>
      <c r="BR884" s="104"/>
      <c r="BS884" s="104"/>
      <c r="BT884" s="104"/>
      <c r="BU884" s="104"/>
      <c r="BV884" s="104"/>
      <c r="BW884" s="104"/>
      <c r="BX884" s="104"/>
    </row>
    <row r="885" spans="1:7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 s="104"/>
      <c r="BG885" s="104"/>
      <c r="BH885" s="104"/>
      <c r="BI885" s="104"/>
      <c r="BJ885" s="104"/>
      <c r="BK885" s="104"/>
      <c r="BL885" s="104"/>
      <c r="BM885" s="104"/>
      <c r="BN885" s="104"/>
      <c r="BO885" s="104"/>
      <c r="BP885" s="104"/>
      <c r="BQ885" s="104"/>
      <c r="BR885" s="104"/>
      <c r="BS885" s="104"/>
      <c r="BT885" s="104"/>
      <c r="BU885" s="104"/>
      <c r="BV885" s="104"/>
      <c r="BW885" s="104"/>
      <c r="BX885" s="104"/>
    </row>
    <row r="886" spans="1:7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 s="104"/>
      <c r="BG886" s="104"/>
      <c r="BH886" s="104"/>
      <c r="BI886" s="104"/>
      <c r="BJ886" s="104"/>
      <c r="BK886" s="104"/>
      <c r="BL886" s="104"/>
      <c r="BM886" s="104"/>
      <c r="BN886" s="104"/>
      <c r="BO886" s="104"/>
      <c r="BP886" s="104"/>
      <c r="BQ886" s="104"/>
      <c r="BR886" s="104"/>
      <c r="BS886" s="104"/>
      <c r="BT886" s="104"/>
      <c r="BU886" s="104"/>
      <c r="BV886" s="104"/>
      <c r="BW886" s="104"/>
      <c r="BX886" s="104"/>
    </row>
    <row r="887" spans="1:7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 s="104"/>
      <c r="BG887" s="104"/>
      <c r="BH887" s="104"/>
      <c r="BI887" s="104"/>
      <c r="BJ887" s="104"/>
      <c r="BK887" s="104"/>
      <c r="BL887" s="104"/>
      <c r="BM887" s="104"/>
      <c r="BN887" s="104"/>
      <c r="BO887" s="104"/>
      <c r="BP887" s="104"/>
      <c r="BQ887" s="104"/>
      <c r="BR887" s="104"/>
      <c r="BS887" s="104"/>
      <c r="BT887" s="104"/>
      <c r="BU887" s="104"/>
      <c r="BV887" s="104"/>
      <c r="BW887" s="104"/>
      <c r="BX887" s="104"/>
    </row>
    <row r="888" spans="1:7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 s="104"/>
      <c r="BG888" s="104"/>
      <c r="BH888" s="104"/>
      <c r="BI888" s="104"/>
      <c r="BJ888" s="104"/>
      <c r="BK888" s="104"/>
      <c r="BL888" s="104"/>
      <c r="BM888" s="104"/>
      <c r="BN888" s="104"/>
      <c r="BO888" s="104"/>
      <c r="BP888" s="104"/>
      <c r="BQ888" s="104"/>
      <c r="BR888" s="104"/>
      <c r="BS888" s="104"/>
      <c r="BT888" s="104"/>
      <c r="BU888" s="104"/>
      <c r="BV888" s="104"/>
      <c r="BW888" s="104"/>
      <c r="BX888" s="104"/>
    </row>
    <row r="889" spans="1:7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 s="104"/>
      <c r="BG889" s="104"/>
      <c r="BH889" s="104"/>
      <c r="BI889" s="104"/>
      <c r="BJ889" s="104"/>
      <c r="BK889" s="104"/>
      <c r="BL889" s="104"/>
      <c r="BM889" s="104"/>
      <c r="BN889" s="104"/>
      <c r="BO889" s="104"/>
      <c r="BP889" s="104"/>
      <c r="BQ889" s="104"/>
      <c r="BR889" s="104"/>
      <c r="BS889" s="104"/>
      <c r="BT889" s="104"/>
      <c r="BU889" s="104"/>
      <c r="BV889" s="104"/>
      <c r="BW889" s="104"/>
      <c r="BX889" s="104"/>
    </row>
    <row r="890" spans="1:7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 s="104"/>
      <c r="BG890" s="104"/>
      <c r="BH890" s="104"/>
      <c r="BI890" s="104"/>
      <c r="BJ890" s="104"/>
      <c r="BK890" s="104"/>
      <c r="BL890" s="104"/>
      <c r="BM890" s="104"/>
      <c r="BN890" s="104"/>
      <c r="BO890" s="104"/>
      <c r="BP890" s="104"/>
      <c r="BQ890" s="104"/>
      <c r="BR890" s="104"/>
      <c r="BS890" s="104"/>
      <c r="BT890" s="104"/>
      <c r="BU890" s="104"/>
      <c r="BV890" s="104"/>
      <c r="BW890" s="104"/>
      <c r="BX890" s="104"/>
    </row>
    <row r="891" spans="1:7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 s="104"/>
      <c r="BG891" s="104"/>
      <c r="BH891" s="104"/>
      <c r="BI891" s="104"/>
      <c r="BJ891" s="104"/>
      <c r="BK891" s="104"/>
      <c r="BL891" s="104"/>
      <c r="BM891" s="104"/>
      <c r="BN891" s="104"/>
      <c r="BO891" s="104"/>
      <c r="BP891" s="104"/>
      <c r="BQ891" s="104"/>
      <c r="BR891" s="104"/>
      <c r="BS891" s="104"/>
      <c r="BT891" s="104"/>
      <c r="BU891" s="104"/>
      <c r="BV891" s="104"/>
      <c r="BW891" s="104"/>
      <c r="BX891" s="104"/>
    </row>
    <row r="892" spans="1:7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 s="104"/>
      <c r="BG892" s="104"/>
      <c r="BH892" s="104"/>
      <c r="BI892" s="104"/>
      <c r="BJ892" s="104"/>
      <c r="BK892" s="104"/>
      <c r="BL892" s="104"/>
      <c r="BM892" s="104"/>
      <c r="BN892" s="104"/>
      <c r="BO892" s="104"/>
      <c r="BP892" s="104"/>
      <c r="BQ892" s="104"/>
      <c r="BR892" s="104"/>
      <c r="BS892" s="104"/>
      <c r="BT892" s="104"/>
      <c r="BU892" s="104"/>
      <c r="BV892" s="104"/>
      <c r="BW892" s="104"/>
      <c r="BX892" s="104"/>
    </row>
    <row r="893" spans="1:7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 s="104"/>
      <c r="BG893" s="104"/>
      <c r="BH893" s="104"/>
      <c r="BI893" s="104"/>
      <c r="BJ893" s="104"/>
      <c r="BK893" s="104"/>
      <c r="BL893" s="104"/>
      <c r="BM893" s="104"/>
      <c r="BN893" s="104"/>
      <c r="BO893" s="104"/>
      <c r="BP893" s="104"/>
      <c r="BQ893" s="104"/>
      <c r="BR893" s="104"/>
      <c r="BS893" s="104"/>
      <c r="BT893" s="104"/>
      <c r="BU893" s="104"/>
      <c r="BV893" s="104"/>
      <c r="BW893" s="104"/>
      <c r="BX893" s="104"/>
    </row>
    <row r="894" spans="1:7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 s="104"/>
      <c r="BG894" s="104"/>
      <c r="BH894" s="104"/>
      <c r="BI894" s="104"/>
      <c r="BJ894" s="104"/>
      <c r="BK894" s="104"/>
      <c r="BL894" s="104"/>
      <c r="BM894" s="104"/>
      <c r="BN894" s="104"/>
      <c r="BO894" s="104"/>
      <c r="BP894" s="104"/>
      <c r="BQ894" s="104"/>
      <c r="BR894" s="104"/>
      <c r="BS894" s="104"/>
      <c r="BT894" s="104"/>
      <c r="BU894" s="104"/>
      <c r="BV894" s="104"/>
      <c r="BW894" s="104"/>
      <c r="BX894" s="104"/>
    </row>
    <row r="895" spans="1:7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 s="104"/>
      <c r="BG895" s="104"/>
      <c r="BH895" s="104"/>
      <c r="BI895" s="104"/>
      <c r="BJ895" s="104"/>
      <c r="BK895" s="104"/>
      <c r="BL895" s="104"/>
      <c r="BM895" s="104"/>
      <c r="BN895" s="104"/>
      <c r="BO895" s="104"/>
      <c r="BP895" s="104"/>
      <c r="BQ895" s="104"/>
      <c r="BR895" s="104"/>
      <c r="BS895" s="104"/>
      <c r="BT895" s="104"/>
      <c r="BU895" s="104"/>
      <c r="BV895" s="104"/>
      <c r="BW895" s="104"/>
      <c r="BX895" s="104"/>
    </row>
    <row r="896" spans="1:7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 s="104"/>
      <c r="BG896" s="104"/>
      <c r="BH896" s="104"/>
      <c r="BI896" s="104"/>
      <c r="BJ896" s="104"/>
      <c r="BK896" s="104"/>
      <c r="BL896" s="104"/>
      <c r="BM896" s="104"/>
      <c r="BN896" s="104"/>
      <c r="BO896" s="104"/>
      <c r="BP896" s="104"/>
      <c r="BQ896" s="104"/>
      <c r="BR896" s="104"/>
      <c r="BS896" s="104"/>
      <c r="BT896" s="104"/>
      <c r="BU896" s="104"/>
      <c r="BV896" s="104"/>
      <c r="BW896" s="104"/>
      <c r="BX896" s="104"/>
    </row>
    <row r="897" spans="1:7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 s="104"/>
      <c r="BG897" s="104"/>
      <c r="BH897" s="104"/>
      <c r="BI897" s="104"/>
      <c r="BJ897" s="104"/>
      <c r="BK897" s="104"/>
      <c r="BL897" s="104"/>
      <c r="BM897" s="104"/>
      <c r="BN897" s="104"/>
      <c r="BO897" s="104"/>
      <c r="BP897" s="104"/>
      <c r="BQ897" s="104"/>
      <c r="BR897" s="104"/>
      <c r="BS897" s="104"/>
      <c r="BT897" s="104"/>
      <c r="BU897" s="104"/>
      <c r="BV897" s="104"/>
      <c r="BW897" s="104"/>
      <c r="BX897" s="104"/>
    </row>
    <row r="898" spans="1:7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 s="104"/>
      <c r="BG898" s="104"/>
      <c r="BH898" s="104"/>
      <c r="BI898" s="104"/>
      <c r="BJ898" s="104"/>
      <c r="BK898" s="104"/>
      <c r="BL898" s="104"/>
      <c r="BM898" s="104"/>
      <c r="BN898" s="104"/>
      <c r="BO898" s="104"/>
      <c r="BP898" s="104"/>
      <c r="BQ898" s="104"/>
      <c r="BR898" s="104"/>
      <c r="BS898" s="104"/>
      <c r="BT898" s="104"/>
      <c r="BU898" s="104"/>
      <c r="BV898" s="104"/>
      <c r="BW898" s="104"/>
      <c r="BX898" s="104"/>
    </row>
    <row r="899" spans="1:7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 s="104"/>
      <c r="BG899" s="104"/>
      <c r="BH899" s="104"/>
      <c r="BI899" s="104"/>
      <c r="BJ899" s="104"/>
      <c r="BK899" s="104"/>
      <c r="BL899" s="104"/>
      <c r="BM899" s="104"/>
      <c r="BN899" s="104"/>
      <c r="BO899" s="104"/>
      <c r="BP899" s="104"/>
      <c r="BQ899" s="104"/>
      <c r="BR899" s="104"/>
      <c r="BS899" s="104"/>
      <c r="BT899" s="104"/>
      <c r="BU899" s="104"/>
      <c r="BV899" s="104"/>
      <c r="BW899" s="104"/>
      <c r="BX899" s="104"/>
    </row>
    <row r="900" spans="1:7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 s="104"/>
      <c r="BG900" s="104"/>
      <c r="BH900" s="104"/>
      <c r="BI900" s="104"/>
      <c r="BJ900" s="104"/>
      <c r="BK900" s="104"/>
      <c r="BL900" s="104"/>
      <c r="BM900" s="104"/>
      <c r="BN900" s="104"/>
      <c r="BO900" s="104"/>
      <c r="BP900" s="104"/>
      <c r="BQ900" s="104"/>
      <c r="BR900" s="104"/>
      <c r="BS900" s="104"/>
      <c r="BT900" s="104"/>
      <c r="BU900" s="104"/>
      <c r="BV900" s="104"/>
      <c r="BW900" s="104"/>
      <c r="BX900" s="104"/>
    </row>
    <row r="901" spans="1:7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 s="104"/>
      <c r="BG901" s="104"/>
      <c r="BH901" s="104"/>
      <c r="BI901" s="104"/>
      <c r="BJ901" s="104"/>
      <c r="BK901" s="104"/>
      <c r="BL901" s="104"/>
      <c r="BM901" s="104"/>
      <c r="BN901" s="104"/>
      <c r="BO901" s="104"/>
      <c r="BP901" s="104"/>
      <c r="BQ901" s="104"/>
      <c r="BR901" s="104"/>
      <c r="BS901" s="104"/>
      <c r="BT901" s="104"/>
      <c r="BU901" s="104"/>
      <c r="BV901" s="104"/>
      <c r="BW901" s="104"/>
      <c r="BX901" s="104"/>
    </row>
    <row r="902" spans="1:7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 s="104"/>
      <c r="BG902" s="104"/>
      <c r="BH902" s="104"/>
      <c r="BI902" s="104"/>
      <c r="BJ902" s="104"/>
      <c r="BK902" s="104"/>
      <c r="BL902" s="104"/>
      <c r="BM902" s="104"/>
      <c r="BN902" s="104"/>
      <c r="BO902" s="104"/>
      <c r="BP902" s="104"/>
      <c r="BQ902" s="104"/>
      <c r="BR902" s="104"/>
      <c r="BS902" s="104"/>
      <c r="BT902" s="104"/>
      <c r="BU902" s="104"/>
      <c r="BV902" s="104"/>
      <c r="BW902" s="104"/>
      <c r="BX902" s="104"/>
    </row>
    <row r="903" spans="1:7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 s="104"/>
      <c r="BG903" s="104"/>
      <c r="BH903" s="104"/>
      <c r="BI903" s="104"/>
      <c r="BJ903" s="104"/>
      <c r="BK903" s="104"/>
      <c r="BL903" s="104"/>
      <c r="BM903" s="104"/>
      <c r="BN903" s="104"/>
      <c r="BO903" s="104"/>
      <c r="BP903" s="104"/>
      <c r="BQ903" s="104"/>
      <c r="BR903" s="104"/>
      <c r="BS903" s="104"/>
      <c r="BT903" s="104"/>
      <c r="BU903" s="104"/>
      <c r="BV903" s="104"/>
      <c r="BW903" s="104"/>
      <c r="BX903" s="104"/>
    </row>
    <row r="904" spans="1:7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 s="104"/>
      <c r="BG904" s="104"/>
      <c r="BH904" s="104"/>
      <c r="BI904" s="104"/>
      <c r="BJ904" s="104"/>
      <c r="BK904" s="104"/>
      <c r="BL904" s="104"/>
      <c r="BM904" s="104"/>
      <c r="BN904" s="104"/>
      <c r="BO904" s="104"/>
      <c r="BP904" s="104"/>
      <c r="BQ904" s="104"/>
      <c r="BR904" s="104"/>
      <c r="BS904" s="104"/>
      <c r="BT904" s="104"/>
      <c r="BU904" s="104"/>
      <c r="BV904" s="104"/>
      <c r="BW904" s="104"/>
      <c r="BX904" s="104"/>
    </row>
    <row r="905" spans="1:7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 s="104"/>
      <c r="BG905" s="104"/>
      <c r="BH905" s="104"/>
      <c r="BI905" s="104"/>
      <c r="BJ905" s="104"/>
      <c r="BK905" s="104"/>
      <c r="BL905" s="104"/>
      <c r="BM905" s="104"/>
      <c r="BN905" s="104"/>
      <c r="BO905" s="104"/>
      <c r="BP905" s="104"/>
      <c r="BQ905" s="104"/>
      <c r="BR905" s="104"/>
      <c r="BS905" s="104"/>
      <c r="BT905" s="104"/>
      <c r="BU905" s="104"/>
      <c r="BV905" s="104"/>
      <c r="BW905" s="104"/>
      <c r="BX905" s="104"/>
    </row>
    <row r="906" spans="1:7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 s="104"/>
      <c r="BG906" s="104"/>
      <c r="BH906" s="104"/>
      <c r="BI906" s="104"/>
      <c r="BJ906" s="104"/>
      <c r="BK906" s="104"/>
      <c r="BL906" s="104"/>
      <c r="BM906" s="104"/>
      <c r="BN906" s="104"/>
      <c r="BO906" s="104"/>
      <c r="BP906" s="104"/>
      <c r="BQ906" s="104"/>
      <c r="BR906" s="104"/>
      <c r="BS906" s="104"/>
      <c r="BT906" s="104"/>
      <c r="BU906" s="104"/>
      <c r="BV906" s="104"/>
      <c r="BW906" s="104"/>
      <c r="BX906" s="104"/>
    </row>
    <row r="907" spans="1:7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 s="104"/>
      <c r="BG907" s="104"/>
      <c r="BH907" s="104"/>
      <c r="BI907" s="104"/>
      <c r="BJ907" s="104"/>
      <c r="BK907" s="104"/>
      <c r="BL907" s="104"/>
      <c r="BM907" s="104"/>
      <c r="BN907" s="104"/>
      <c r="BO907" s="104"/>
      <c r="BP907" s="104"/>
      <c r="BQ907" s="104"/>
      <c r="BR907" s="104"/>
      <c r="BS907" s="104"/>
      <c r="BT907" s="104"/>
      <c r="BU907" s="104"/>
      <c r="BV907" s="104"/>
      <c r="BW907" s="104"/>
      <c r="BX907" s="104"/>
    </row>
    <row r="908" spans="1:7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 s="104"/>
      <c r="BG908" s="104"/>
      <c r="BH908" s="104"/>
      <c r="BI908" s="104"/>
      <c r="BJ908" s="104"/>
      <c r="BK908" s="104"/>
      <c r="BL908" s="104"/>
      <c r="BM908" s="104"/>
      <c r="BN908" s="104"/>
      <c r="BO908" s="104"/>
      <c r="BP908" s="104"/>
      <c r="BQ908" s="104"/>
      <c r="BR908" s="104"/>
      <c r="BS908" s="104"/>
      <c r="BT908" s="104"/>
      <c r="BU908" s="104"/>
      <c r="BV908" s="104"/>
      <c r="BW908" s="104"/>
      <c r="BX908" s="104"/>
    </row>
    <row r="909" spans="1:7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 s="104"/>
      <c r="BG909" s="104"/>
      <c r="BH909" s="104"/>
      <c r="BI909" s="104"/>
      <c r="BJ909" s="104"/>
      <c r="BK909" s="104"/>
      <c r="BL909" s="104"/>
      <c r="BM909" s="104"/>
      <c r="BN909" s="104"/>
      <c r="BO909" s="104"/>
      <c r="BP909" s="104"/>
      <c r="BQ909" s="104"/>
      <c r="BR909" s="104"/>
      <c r="BS909" s="104"/>
      <c r="BT909" s="104"/>
      <c r="BU909" s="104"/>
      <c r="BV909" s="104"/>
      <c r="BW909" s="104"/>
      <c r="BX909" s="104"/>
    </row>
    <row r="910" spans="1:7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 s="104"/>
      <c r="BG910" s="104"/>
      <c r="BH910" s="104"/>
      <c r="BI910" s="104"/>
      <c r="BJ910" s="104"/>
      <c r="BK910" s="104"/>
      <c r="BL910" s="104"/>
      <c r="BM910" s="104"/>
      <c r="BN910" s="104"/>
      <c r="BO910" s="104"/>
      <c r="BP910" s="104"/>
      <c r="BQ910" s="104"/>
      <c r="BR910" s="104"/>
      <c r="BS910" s="104"/>
      <c r="BT910" s="104"/>
      <c r="BU910" s="104"/>
      <c r="BV910" s="104"/>
      <c r="BW910" s="104"/>
      <c r="BX910" s="104"/>
    </row>
    <row r="911" spans="1:7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 s="104"/>
      <c r="BG911" s="104"/>
      <c r="BH911" s="104"/>
      <c r="BI911" s="104"/>
      <c r="BJ911" s="104"/>
      <c r="BK911" s="104"/>
      <c r="BL911" s="104"/>
      <c r="BM911" s="104"/>
      <c r="BN911" s="104"/>
      <c r="BO911" s="104"/>
      <c r="BP911" s="104"/>
      <c r="BQ911" s="104"/>
      <c r="BR911" s="104"/>
      <c r="BS911" s="104"/>
      <c r="BT911" s="104"/>
      <c r="BU911" s="104"/>
      <c r="BV911" s="104"/>
      <c r="BW911" s="104"/>
      <c r="BX911" s="104"/>
    </row>
    <row r="912" spans="1:7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 s="104"/>
      <c r="BG912" s="104"/>
      <c r="BH912" s="104"/>
      <c r="BI912" s="104"/>
      <c r="BJ912" s="104"/>
      <c r="BK912" s="104"/>
      <c r="BL912" s="104"/>
      <c r="BM912" s="104"/>
      <c r="BN912" s="104"/>
      <c r="BO912" s="104"/>
      <c r="BP912" s="104"/>
      <c r="BQ912" s="104"/>
      <c r="BR912" s="104"/>
      <c r="BS912" s="104"/>
      <c r="BT912" s="104"/>
      <c r="BU912" s="104"/>
      <c r="BV912" s="104"/>
      <c r="BW912" s="104"/>
      <c r="BX912" s="104"/>
    </row>
    <row r="913" spans="1:7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 s="104"/>
      <c r="BG913" s="104"/>
      <c r="BH913" s="104"/>
      <c r="BI913" s="104"/>
      <c r="BJ913" s="104"/>
      <c r="BK913" s="104"/>
      <c r="BL913" s="104"/>
      <c r="BM913" s="104"/>
      <c r="BN913" s="104"/>
      <c r="BO913" s="104"/>
      <c r="BP913" s="104"/>
      <c r="BQ913" s="104"/>
      <c r="BR913" s="104"/>
      <c r="BS913" s="104"/>
      <c r="BT913" s="104"/>
      <c r="BU913" s="104"/>
      <c r="BV913" s="104"/>
      <c r="BW913" s="104"/>
      <c r="BX913" s="104"/>
    </row>
    <row r="914" spans="1:7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 s="104"/>
      <c r="BG914" s="104"/>
      <c r="BH914" s="104"/>
      <c r="BI914" s="104"/>
      <c r="BJ914" s="104"/>
      <c r="BK914" s="104"/>
      <c r="BL914" s="104"/>
      <c r="BM914" s="104"/>
      <c r="BN914" s="104"/>
      <c r="BO914" s="104"/>
      <c r="BP914" s="104"/>
      <c r="BQ914" s="104"/>
      <c r="BR914" s="104"/>
      <c r="BS914" s="104"/>
      <c r="BT914" s="104"/>
      <c r="BU914" s="104"/>
      <c r="BV914" s="104"/>
      <c r="BW914" s="104"/>
      <c r="BX914" s="104"/>
    </row>
    <row r="915" spans="1:7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 s="104"/>
      <c r="BG915" s="104"/>
      <c r="BH915" s="104"/>
      <c r="BI915" s="104"/>
      <c r="BJ915" s="104"/>
      <c r="BK915" s="104"/>
      <c r="BL915" s="104"/>
      <c r="BM915" s="104"/>
      <c r="BN915" s="104"/>
      <c r="BO915" s="104"/>
      <c r="BP915" s="104"/>
      <c r="BQ915" s="104"/>
      <c r="BR915" s="104"/>
      <c r="BS915" s="104"/>
      <c r="BT915" s="104"/>
      <c r="BU915" s="104"/>
      <c r="BV915" s="104"/>
      <c r="BW915" s="104"/>
      <c r="BX915" s="104"/>
    </row>
    <row r="916" spans="1:7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 s="104"/>
      <c r="BG916" s="104"/>
      <c r="BH916" s="104"/>
      <c r="BI916" s="104"/>
      <c r="BJ916" s="104"/>
      <c r="BK916" s="104"/>
      <c r="BL916" s="104"/>
      <c r="BM916" s="104"/>
      <c r="BN916" s="104"/>
      <c r="BO916" s="104"/>
      <c r="BP916" s="104"/>
      <c r="BQ916" s="104"/>
      <c r="BR916" s="104"/>
      <c r="BS916" s="104"/>
      <c r="BT916" s="104"/>
      <c r="BU916" s="104"/>
      <c r="BV916" s="104"/>
      <c r="BW916" s="104"/>
      <c r="BX916" s="104"/>
    </row>
    <row r="917" spans="1:7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 s="104"/>
      <c r="BG917" s="104"/>
      <c r="BH917" s="104"/>
      <c r="BI917" s="104"/>
      <c r="BJ917" s="104"/>
      <c r="BK917" s="104"/>
      <c r="BL917" s="104"/>
      <c r="BM917" s="104"/>
      <c r="BN917" s="104"/>
      <c r="BO917" s="104"/>
      <c r="BP917" s="104"/>
      <c r="BQ917" s="104"/>
      <c r="BR917" s="104"/>
      <c r="BS917" s="104"/>
      <c r="BT917" s="104"/>
      <c r="BU917" s="104"/>
      <c r="BV917" s="104"/>
      <c r="BW917" s="104"/>
      <c r="BX917" s="104"/>
    </row>
    <row r="918" spans="1:7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 s="104"/>
      <c r="BG918" s="104"/>
      <c r="BH918" s="104"/>
      <c r="BI918" s="104"/>
      <c r="BJ918" s="104"/>
      <c r="BK918" s="104"/>
      <c r="BL918" s="104"/>
      <c r="BM918" s="104"/>
      <c r="BN918" s="104"/>
      <c r="BO918" s="104"/>
      <c r="BP918" s="104"/>
      <c r="BQ918" s="104"/>
      <c r="BR918" s="104"/>
      <c r="BS918" s="104"/>
      <c r="BT918" s="104"/>
      <c r="BU918" s="104"/>
      <c r="BV918" s="104"/>
      <c r="BW918" s="104"/>
      <c r="BX918" s="104"/>
    </row>
    <row r="919" spans="1:7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 s="104"/>
      <c r="BG919" s="104"/>
      <c r="BH919" s="104"/>
      <c r="BI919" s="104"/>
      <c r="BJ919" s="104"/>
      <c r="BK919" s="104"/>
      <c r="BL919" s="104"/>
      <c r="BM919" s="104"/>
      <c r="BN919" s="104"/>
      <c r="BO919" s="104"/>
      <c r="BP919" s="104"/>
      <c r="BQ919" s="104"/>
      <c r="BR919" s="104"/>
      <c r="BS919" s="104"/>
      <c r="BT919" s="104"/>
      <c r="BU919" s="104"/>
      <c r="BV919" s="104"/>
      <c r="BW919" s="104"/>
      <c r="BX919" s="104"/>
    </row>
    <row r="920" spans="1:7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 s="104"/>
      <c r="BG920" s="104"/>
      <c r="BH920" s="104"/>
      <c r="BI920" s="104"/>
      <c r="BJ920" s="104"/>
      <c r="BK920" s="104"/>
      <c r="BL920" s="104"/>
      <c r="BM920" s="104"/>
      <c r="BN920" s="104"/>
      <c r="BO920" s="104"/>
      <c r="BP920" s="104"/>
      <c r="BQ920" s="104"/>
      <c r="BR920" s="104"/>
      <c r="BS920" s="104"/>
      <c r="BT920" s="104"/>
      <c r="BU920" s="104"/>
      <c r="BV920" s="104"/>
      <c r="BW920" s="104"/>
      <c r="BX920" s="104"/>
    </row>
    <row r="921" spans="1:7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 s="104"/>
      <c r="BG921" s="104"/>
      <c r="BH921" s="104"/>
      <c r="BI921" s="104"/>
      <c r="BJ921" s="104"/>
      <c r="BK921" s="104"/>
      <c r="BL921" s="104"/>
      <c r="BM921" s="104"/>
      <c r="BN921" s="104"/>
      <c r="BO921" s="104"/>
      <c r="BP921" s="104"/>
      <c r="BQ921" s="104"/>
      <c r="BR921" s="104"/>
      <c r="BS921" s="104"/>
      <c r="BT921" s="104"/>
      <c r="BU921" s="104"/>
      <c r="BV921" s="104"/>
      <c r="BW921" s="104"/>
      <c r="BX921" s="104"/>
    </row>
    <row r="922" spans="1:7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 s="104"/>
      <c r="BG922" s="104"/>
      <c r="BH922" s="104"/>
      <c r="BI922" s="104"/>
      <c r="BJ922" s="104"/>
      <c r="BK922" s="104"/>
      <c r="BL922" s="104"/>
      <c r="BM922" s="104"/>
      <c r="BN922" s="104"/>
      <c r="BO922" s="104"/>
      <c r="BP922" s="104"/>
      <c r="BQ922" s="104"/>
      <c r="BR922" s="104"/>
      <c r="BS922" s="104"/>
      <c r="BT922" s="104"/>
      <c r="BU922" s="104"/>
      <c r="BV922" s="104"/>
      <c r="BW922" s="104"/>
      <c r="BX922" s="104"/>
    </row>
    <row r="923" spans="1:7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 s="104"/>
      <c r="BG923" s="104"/>
      <c r="BH923" s="104"/>
      <c r="BI923" s="104"/>
      <c r="BJ923" s="104"/>
      <c r="BK923" s="104"/>
      <c r="BL923" s="104"/>
      <c r="BM923" s="104"/>
      <c r="BN923" s="104"/>
      <c r="BO923" s="104"/>
      <c r="BP923" s="104"/>
      <c r="BQ923" s="104"/>
      <c r="BR923" s="104"/>
      <c r="BS923" s="104"/>
      <c r="BT923" s="104"/>
      <c r="BU923" s="104"/>
      <c r="BV923" s="104"/>
      <c r="BW923" s="104"/>
      <c r="BX923" s="104"/>
    </row>
    <row r="924" spans="1:7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 s="104"/>
      <c r="BG924" s="104"/>
      <c r="BH924" s="104"/>
      <c r="BI924" s="104"/>
      <c r="BJ924" s="104"/>
      <c r="BK924" s="104"/>
      <c r="BL924" s="104"/>
      <c r="BM924" s="104"/>
      <c r="BN924" s="104"/>
      <c r="BO924" s="104"/>
      <c r="BP924" s="104"/>
      <c r="BQ924" s="104"/>
      <c r="BR924" s="104"/>
      <c r="BS924" s="104"/>
      <c r="BT924" s="104"/>
      <c r="BU924" s="104"/>
      <c r="BV924" s="104"/>
      <c r="BW924" s="104"/>
      <c r="BX924" s="104"/>
    </row>
    <row r="925" spans="1:7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 s="104"/>
      <c r="BG925" s="104"/>
      <c r="BH925" s="104"/>
      <c r="BI925" s="104"/>
      <c r="BJ925" s="104"/>
      <c r="BK925" s="104"/>
      <c r="BL925" s="104"/>
      <c r="BM925" s="104"/>
      <c r="BN925" s="104"/>
      <c r="BO925" s="104"/>
      <c r="BP925" s="104"/>
      <c r="BQ925" s="104"/>
      <c r="BR925" s="104"/>
      <c r="BS925" s="104"/>
      <c r="BT925" s="104"/>
      <c r="BU925" s="104"/>
      <c r="BV925" s="104"/>
      <c r="BW925" s="104"/>
      <c r="BX925" s="104"/>
    </row>
    <row r="926" spans="1:7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 s="104"/>
      <c r="BG926" s="104"/>
      <c r="BH926" s="104"/>
      <c r="BI926" s="104"/>
      <c r="BJ926" s="104"/>
      <c r="BK926" s="104"/>
      <c r="BL926" s="104"/>
      <c r="BM926" s="104"/>
      <c r="BN926" s="104"/>
      <c r="BO926" s="104"/>
      <c r="BP926" s="104"/>
      <c r="BQ926" s="104"/>
      <c r="BR926" s="104"/>
      <c r="BS926" s="104"/>
      <c r="BT926" s="104"/>
      <c r="BU926" s="104"/>
      <c r="BV926" s="104"/>
      <c r="BW926" s="104"/>
      <c r="BX926" s="104"/>
    </row>
    <row r="927" spans="1:7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 s="104"/>
      <c r="BG927" s="104"/>
      <c r="BH927" s="104"/>
      <c r="BI927" s="104"/>
      <c r="BJ927" s="104"/>
      <c r="BK927" s="104"/>
      <c r="BL927" s="104"/>
      <c r="BM927" s="104"/>
      <c r="BN927" s="104"/>
      <c r="BO927" s="104"/>
      <c r="BP927" s="104"/>
      <c r="BQ927" s="104"/>
      <c r="BR927" s="104"/>
      <c r="BS927" s="104"/>
      <c r="BT927" s="104"/>
      <c r="BU927" s="104"/>
      <c r="BV927" s="104"/>
      <c r="BW927" s="104"/>
      <c r="BX927" s="104"/>
    </row>
    <row r="928" spans="1:7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 s="104"/>
      <c r="BG928" s="104"/>
      <c r="BH928" s="104"/>
      <c r="BI928" s="104"/>
      <c r="BJ928" s="104"/>
      <c r="BK928" s="104"/>
      <c r="BL928" s="104"/>
      <c r="BM928" s="104"/>
      <c r="BN928" s="104"/>
      <c r="BO928" s="104"/>
      <c r="BP928" s="104"/>
      <c r="BQ928" s="104"/>
      <c r="BR928" s="104"/>
      <c r="BS928" s="104"/>
      <c r="BT928" s="104"/>
      <c r="BU928" s="104"/>
      <c r="BV928" s="104"/>
      <c r="BW928" s="104"/>
      <c r="BX928" s="104"/>
    </row>
    <row r="929" spans="1:7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 s="104"/>
      <c r="BG929" s="104"/>
      <c r="BH929" s="104"/>
      <c r="BI929" s="104"/>
      <c r="BJ929" s="104"/>
      <c r="BK929" s="104"/>
      <c r="BL929" s="104"/>
      <c r="BM929" s="104"/>
      <c r="BN929" s="104"/>
      <c r="BO929" s="104"/>
      <c r="BP929" s="104"/>
      <c r="BQ929" s="104"/>
      <c r="BR929" s="104"/>
      <c r="BS929" s="104"/>
      <c r="BT929" s="104"/>
      <c r="BU929" s="104"/>
      <c r="BV929" s="104"/>
      <c r="BW929" s="104"/>
      <c r="BX929" s="104"/>
    </row>
    <row r="930" spans="1:7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 s="104"/>
      <c r="BG930" s="104"/>
      <c r="BH930" s="104"/>
      <c r="BI930" s="104"/>
      <c r="BJ930" s="104"/>
      <c r="BK930" s="104"/>
      <c r="BL930" s="104"/>
      <c r="BM930" s="104"/>
      <c r="BN930" s="104"/>
      <c r="BO930" s="104"/>
      <c r="BP930" s="104"/>
      <c r="BQ930" s="104"/>
      <c r="BR930" s="104"/>
      <c r="BS930" s="104"/>
      <c r="BT930" s="104"/>
      <c r="BU930" s="104"/>
      <c r="BV930" s="104"/>
      <c r="BW930" s="104"/>
      <c r="BX930" s="104"/>
    </row>
    <row r="931" spans="1:7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 s="104"/>
      <c r="BG931" s="104"/>
      <c r="BH931" s="104"/>
      <c r="BI931" s="104"/>
      <c r="BJ931" s="104"/>
      <c r="BK931" s="104"/>
      <c r="BL931" s="104"/>
      <c r="BM931" s="104"/>
      <c r="BN931" s="104"/>
      <c r="BO931" s="104"/>
      <c r="BP931" s="104"/>
      <c r="BQ931" s="104"/>
      <c r="BR931" s="104"/>
      <c r="BS931" s="104"/>
      <c r="BT931" s="104"/>
      <c r="BU931" s="104"/>
      <c r="BV931" s="104"/>
      <c r="BW931" s="104"/>
      <c r="BX931" s="104"/>
    </row>
    <row r="932" spans="1:7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 s="104"/>
      <c r="BG932" s="104"/>
      <c r="BH932" s="104"/>
      <c r="BI932" s="104"/>
      <c r="BJ932" s="104"/>
      <c r="BK932" s="104"/>
      <c r="BL932" s="104"/>
      <c r="BM932" s="104"/>
      <c r="BN932" s="104"/>
      <c r="BO932" s="104"/>
      <c r="BP932" s="104"/>
      <c r="BQ932" s="104"/>
      <c r="BR932" s="104"/>
      <c r="BS932" s="104"/>
      <c r="BT932" s="104"/>
      <c r="BU932" s="104"/>
      <c r="BV932" s="104"/>
      <c r="BW932" s="104"/>
      <c r="BX932" s="104"/>
    </row>
    <row r="933" spans="1:7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 s="104"/>
      <c r="BG933" s="104"/>
      <c r="BH933" s="104"/>
      <c r="BI933" s="104"/>
      <c r="BJ933" s="104"/>
      <c r="BK933" s="104"/>
      <c r="BL933" s="104"/>
      <c r="BM933" s="104"/>
      <c r="BN933" s="104"/>
      <c r="BO933" s="104"/>
      <c r="BP933" s="104"/>
      <c r="BQ933" s="104"/>
      <c r="BR933" s="104"/>
      <c r="BS933" s="104"/>
      <c r="BT933" s="104"/>
      <c r="BU933" s="104"/>
      <c r="BV933" s="104"/>
      <c r="BW933" s="104"/>
      <c r="BX933" s="104"/>
    </row>
    <row r="934" spans="1:7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 s="104"/>
      <c r="BG934" s="104"/>
      <c r="BH934" s="104"/>
      <c r="BI934" s="104"/>
      <c r="BJ934" s="104"/>
      <c r="BK934" s="104"/>
      <c r="BL934" s="104"/>
      <c r="BM934" s="104"/>
      <c r="BN934" s="104"/>
      <c r="BO934" s="104"/>
      <c r="BP934" s="104"/>
      <c r="BQ934" s="104"/>
      <c r="BR934" s="104"/>
      <c r="BS934" s="104"/>
      <c r="BT934" s="104"/>
      <c r="BU934" s="104"/>
      <c r="BV934" s="104"/>
      <c r="BW934" s="104"/>
      <c r="BX934" s="104"/>
    </row>
    <row r="935" spans="1:7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 s="104"/>
      <c r="BG935" s="104"/>
      <c r="BH935" s="104"/>
      <c r="BI935" s="104"/>
      <c r="BJ935" s="104"/>
      <c r="BK935" s="104"/>
      <c r="BL935" s="104"/>
      <c r="BM935" s="104"/>
      <c r="BN935" s="104"/>
      <c r="BO935" s="104"/>
      <c r="BP935" s="104"/>
      <c r="BQ935" s="104"/>
      <c r="BR935" s="104"/>
      <c r="BS935" s="104"/>
      <c r="BT935" s="104"/>
      <c r="BU935" s="104"/>
      <c r="BV935" s="104"/>
      <c r="BW935" s="104"/>
      <c r="BX935" s="104"/>
    </row>
    <row r="936" spans="1:7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 s="104"/>
      <c r="BG936" s="104"/>
      <c r="BH936" s="104"/>
      <c r="BI936" s="104"/>
      <c r="BJ936" s="104"/>
      <c r="BK936" s="104"/>
      <c r="BL936" s="104"/>
      <c r="BM936" s="104"/>
      <c r="BN936" s="104"/>
      <c r="BO936" s="104"/>
      <c r="BP936" s="104"/>
      <c r="BQ936" s="104"/>
      <c r="BR936" s="104"/>
      <c r="BS936" s="104"/>
      <c r="BT936" s="104"/>
      <c r="BU936" s="104"/>
      <c r="BV936" s="104"/>
      <c r="BW936" s="104"/>
      <c r="BX936" s="104"/>
    </row>
    <row r="937" spans="1:7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 s="104"/>
      <c r="BG937" s="104"/>
      <c r="BH937" s="104"/>
      <c r="BI937" s="104"/>
      <c r="BJ937" s="104"/>
      <c r="BK937" s="104"/>
      <c r="BL937" s="104"/>
      <c r="BM937" s="104"/>
      <c r="BN937" s="104"/>
      <c r="BO937" s="104"/>
      <c r="BP937" s="104"/>
      <c r="BQ937" s="104"/>
      <c r="BR937" s="104"/>
      <c r="BS937" s="104"/>
      <c r="BT937" s="104"/>
      <c r="BU937" s="104"/>
      <c r="BV937" s="104"/>
      <c r="BW937" s="104"/>
      <c r="BX937" s="104"/>
    </row>
    <row r="938" spans="1:7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 s="104"/>
      <c r="BG938" s="104"/>
      <c r="BH938" s="104"/>
      <c r="BI938" s="104"/>
      <c r="BJ938" s="104"/>
      <c r="BK938" s="104"/>
      <c r="BL938" s="104"/>
      <c r="BM938" s="104"/>
      <c r="BN938" s="104"/>
      <c r="BO938" s="104"/>
      <c r="BP938" s="104"/>
      <c r="BQ938" s="104"/>
      <c r="BR938" s="104"/>
      <c r="BS938" s="104"/>
      <c r="BT938" s="104"/>
      <c r="BU938" s="104"/>
      <c r="BV938" s="104"/>
      <c r="BW938" s="104"/>
      <c r="BX938" s="104"/>
    </row>
    <row r="939" spans="1:7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 s="104"/>
      <c r="BG939" s="104"/>
      <c r="BH939" s="104"/>
      <c r="BI939" s="104"/>
      <c r="BJ939" s="104"/>
      <c r="BK939" s="104"/>
      <c r="BL939" s="104"/>
      <c r="BM939" s="104"/>
      <c r="BN939" s="104"/>
      <c r="BO939" s="104"/>
      <c r="BP939" s="104"/>
      <c r="BQ939" s="104"/>
      <c r="BR939" s="104"/>
      <c r="BS939" s="104"/>
      <c r="BT939" s="104"/>
      <c r="BU939" s="104"/>
      <c r="BV939" s="104"/>
      <c r="BW939" s="104"/>
      <c r="BX939" s="104"/>
    </row>
    <row r="940" spans="1:7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 s="104"/>
      <c r="BG940" s="104"/>
      <c r="BH940" s="104"/>
      <c r="BI940" s="104"/>
      <c r="BJ940" s="104"/>
      <c r="BK940" s="104"/>
      <c r="BL940" s="104"/>
      <c r="BM940" s="104"/>
      <c r="BN940" s="104"/>
      <c r="BO940" s="104"/>
      <c r="BP940" s="104"/>
      <c r="BQ940" s="104"/>
      <c r="BR940" s="104"/>
      <c r="BS940" s="104"/>
      <c r="BT940" s="104"/>
      <c r="BU940" s="104"/>
      <c r="BV940" s="104"/>
      <c r="BW940" s="104"/>
      <c r="BX940" s="104"/>
    </row>
    <row r="941" spans="1:7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 s="104"/>
      <c r="BG941" s="104"/>
      <c r="BH941" s="104"/>
      <c r="BI941" s="104"/>
      <c r="BJ941" s="104"/>
      <c r="BK941" s="104"/>
      <c r="BL941" s="104"/>
      <c r="BM941" s="104"/>
      <c r="BN941" s="104"/>
      <c r="BO941" s="104"/>
      <c r="BP941" s="104"/>
      <c r="BQ941" s="104"/>
      <c r="BR941" s="104"/>
      <c r="BS941" s="104"/>
      <c r="BT941" s="104"/>
      <c r="BU941" s="104"/>
      <c r="BV941" s="104"/>
      <c r="BW941" s="104"/>
      <c r="BX941" s="104"/>
    </row>
    <row r="942" spans="1:7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 s="104"/>
      <c r="BG942" s="104"/>
      <c r="BH942" s="104"/>
      <c r="BI942" s="104"/>
      <c r="BJ942" s="104"/>
      <c r="BK942" s="104"/>
      <c r="BL942" s="104"/>
      <c r="BM942" s="104"/>
      <c r="BN942" s="104"/>
      <c r="BO942" s="104"/>
      <c r="BP942" s="104"/>
      <c r="BQ942" s="104"/>
      <c r="BR942" s="104"/>
      <c r="BS942" s="104"/>
      <c r="BT942" s="104"/>
      <c r="BU942" s="104"/>
      <c r="BV942" s="104"/>
      <c r="BW942" s="104"/>
      <c r="BX942" s="104"/>
    </row>
    <row r="943" spans="1:7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 s="104"/>
      <c r="BG943" s="104"/>
      <c r="BH943" s="104"/>
      <c r="BI943" s="104"/>
      <c r="BJ943" s="104"/>
      <c r="BK943" s="104"/>
      <c r="BL943" s="104"/>
      <c r="BM943" s="104"/>
      <c r="BN943" s="104"/>
      <c r="BO943" s="104"/>
      <c r="BP943" s="104"/>
      <c r="BQ943" s="104"/>
      <c r="BR943" s="104"/>
      <c r="BS943" s="104"/>
      <c r="BT943" s="104"/>
      <c r="BU943" s="104"/>
      <c r="BV943" s="104"/>
      <c r="BW943" s="104"/>
      <c r="BX943" s="104"/>
    </row>
    <row r="944" spans="1:7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 s="104"/>
      <c r="BG944" s="104"/>
      <c r="BH944" s="104"/>
      <c r="BI944" s="104"/>
      <c r="BJ944" s="104"/>
      <c r="BK944" s="104"/>
      <c r="BL944" s="104"/>
      <c r="BM944" s="104"/>
      <c r="BN944" s="104"/>
      <c r="BO944" s="104"/>
      <c r="BP944" s="104"/>
      <c r="BQ944" s="104"/>
      <c r="BR944" s="104"/>
      <c r="BS944" s="104"/>
      <c r="BT944" s="104"/>
      <c r="BU944" s="104"/>
      <c r="BV944" s="104"/>
      <c r="BW944" s="104"/>
      <c r="BX944" s="104"/>
    </row>
    <row r="945" spans="1:7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 s="104"/>
      <c r="BG945" s="104"/>
      <c r="BH945" s="104"/>
      <c r="BI945" s="104"/>
      <c r="BJ945" s="104"/>
      <c r="BK945" s="104"/>
      <c r="BL945" s="104"/>
      <c r="BM945" s="104"/>
      <c r="BN945" s="104"/>
      <c r="BO945" s="104"/>
      <c r="BP945" s="104"/>
      <c r="BQ945" s="104"/>
      <c r="BR945" s="104"/>
      <c r="BS945" s="104"/>
      <c r="BT945" s="104"/>
      <c r="BU945" s="104"/>
      <c r="BV945" s="104"/>
      <c r="BW945" s="104"/>
      <c r="BX945" s="104"/>
    </row>
    <row r="946" spans="1:7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 s="104"/>
      <c r="BG946" s="104"/>
      <c r="BH946" s="104"/>
      <c r="BI946" s="104"/>
      <c r="BJ946" s="104"/>
      <c r="BK946" s="104"/>
      <c r="BL946" s="104"/>
      <c r="BM946" s="104"/>
      <c r="BN946" s="104"/>
      <c r="BO946" s="104"/>
      <c r="BP946" s="104"/>
      <c r="BQ946" s="104"/>
      <c r="BR946" s="104"/>
      <c r="BS946" s="104"/>
      <c r="BT946" s="104"/>
      <c r="BU946" s="104"/>
      <c r="BV946" s="104"/>
      <c r="BW946" s="104"/>
      <c r="BX946" s="104"/>
    </row>
    <row r="947" spans="1:7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 s="104"/>
      <c r="BG947" s="104"/>
      <c r="BH947" s="104"/>
      <c r="BI947" s="104"/>
      <c r="BJ947" s="104"/>
      <c r="BK947" s="104"/>
      <c r="BL947" s="104"/>
      <c r="BM947" s="104"/>
      <c r="BN947" s="104"/>
      <c r="BO947" s="104"/>
      <c r="BP947" s="104"/>
      <c r="BQ947" s="104"/>
      <c r="BR947" s="104"/>
      <c r="BS947" s="104"/>
      <c r="BT947" s="104"/>
      <c r="BU947" s="104"/>
      <c r="BV947" s="104"/>
      <c r="BW947" s="104"/>
      <c r="BX947" s="104"/>
    </row>
    <row r="948" spans="1:7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 s="104"/>
      <c r="BG948" s="104"/>
      <c r="BH948" s="104"/>
      <c r="BI948" s="104"/>
      <c r="BJ948" s="104"/>
      <c r="BK948" s="104"/>
      <c r="BL948" s="104"/>
      <c r="BM948" s="104"/>
      <c r="BN948" s="104"/>
      <c r="BO948" s="104"/>
      <c r="BP948" s="104"/>
      <c r="BQ948" s="104"/>
      <c r="BR948" s="104"/>
      <c r="BS948" s="104"/>
      <c r="BT948" s="104"/>
      <c r="BU948" s="104"/>
      <c r="BV948" s="104"/>
      <c r="BW948" s="104"/>
      <c r="BX948" s="104"/>
    </row>
    <row r="949" spans="1:7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 s="104"/>
      <c r="BG949" s="104"/>
      <c r="BH949" s="104"/>
      <c r="BI949" s="104"/>
      <c r="BJ949" s="104"/>
      <c r="BK949" s="104"/>
      <c r="BL949" s="104"/>
      <c r="BM949" s="104"/>
      <c r="BN949" s="104"/>
      <c r="BO949" s="104"/>
      <c r="BP949" s="104"/>
      <c r="BQ949" s="104"/>
      <c r="BR949" s="104"/>
      <c r="BS949" s="104"/>
      <c r="BT949" s="104"/>
      <c r="BU949" s="104"/>
      <c r="BV949" s="104"/>
      <c r="BW949" s="104"/>
      <c r="BX949" s="104"/>
    </row>
    <row r="950" spans="1:7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 s="104"/>
      <c r="BG950" s="104"/>
      <c r="BH950" s="104"/>
      <c r="BI950" s="104"/>
      <c r="BJ950" s="104"/>
      <c r="BK950" s="104"/>
      <c r="BL950" s="104"/>
      <c r="BM950" s="104"/>
      <c r="BN950" s="104"/>
      <c r="BO950" s="104"/>
      <c r="BP950" s="104"/>
      <c r="BQ950" s="104"/>
      <c r="BR950" s="104"/>
      <c r="BS950" s="104"/>
      <c r="BT950" s="104"/>
      <c r="BU950" s="104"/>
      <c r="BV950" s="104"/>
      <c r="BW950" s="104"/>
      <c r="BX950" s="104"/>
    </row>
    <row r="951" spans="1:7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 s="104"/>
      <c r="BG951" s="104"/>
      <c r="BH951" s="104"/>
      <c r="BI951" s="104"/>
      <c r="BJ951" s="104"/>
      <c r="BK951" s="104"/>
      <c r="BL951" s="104"/>
      <c r="BM951" s="104"/>
      <c r="BN951" s="104"/>
      <c r="BO951" s="104"/>
      <c r="BP951" s="104"/>
      <c r="BQ951" s="104"/>
      <c r="BR951" s="104"/>
      <c r="BS951" s="104"/>
      <c r="BT951" s="104"/>
      <c r="BU951" s="104"/>
      <c r="BV951" s="104"/>
      <c r="BW951" s="104"/>
      <c r="BX951" s="104"/>
    </row>
    <row r="952" spans="1:7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 s="104"/>
      <c r="BG952" s="104"/>
      <c r="BH952" s="104"/>
      <c r="BI952" s="104"/>
      <c r="BJ952" s="104"/>
      <c r="BK952" s="104"/>
      <c r="BL952" s="104"/>
      <c r="BM952" s="104"/>
      <c r="BN952" s="104"/>
      <c r="BO952" s="104"/>
      <c r="BP952" s="104"/>
      <c r="BQ952" s="104"/>
      <c r="BR952" s="104"/>
      <c r="BS952" s="104"/>
      <c r="BT952" s="104"/>
      <c r="BU952" s="104"/>
      <c r="BV952" s="104"/>
      <c r="BW952" s="104"/>
      <c r="BX952" s="104"/>
    </row>
    <row r="953" spans="1:7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 s="104"/>
      <c r="BG953" s="104"/>
      <c r="BH953" s="104"/>
      <c r="BI953" s="104"/>
      <c r="BJ953" s="104"/>
      <c r="BK953" s="104"/>
      <c r="BL953" s="104"/>
      <c r="BM953" s="104"/>
      <c r="BN953" s="104"/>
      <c r="BO953" s="104"/>
      <c r="BP953" s="104"/>
      <c r="BQ953" s="104"/>
      <c r="BR953" s="104"/>
      <c r="BS953" s="104"/>
      <c r="BT953" s="104"/>
      <c r="BU953" s="104"/>
      <c r="BV953" s="104"/>
      <c r="BW953" s="104"/>
      <c r="BX953" s="104"/>
    </row>
    <row r="954" spans="1:7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 s="104"/>
      <c r="BG954" s="104"/>
      <c r="BH954" s="104"/>
      <c r="BI954" s="104"/>
      <c r="BJ954" s="104"/>
      <c r="BK954" s="104"/>
      <c r="BL954" s="104"/>
      <c r="BM954" s="104"/>
      <c r="BN954" s="104"/>
      <c r="BO954" s="104"/>
      <c r="BP954" s="104"/>
      <c r="BQ954" s="104"/>
      <c r="BR954" s="104"/>
      <c r="BS954" s="104"/>
      <c r="BT954" s="104"/>
      <c r="BU954" s="104"/>
      <c r="BV954" s="104"/>
      <c r="BW954" s="104"/>
      <c r="BX954" s="104"/>
    </row>
    <row r="955" spans="1:7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 s="104"/>
      <c r="BG955" s="104"/>
      <c r="BH955" s="104"/>
      <c r="BI955" s="104"/>
      <c r="BJ955" s="104"/>
      <c r="BK955" s="104"/>
      <c r="BL955" s="104"/>
      <c r="BM955" s="104"/>
      <c r="BN955" s="104"/>
      <c r="BO955" s="104"/>
      <c r="BP955" s="104"/>
      <c r="BQ955" s="104"/>
      <c r="BR955" s="104"/>
      <c r="BS955" s="104"/>
      <c r="BT955" s="104"/>
      <c r="BU955" s="104"/>
      <c r="BV955" s="104"/>
      <c r="BW955" s="104"/>
      <c r="BX955" s="104"/>
    </row>
    <row r="956" spans="1:7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 s="104"/>
      <c r="BG956" s="104"/>
      <c r="BH956" s="104"/>
      <c r="BI956" s="104"/>
      <c r="BJ956" s="104"/>
      <c r="BK956" s="104"/>
      <c r="BL956" s="104"/>
      <c r="BM956" s="104"/>
      <c r="BN956" s="104"/>
      <c r="BO956" s="104"/>
      <c r="BP956" s="104"/>
      <c r="BQ956" s="104"/>
      <c r="BR956" s="104"/>
      <c r="BS956" s="104"/>
      <c r="BT956" s="104"/>
      <c r="BU956" s="104"/>
      <c r="BV956" s="104"/>
      <c r="BW956" s="104"/>
      <c r="BX956" s="104"/>
    </row>
    <row r="957" spans="1:7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 s="104"/>
      <c r="BG957" s="104"/>
      <c r="BH957" s="104"/>
      <c r="BI957" s="104"/>
      <c r="BJ957" s="104"/>
      <c r="BK957" s="104"/>
      <c r="BL957" s="104"/>
      <c r="BM957" s="104"/>
      <c r="BN957" s="104"/>
      <c r="BO957" s="104"/>
      <c r="BP957" s="104"/>
      <c r="BQ957" s="104"/>
      <c r="BR957" s="104"/>
      <c r="BS957" s="104"/>
      <c r="BT957" s="104"/>
      <c r="BU957" s="104"/>
      <c r="BV957" s="104"/>
      <c r="BW957" s="104"/>
      <c r="BX957" s="104"/>
    </row>
    <row r="958" spans="1:7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 s="104"/>
      <c r="BG958" s="104"/>
      <c r="BH958" s="104"/>
      <c r="BI958" s="104"/>
      <c r="BJ958" s="104"/>
      <c r="BK958" s="104"/>
      <c r="BL958" s="104"/>
      <c r="BM958" s="104"/>
      <c r="BN958" s="104"/>
      <c r="BO958" s="104"/>
      <c r="BP958" s="104"/>
      <c r="BQ958" s="104"/>
      <c r="BR958" s="104"/>
      <c r="BS958" s="104"/>
      <c r="BT958" s="104"/>
      <c r="BU958" s="104"/>
      <c r="BV958" s="104"/>
      <c r="BW958" s="104"/>
      <c r="BX958" s="104"/>
    </row>
    <row r="959" spans="1:7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 s="104"/>
      <c r="BG959" s="104"/>
      <c r="BH959" s="104"/>
      <c r="BI959" s="104"/>
      <c r="BJ959" s="104"/>
      <c r="BK959" s="104"/>
      <c r="BL959" s="104"/>
      <c r="BM959" s="104"/>
      <c r="BN959" s="104"/>
      <c r="BO959" s="104"/>
      <c r="BP959" s="104"/>
      <c r="BQ959" s="104"/>
      <c r="BR959" s="104"/>
      <c r="BS959" s="104"/>
      <c r="BT959" s="104"/>
      <c r="BU959" s="104"/>
      <c r="BV959" s="104"/>
      <c r="BW959" s="104"/>
      <c r="BX959" s="104"/>
    </row>
    <row r="960" spans="1:7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 s="104"/>
      <c r="BG960" s="104"/>
      <c r="BH960" s="104"/>
      <c r="BI960" s="104"/>
      <c r="BJ960" s="104"/>
      <c r="BK960" s="104"/>
      <c r="BL960" s="104"/>
      <c r="BM960" s="104"/>
      <c r="BN960" s="104"/>
      <c r="BO960" s="104"/>
      <c r="BP960" s="104"/>
      <c r="BQ960" s="104"/>
      <c r="BR960" s="104"/>
      <c r="BS960" s="104"/>
      <c r="BT960" s="104"/>
      <c r="BU960" s="104"/>
      <c r="BV960" s="104"/>
      <c r="BW960" s="104"/>
      <c r="BX960" s="104"/>
    </row>
    <row r="961" spans="1:7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 s="104"/>
      <c r="BG961" s="104"/>
      <c r="BH961" s="104"/>
      <c r="BI961" s="104"/>
      <c r="BJ961" s="104"/>
      <c r="BK961" s="104"/>
      <c r="BL961" s="104"/>
      <c r="BM961" s="104"/>
      <c r="BN961" s="104"/>
      <c r="BO961" s="104"/>
      <c r="BP961" s="104"/>
      <c r="BQ961" s="104"/>
      <c r="BR961" s="104"/>
      <c r="BS961" s="104"/>
      <c r="BT961" s="104"/>
      <c r="BU961" s="104"/>
      <c r="BV961" s="104"/>
      <c r="BW961" s="104"/>
      <c r="BX961" s="104"/>
    </row>
    <row r="962" spans="1:7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 s="104"/>
      <c r="BG962" s="104"/>
      <c r="BH962" s="104"/>
      <c r="BI962" s="104"/>
      <c r="BJ962" s="104"/>
      <c r="BK962" s="104"/>
      <c r="BL962" s="104"/>
      <c r="BM962" s="104"/>
      <c r="BN962" s="104"/>
      <c r="BO962" s="104"/>
      <c r="BP962" s="104"/>
      <c r="BQ962" s="104"/>
      <c r="BR962" s="104"/>
      <c r="BS962" s="104"/>
      <c r="BT962" s="104"/>
      <c r="BU962" s="104"/>
      <c r="BV962" s="104"/>
      <c r="BW962" s="104"/>
      <c r="BX962" s="104"/>
    </row>
    <row r="963" spans="1:7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 s="104"/>
      <c r="BG963" s="104"/>
      <c r="BH963" s="104"/>
      <c r="BI963" s="104"/>
      <c r="BJ963" s="104"/>
      <c r="BK963" s="104"/>
      <c r="BL963" s="104"/>
      <c r="BM963" s="104"/>
      <c r="BN963" s="104"/>
      <c r="BO963" s="104"/>
      <c r="BP963" s="104"/>
      <c r="BQ963" s="104"/>
      <c r="BR963" s="104"/>
      <c r="BS963" s="104"/>
      <c r="BT963" s="104"/>
      <c r="BU963" s="104"/>
      <c r="BV963" s="104"/>
      <c r="BW963" s="104"/>
      <c r="BX963" s="104"/>
    </row>
    <row r="964" spans="1:7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 s="104"/>
      <c r="BG964" s="104"/>
      <c r="BH964" s="104"/>
      <c r="BI964" s="104"/>
      <c r="BJ964" s="104"/>
      <c r="BK964" s="104"/>
      <c r="BL964" s="104"/>
      <c r="BM964" s="104"/>
      <c r="BN964" s="104"/>
      <c r="BO964" s="104"/>
      <c r="BP964" s="104"/>
      <c r="BQ964" s="104"/>
      <c r="BR964" s="104"/>
      <c r="BS964" s="104"/>
      <c r="BT964" s="104"/>
      <c r="BU964" s="104"/>
      <c r="BV964" s="104"/>
      <c r="BW964" s="104"/>
      <c r="BX964" s="104"/>
    </row>
    <row r="965" spans="1:7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 s="104"/>
      <c r="BG965" s="104"/>
      <c r="BH965" s="104"/>
      <c r="BI965" s="104"/>
      <c r="BJ965" s="104"/>
      <c r="BK965" s="104"/>
      <c r="BL965" s="104"/>
      <c r="BM965" s="104"/>
      <c r="BN965" s="104"/>
      <c r="BO965" s="104"/>
      <c r="BP965" s="104"/>
      <c r="BQ965" s="104"/>
      <c r="BR965" s="104"/>
      <c r="BS965" s="104"/>
      <c r="BT965" s="104"/>
      <c r="BU965" s="104"/>
      <c r="BV965" s="104"/>
      <c r="BW965" s="104"/>
      <c r="BX965" s="104"/>
    </row>
    <row r="966" spans="1:7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 s="104"/>
      <c r="BG966" s="104"/>
      <c r="BH966" s="104"/>
      <c r="BI966" s="104"/>
      <c r="BJ966" s="104"/>
      <c r="BK966" s="104"/>
      <c r="BL966" s="104"/>
      <c r="BM966" s="104"/>
      <c r="BN966" s="104"/>
      <c r="BO966" s="104"/>
      <c r="BP966" s="104"/>
      <c r="BQ966" s="104"/>
      <c r="BR966" s="104"/>
      <c r="BS966" s="104"/>
      <c r="BT966" s="104"/>
      <c r="BU966" s="104"/>
      <c r="BV966" s="104"/>
      <c r="BW966" s="104"/>
      <c r="BX966" s="104"/>
    </row>
    <row r="967" spans="1:7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 s="104"/>
      <c r="BG967" s="104"/>
      <c r="BH967" s="104"/>
      <c r="BI967" s="104"/>
      <c r="BJ967" s="104"/>
      <c r="BK967" s="104"/>
      <c r="BL967" s="104"/>
      <c r="BM967" s="104"/>
      <c r="BN967" s="104"/>
      <c r="BO967" s="104"/>
      <c r="BP967" s="104"/>
      <c r="BQ967" s="104"/>
      <c r="BR967" s="104"/>
      <c r="BS967" s="104"/>
      <c r="BT967" s="104"/>
      <c r="BU967" s="104"/>
      <c r="BV967" s="104"/>
      <c r="BW967" s="104"/>
      <c r="BX967" s="104"/>
    </row>
    <row r="968" spans="1:7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 s="104"/>
      <c r="BG968" s="104"/>
      <c r="BH968" s="104"/>
      <c r="BI968" s="104"/>
      <c r="BJ968" s="104"/>
      <c r="BK968" s="104"/>
      <c r="BL968" s="104"/>
      <c r="BM968" s="104"/>
      <c r="BN968" s="104"/>
      <c r="BO968" s="104"/>
      <c r="BP968" s="104"/>
      <c r="BQ968" s="104"/>
      <c r="BR968" s="104"/>
      <c r="BS968" s="104"/>
      <c r="BT968" s="104"/>
      <c r="BU968" s="104"/>
      <c r="BV968" s="104"/>
      <c r="BW968" s="104"/>
      <c r="BX968" s="104"/>
    </row>
    <row r="969" spans="1:7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 s="104"/>
      <c r="BG969" s="104"/>
      <c r="BH969" s="104"/>
      <c r="BI969" s="104"/>
      <c r="BJ969" s="104"/>
      <c r="BK969" s="104"/>
      <c r="BL969" s="104"/>
      <c r="BM969" s="104"/>
      <c r="BN969" s="104"/>
      <c r="BO969" s="104"/>
      <c r="BP969" s="104"/>
      <c r="BQ969" s="104"/>
      <c r="BR969" s="104"/>
      <c r="BS969" s="104"/>
      <c r="BT969" s="104"/>
      <c r="BU969" s="104"/>
      <c r="BV969" s="104"/>
      <c r="BW969" s="104"/>
      <c r="BX969" s="104"/>
    </row>
    <row r="970" spans="1:7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 s="104"/>
      <c r="BG970" s="104"/>
      <c r="BH970" s="104"/>
      <c r="BI970" s="104"/>
      <c r="BJ970" s="104"/>
      <c r="BK970" s="104"/>
      <c r="BL970" s="104"/>
      <c r="BM970" s="104"/>
      <c r="BN970" s="104"/>
      <c r="BO970" s="104"/>
      <c r="BP970" s="104"/>
      <c r="BQ970" s="104"/>
      <c r="BR970" s="104"/>
      <c r="BS970" s="104"/>
      <c r="BT970" s="104"/>
      <c r="BU970" s="104"/>
      <c r="BV970" s="104"/>
      <c r="BW970" s="104"/>
      <c r="BX970" s="104"/>
    </row>
    <row r="971" spans="1:7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 s="104"/>
      <c r="BG971" s="104"/>
      <c r="BH971" s="104"/>
      <c r="BI971" s="104"/>
      <c r="BJ971" s="104"/>
      <c r="BK971" s="104"/>
      <c r="BL971" s="104"/>
      <c r="BM971" s="104"/>
      <c r="BN971" s="104"/>
      <c r="BO971" s="104"/>
      <c r="BP971" s="104"/>
      <c r="BQ971" s="104"/>
      <c r="BR971" s="104"/>
      <c r="BS971" s="104"/>
      <c r="BT971" s="104"/>
      <c r="BU971" s="104"/>
      <c r="BV971" s="104"/>
      <c r="BW971" s="104"/>
      <c r="BX971" s="104"/>
    </row>
    <row r="972" spans="1:7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 s="104"/>
      <c r="BG972" s="104"/>
      <c r="BH972" s="104"/>
      <c r="BI972" s="104"/>
      <c r="BJ972" s="104"/>
      <c r="BK972" s="104"/>
      <c r="BL972" s="104"/>
      <c r="BM972" s="104"/>
      <c r="BN972" s="104"/>
      <c r="BO972" s="104"/>
      <c r="BP972" s="104"/>
      <c r="BQ972" s="104"/>
      <c r="BR972" s="104"/>
      <c r="BS972" s="104"/>
      <c r="BT972" s="104"/>
      <c r="BU972" s="104"/>
      <c r="BV972" s="104"/>
      <c r="BW972" s="104"/>
      <c r="BX972" s="104"/>
    </row>
    <row r="973" spans="1:7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 s="104"/>
      <c r="BG973" s="104"/>
      <c r="BH973" s="104"/>
      <c r="BI973" s="104"/>
      <c r="BJ973" s="104"/>
      <c r="BK973" s="104"/>
      <c r="BL973" s="104"/>
      <c r="BM973" s="104"/>
      <c r="BN973" s="104"/>
      <c r="BO973" s="104"/>
      <c r="BP973" s="104"/>
      <c r="BQ973" s="104"/>
      <c r="BR973" s="104"/>
      <c r="BS973" s="104"/>
      <c r="BT973" s="104"/>
      <c r="BU973" s="104"/>
      <c r="BV973" s="104"/>
      <c r="BW973" s="104"/>
      <c r="BX973" s="104"/>
    </row>
    <row r="974" spans="1:7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 s="104"/>
      <c r="BG974" s="104"/>
      <c r="BH974" s="104"/>
      <c r="BI974" s="104"/>
      <c r="BJ974" s="104"/>
      <c r="BK974" s="104"/>
      <c r="BL974" s="104"/>
      <c r="BM974" s="104"/>
      <c r="BN974" s="104"/>
      <c r="BO974" s="104"/>
      <c r="BP974" s="104"/>
      <c r="BQ974" s="104"/>
      <c r="BR974" s="104"/>
      <c r="BS974" s="104"/>
      <c r="BT974" s="104"/>
      <c r="BU974" s="104"/>
      <c r="BV974" s="104"/>
      <c r="BW974" s="104"/>
      <c r="BX974" s="104"/>
    </row>
    <row r="975" spans="1:7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 s="104"/>
      <c r="BG975" s="104"/>
      <c r="BH975" s="104"/>
      <c r="BI975" s="104"/>
      <c r="BJ975" s="104"/>
      <c r="BK975" s="104"/>
      <c r="BL975" s="104"/>
      <c r="BM975" s="104"/>
      <c r="BN975" s="104"/>
      <c r="BO975" s="104"/>
      <c r="BP975" s="104"/>
      <c r="BQ975" s="104"/>
      <c r="BR975" s="104"/>
      <c r="BS975" s="104"/>
      <c r="BT975" s="104"/>
      <c r="BU975" s="104"/>
      <c r="BV975" s="104"/>
      <c r="BW975" s="104"/>
      <c r="BX975" s="104"/>
    </row>
    <row r="976" spans="1:7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 s="104"/>
      <c r="BG976" s="104"/>
      <c r="BH976" s="104"/>
      <c r="BI976" s="104"/>
      <c r="BJ976" s="104"/>
      <c r="BK976" s="104"/>
      <c r="BL976" s="104"/>
      <c r="BM976" s="104"/>
      <c r="BN976" s="104"/>
      <c r="BO976" s="104"/>
      <c r="BP976" s="104"/>
      <c r="BQ976" s="104"/>
      <c r="BR976" s="104"/>
      <c r="BS976" s="104"/>
      <c r="BT976" s="104"/>
      <c r="BU976" s="104"/>
      <c r="BV976" s="104"/>
      <c r="BW976" s="104"/>
      <c r="BX976" s="104"/>
    </row>
    <row r="977" spans="1:7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 s="104"/>
      <c r="BG977" s="104"/>
      <c r="BH977" s="104"/>
      <c r="BI977" s="104"/>
      <c r="BJ977" s="104"/>
      <c r="BK977" s="104"/>
      <c r="BL977" s="104"/>
      <c r="BM977" s="104"/>
      <c r="BN977" s="104"/>
      <c r="BO977" s="104"/>
      <c r="BP977" s="104"/>
      <c r="BQ977" s="104"/>
      <c r="BR977" s="104"/>
      <c r="BS977" s="104"/>
      <c r="BT977" s="104"/>
      <c r="BU977" s="104"/>
      <c r="BV977" s="104"/>
      <c r="BW977" s="104"/>
      <c r="BX977" s="104"/>
    </row>
    <row r="978" spans="1:7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 s="104"/>
      <c r="BG978" s="104"/>
      <c r="BH978" s="104"/>
      <c r="BI978" s="104"/>
      <c r="BJ978" s="104"/>
      <c r="BK978" s="104"/>
      <c r="BL978" s="104"/>
      <c r="BM978" s="104"/>
      <c r="BN978" s="104"/>
      <c r="BO978" s="104"/>
      <c r="BP978" s="104"/>
      <c r="BQ978" s="104"/>
      <c r="BR978" s="104"/>
      <c r="BS978" s="104"/>
      <c r="BT978" s="104"/>
      <c r="BU978" s="104"/>
      <c r="BV978" s="104"/>
      <c r="BW978" s="104"/>
      <c r="BX978" s="104"/>
    </row>
    <row r="979" spans="1:7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 s="104"/>
      <c r="BG979" s="104"/>
      <c r="BH979" s="104"/>
      <c r="BI979" s="104"/>
      <c r="BJ979" s="104"/>
      <c r="BK979" s="104"/>
      <c r="BL979" s="104"/>
      <c r="BM979" s="104"/>
      <c r="BN979" s="104"/>
      <c r="BO979" s="104"/>
      <c r="BP979" s="104"/>
      <c r="BQ979" s="104"/>
      <c r="BR979" s="104"/>
      <c r="BS979" s="104"/>
      <c r="BT979" s="104"/>
      <c r="BU979" s="104"/>
      <c r="BV979" s="104"/>
      <c r="BW979" s="104"/>
      <c r="BX979" s="104"/>
    </row>
    <row r="980" spans="1:7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 s="104"/>
      <c r="BG980" s="104"/>
      <c r="BH980" s="104"/>
      <c r="BI980" s="104"/>
      <c r="BJ980" s="104"/>
      <c r="BK980" s="104"/>
      <c r="BL980" s="104"/>
      <c r="BM980" s="104"/>
      <c r="BN980" s="104"/>
      <c r="BO980" s="104"/>
      <c r="BP980" s="104"/>
      <c r="BQ980" s="104"/>
      <c r="BR980" s="104"/>
      <c r="BS980" s="104"/>
      <c r="BT980" s="104"/>
      <c r="BU980" s="104"/>
      <c r="BV980" s="104"/>
      <c r="BW980" s="104"/>
      <c r="BX980" s="104"/>
    </row>
    <row r="981" spans="1:7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 s="104"/>
      <c r="BG981" s="104"/>
      <c r="BH981" s="104"/>
      <c r="BI981" s="104"/>
      <c r="BJ981" s="104"/>
      <c r="BK981" s="104"/>
      <c r="BL981" s="104"/>
      <c r="BM981" s="104"/>
      <c r="BN981" s="104"/>
      <c r="BO981" s="104"/>
      <c r="BP981" s="104"/>
      <c r="BQ981" s="104"/>
      <c r="BR981" s="104"/>
      <c r="BS981" s="104"/>
      <c r="BT981" s="104"/>
      <c r="BU981" s="104"/>
      <c r="BV981" s="104"/>
      <c r="BW981" s="104"/>
      <c r="BX981" s="104"/>
    </row>
    <row r="982" spans="1:7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 s="104"/>
      <c r="BG982" s="104"/>
      <c r="BH982" s="104"/>
      <c r="BI982" s="104"/>
      <c r="BJ982" s="104"/>
      <c r="BK982" s="104"/>
      <c r="BL982" s="104"/>
      <c r="BM982" s="104"/>
      <c r="BN982" s="104"/>
      <c r="BO982" s="104"/>
      <c r="BP982" s="104"/>
      <c r="BQ982" s="104"/>
      <c r="BR982" s="104"/>
      <c r="BS982" s="104"/>
      <c r="BT982" s="104"/>
      <c r="BU982" s="104"/>
      <c r="BV982" s="104"/>
      <c r="BW982" s="104"/>
      <c r="BX982" s="104"/>
    </row>
    <row r="983" spans="1:7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 s="104"/>
      <c r="BG983" s="104"/>
      <c r="BH983" s="104"/>
      <c r="BI983" s="104"/>
      <c r="BJ983" s="104"/>
      <c r="BK983" s="104"/>
      <c r="BL983" s="104"/>
      <c r="BM983" s="104"/>
      <c r="BN983" s="104"/>
      <c r="BO983" s="104"/>
      <c r="BP983" s="104"/>
      <c r="BQ983" s="104"/>
      <c r="BR983" s="104"/>
      <c r="BS983" s="104"/>
      <c r="BT983" s="104"/>
      <c r="BU983" s="104"/>
      <c r="BV983" s="104"/>
      <c r="BW983" s="104"/>
      <c r="BX983" s="104"/>
    </row>
    <row r="984" spans="1:7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 s="104"/>
      <c r="BG984" s="104"/>
      <c r="BH984" s="104"/>
      <c r="BI984" s="104"/>
      <c r="BJ984" s="104"/>
      <c r="BK984" s="104"/>
      <c r="BL984" s="104"/>
      <c r="BM984" s="104"/>
      <c r="BN984" s="104"/>
      <c r="BO984" s="104"/>
      <c r="BP984" s="104"/>
      <c r="BQ984" s="104"/>
      <c r="BR984" s="104"/>
      <c r="BS984" s="104"/>
      <c r="BT984" s="104"/>
      <c r="BU984" s="104"/>
      <c r="BV984" s="104"/>
      <c r="BW984" s="104"/>
      <c r="BX984" s="104"/>
    </row>
    <row r="985" spans="1:7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 s="104"/>
      <c r="BG985" s="104"/>
      <c r="BH985" s="104"/>
      <c r="BI985" s="104"/>
      <c r="BJ985" s="104"/>
      <c r="BK985" s="104"/>
      <c r="BL985" s="104"/>
      <c r="BM985" s="104"/>
      <c r="BN985" s="104"/>
      <c r="BO985" s="104"/>
      <c r="BP985" s="104"/>
      <c r="BQ985" s="104"/>
      <c r="BR985" s="104"/>
      <c r="BS985" s="104"/>
      <c r="BT985" s="104"/>
      <c r="BU985" s="104"/>
      <c r="BV985" s="104"/>
      <c r="BW985" s="104"/>
      <c r="BX985" s="104"/>
    </row>
    <row r="986" spans="1:7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 s="104"/>
      <c r="BG986" s="104"/>
      <c r="BH986" s="104"/>
      <c r="BI986" s="104"/>
      <c r="BJ986" s="104"/>
      <c r="BK986" s="104"/>
      <c r="BL986" s="104"/>
      <c r="BM986" s="104"/>
      <c r="BN986" s="104"/>
      <c r="BO986" s="104"/>
      <c r="BP986" s="104"/>
      <c r="BQ986" s="104"/>
      <c r="BR986" s="104"/>
      <c r="BS986" s="104"/>
      <c r="BT986" s="104"/>
      <c r="BU986" s="104"/>
      <c r="BV986" s="104"/>
      <c r="BW986" s="104"/>
      <c r="BX986" s="104"/>
    </row>
    <row r="987" spans="1:7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 s="104"/>
      <c r="BG987" s="104"/>
      <c r="BH987" s="104"/>
      <c r="BI987" s="104"/>
      <c r="BJ987" s="104"/>
      <c r="BK987" s="104"/>
      <c r="BL987" s="104"/>
      <c r="BM987" s="104"/>
      <c r="BN987" s="104"/>
      <c r="BO987" s="104"/>
      <c r="BP987" s="104"/>
      <c r="BQ987" s="104"/>
      <c r="BR987" s="104"/>
      <c r="BS987" s="104"/>
      <c r="BT987" s="104"/>
      <c r="BU987" s="104"/>
      <c r="BV987" s="104"/>
      <c r="BW987" s="104"/>
      <c r="BX987" s="104"/>
    </row>
    <row r="988" spans="1:7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 s="104"/>
      <c r="BG988" s="104"/>
      <c r="BH988" s="104"/>
      <c r="BI988" s="104"/>
      <c r="BJ988" s="104"/>
      <c r="BK988" s="104"/>
      <c r="BL988" s="104"/>
      <c r="BM988" s="104"/>
      <c r="BN988" s="104"/>
      <c r="BO988" s="104"/>
      <c r="BP988" s="104"/>
      <c r="BQ988" s="104"/>
      <c r="BR988" s="104"/>
      <c r="BS988" s="104"/>
      <c r="BT988" s="104"/>
      <c r="BU988" s="104"/>
      <c r="BV988" s="104"/>
      <c r="BW988" s="104"/>
      <c r="BX988" s="104"/>
    </row>
    <row r="989" spans="1:7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 s="104"/>
      <c r="BG989" s="104"/>
      <c r="BH989" s="104"/>
      <c r="BI989" s="104"/>
      <c r="BJ989" s="104"/>
      <c r="BK989" s="104"/>
      <c r="BL989" s="104"/>
      <c r="BM989" s="104"/>
      <c r="BN989" s="104"/>
      <c r="BO989" s="104"/>
      <c r="BP989" s="104"/>
      <c r="BQ989" s="104"/>
      <c r="BR989" s="104"/>
      <c r="BS989" s="104"/>
      <c r="BT989" s="104"/>
      <c r="BU989" s="104"/>
      <c r="BV989" s="104"/>
      <c r="BW989" s="104"/>
      <c r="BX989" s="104"/>
    </row>
    <row r="990" spans="1:7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 s="104"/>
      <c r="BG990" s="104"/>
      <c r="BH990" s="104"/>
      <c r="BI990" s="104"/>
      <c r="BJ990" s="104"/>
      <c r="BK990" s="104"/>
      <c r="BL990" s="104"/>
      <c r="BM990" s="104"/>
      <c r="BN990" s="104"/>
      <c r="BO990" s="104"/>
      <c r="BP990" s="104"/>
      <c r="BQ990" s="104"/>
      <c r="BR990" s="104"/>
      <c r="BS990" s="104"/>
      <c r="BT990" s="104"/>
      <c r="BU990" s="104"/>
      <c r="BV990" s="104"/>
      <c r="BW990" s="104"/>
      <c r="BX990" s="104"/>
    </row>
    <row r="991" spans="1:7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 s="104"/>
      <c r="BG991" s="104"/>
      <c r="BH991" s="104"/>
      <c r="BI991" s="104"/>
      <c r="BJ991" s="104"/>
      <c r="BK991" s="104"/>
      <c r="BL991" s="104"/>
      <c r="BM991" s="104"/>
      <c r="BN991" s="104"/>
      <c r="BO991" s="104"/>
      <c r="BP991" s="104"/>
      <c r="BQ991" s="104"/>
      <c r="BR991" s="104"/>
      <c r="BS991" s="104"/>
      <c r="BT991" s="104"/>
      <c r="BU991" s="104"/>
      <c r="BV991" s="104"/>
      <c r="BW991" s="104"/>
      <c r="BX991" s="104"/>
    </row>
    <row r="992" spans="1:7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 s="104"/>
      <c r="BG992" s="104"/>
      <c r="BH992" s="104"/>
      <c r="BI992" s="104"/>
      <c r="BJ992" s="104"/>
      <c r="BK992" s="104"/>
      <c r="BL992" s="104"/>
      <c r="BM992" s="104"/>
      <c r="BN992" s="104"/>
      <c r="BO992" s="104"/>
      <c r="BP992" s="104"/>
      <c r="BQ992" s="104"/>
      <c r="BR992" s="104"/>
      <c r="BS992" s="104"/>
      <c r="BT992" s="104"/>
      <c r="BU992" s="104"/>
      <c r="BV992" s="104"/>
      <c r="BW992" s="104"/>
      <c r="BX992" s="104"/>
    </row>
    <row r="993" spans="1:7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 s="104"/>
      <c r="BG993" s="104"/>
      <c r="BH993" s="104"/>
      <c r="BI993" s="104"/>
      <c r="BJ993" s="104"/>
      <c r="BK993" s="104"/>
      <c r="BL993" s="104"/>
      <c r="BM993" s="104"/>
      <c r="BN993" s="104"/>
      <c r="BO993" s="104"/>
      <c r="BP993" s="104"/>
      <c r="BQ993" s="104"/>
      <c r="BR993" s="104"/>
      <c r="BS993" s="104"/>
      <c r="BT993" s="104"/>
      <c r="BU993" s="104"/>
      <c r="BV993" s="104"/>
      <c r="BW993" s="104"/>
      <c r="BX993" s="104"/>
    </row>
    <row r="994" spans="1:7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 s="104"/>
      <c r="BG994" s="104"/>
      <c r="BH994" s="104"/>
      <c r="BI994" s="104"/>
      <c r="BJ994" s="104"/>
      <c r="BK994" s="104"/>
      <c r="BL994" s="104"/>
      <c r="BM994" s="104"/>
      <c r="BN994" s="104"/>
      <c r="BO994" s="104"/>
      <c r="BP994" s="104"/>
      <c r="BQ994" s="104"/>
      <c r="BR994" s="104"/>
      <c r="BS994" s="104"/>
      <c r="BT994" s="104"/>
      <c r="BU994" s="104"/>
      <c r="BV994" s="104"/>
      <c r="BW994" s="104"/>
      <c r="BX994" s="104"/>
    </row>
    <row r="995" spans="1:7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 s="104"/>
      <c r="BG995" s="104"/>
      <c r="BH995" s="104"/>
      <c r="BI995" s="104"/>
      <c r="BJ995" s="104"/>
      <c r="BK995" s="104"/>
      <c r="BL995" s="104"/>
      <c r="BM995" s="104"/>
      <c r="BN995" s="104"/>
      <c r="BO995" s="104"/>
      <c r="BP995" s="104"/>
      <c r="BQ995" s="104"/>
      <c r="BR995" s="104"/>
      <c r="BS995" s="104"/>
      <c r="BT995" s="104"/>
      <c r="BU995" s="104"/>
      <c r="BV995" s="104"/>
      <c r="BW995" s="104"/>
      <c r="BX995" s="104"/>
    </row>
    <row r="996" spans="1:7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 s="104"/>
      <c r="BG996" s="104"/>
      <c r="BH996" s="104"/>
      <c r="BI996" s="104"/>
      <c r="BJ996" s="104"/>
      <c r="BK996" s="104"/>
      <c r="BL996" s="104"/>
      <c r="BM996" s="104"/>
      <c r="BN996" s="104"/>
      <c r="BO996" s="104"/>
      <c r="BP996" s="104"/>
      <c r="BQ996" s="104"/>
      <c r="BR996" s="104"/>
      <c r="BS996" s="104"/>
      <c r="BT996" s="104"/>
      <c r="BU996" s="104"/>
      <c r="BV996" s="104"/>
      <c r="BW996" s="104"/>
      <c r="BX996" s="104"/>
    </row>
    <row r="997" spans="1:7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 s="104"/>
      <c r="BG997" s="104"/>
      <c r="BH997" s="104"/>
      <c r="BI997" s="104"/>
      <c r="BJ997" s="104"/>
      <c r="BK997" s="104"/>
      <c r="BL997" s="104"/>
      <c r="BM997" s="104"/>
      <c r="BN997" s="104"/>
      <c r="BO997" s="104"/>
      <c r="BP997" s="104"/>
      <c r="BQ997" s="104"/>
      <c r="BR997" s="104"/>
      <c r="BS997" s="104"/>
      <c r="BT997" s="104"/>
      <c r="BU997" s="104"/>
      <c r="BV997" s="104"/>
      <c r="BW997" s="104"/>
      <c r="BX997" s="104"/>
    </row>
    <row r="998" spans="1:7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 s="104"/>
      <c r="BG998" s="104"/>
      <c r="BH998" s="104"/>
      <c r="BI998" s="104"/>
      <c r="BJ998" s="104"/>
      <c r="BK998" s="104"/>
      <c r="BL998" s="104"/>
      <c r="BM998" s="104"/>
      <c r="BN998" s="104"/>
      <c r="BO998" s="104"/>
      <c r="BP998" s="104"/>
      <c r="BQ998" s="104"/>
      <c r="BR998" s="104"/>
      <c r="BS998" s="104"/>
      <c r="BT998" s="104"/>
      <c r="BU998" s="104"/>
      <c r="BV998" s="104"/>
      <c r="BW998" s="104"/>
      <c r="BX998" s="104"/>
    </row>
    <row r="999" spans="1:7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 s="104"/>
      <c r="BG999" s="104"/>
      <c r="BH999" s="104"/>
      <c r="BI999" s="104"/>
      <c r="BJ999" s="104"/>
      <c r="BK999" s="104"/>
      <c r="BL999" s="104"/>
      <c r="BM999" s="104"/>
      <c r="BN999" s="104"/>
      <c r="BO999" s="104"/>
      <c r="BP999" s="104"/>
      <c r="BQ999" s="104"/>
      <c r="BR999" s="104"/>
      <c r="BS999" s="104"/>
      <c r="BT999" s="104"/>
      <c r="BU999" s="104"/>
      <c r="BV999" s="104"/>
      <c r="BW999" s="104"/>
      <c r="BX999" s="104"/>
    </row>
    <row r="1000" spans="1:7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 s="104"/>
      <c r="BG1000" s="104"/>
      <c r="BH1000" s="104"/>
      <c r="BI1000" s="104"/>
      <c r="BJ1000" s="104"/>
      <c r="BK1000" s="104"/>
      <c r="BL1000" s="104"/>
      <c r="BM1000" s="104"/>
      <c r="BN1000" s="104"/>
      <c r="BO1000" s="104"/>
      <c r="BP1000" s="104"/>
      <c r="BQ1000" s="104"/>
      <c r="BR1000" s="104"/>
      <c r="BS1000" s="104"/>
      <c r="BT1000" s="104"/>
      <c r="BU1000" s="104"/>
      <c r="BV1000" s="104"/>
      <c r="BW1000" s="104"/>
      <c r="BX1000" s="104"/>
    </row>
    <row r="1001" spans="1:7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 s="104"/>
      <c r="BG1001" s="104"/>
      <c r="BH1001" s="104"/>
      <c r="BI1001" s="104"/>
      <c r="BJ1001" s="104"/>
      <c r="BK1001" s="104"/>
      <c r="BL1001" s="104"/>
      <c r="BM1001" s="104"/>
      <c r="BN1001" s="104"/>
      <c r="BO1001" s="104"/>
      <c r="BP1001" s="104"/>
      <c r="BQ1001" s="104"/>
      <c r="BR1001" s="104"/>
      <c r="BS1001" s="104"/>
      <c r="BT1001" s="104"/>
      <c r="BU1001" s="104"/>
      <c r="BV1001" s="104"/>
      <c r="BW1001" s="104"/>
      <c r="BX1001" s="104"/>
    </row>
    <row r="1002" spans="1:7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 s="104"/>
      <c r="BG1002" s="104"/>
      <c r="BH1002" s="104"/>
      <c r="BI1002" s="104"/>
      <c r="BJ1002" s="104"/>
      <c r="BK1002" s="104"/>
      <c r="BL1002" s="104"/>
      <c r="BM1002" s="104"/>
      <c r="BN1002" s="104"/>
      <c r="BO1002" s="104"/>
      <c r="BP1002" s="104"/>
      <c r="BQ1002" s="104"/>
      <c r="BR1002" s="104"/>
      <c r="BS1002" s="104"/>
      <c r="BT1002" s="104"/>
      <c r="BU1002" s="104"/>
      <c r="BV1002" s="104"/>
      <c r="BW1002" s="104"/>
      <c r="BX1002" s="104"/>
    </row>
    <row r="1003" spans="1:7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 s="104"/>
      <c r="BG1003" s="104"/>
      <c r="BH1003" s="104"/>
      <c r="BI1003" s="104"/>
      <c r="BJ1003" s="104"/>
      <c r="BK1003" s="104"/>
      <c r="BL1003" s="104"/>
      <c r="BM1003" s="104"/>
      <c r="BN1003" s="104"/>
      <c r="BO1003" s="104"/>
      <c r="BP1003" s="104"/>
      <c r="BQ1003" s="104"/>
      <c r="BR1003" s="104"/>
      <c r="BS1003" s="104"/>
      <c r="BT1003" s="104"/>
      <c r="BU1003" s="104"/>
      <c r="BV1003" s="104"/>
      <c r="BW1003" s="104"/>
      <c r="BX1003" s="104"/>
    </row>
    <row r="1004" spans="1:7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 s="104"/>
      <c r="BG1004" s="104"/>
      <c r="BH1004" s="104"/>
      <c r="BI1004" s="104"/>
      <c r="BJ1004" s="104"/>
      <c r="BK1004" s="104"/>
      <c r="BL1004" s="104"/>
      <c r="BM1004" s="104"/>
      <c r="BN1004" s="104"/>
      <c r="BO1004" s="104"/>
      <c r="BP1004" s="104"/>
      <c r="BQ1004" s="104"/>
      <c r="BR1004" s="104"/>
      <c r="BS1004" s="104"/>
      <c r="BT1004" s="104"/>
      <c r="BU1004" s="104"/>
      <c r="BV1004" s="104"/>
      <c r="BW1004" s="104"/>
      <c r="BX1004" s="104"/>
    </row>
    <row r="1005" spans="1:7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 s="104"/>
      <c r="BG1005" s="104"/>
      <c r="BH1005" s="104"/>
      <c r="BI1005" s="104"/>
      <c r="BJ1005" s="104"/>
      <c r="BK1005" s="104"/>
      <c r="BL1005" s="104"/>
      <c r="BM1005" s="104"/>
      <c r="BN1005" s="104"/>
      <c r="BO1005" s="104"/>
      <c r="BP1005" s="104"/>
      <c r="BQ1005" s="104"/>
      <c r="BR1005" s="104"/>
      <c r="BS1005" s="104"/>
      <c r="BT1005" s="104"/>
      <c r="BU1005" s="104"/>
      <c r="BV1005" s="104"/>
      <c r="BW1005" s="104"/>
      <c r="BX1005" s="104"/>
    </row>
    <row r="1006" spans="1:7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 s="104"/>
      <c r="BG1006" s="104"/>
      <c r="BH1006" s="104"/>
      <c r="BI1006" s="104"/>
      <c r="BJ1006" s="104"/>
      <c r="BK1006" s="104"/>
      <c r="BL1006" s="104"/>
      <c r="BM1006" s="104"/>
      <c r="BN1006" s="104"/>
      <c r="BO1006" s="104"/>
      <c r="BP1006" s="104"/>
      <c r="BQ1006" s="104"/>
      <c r="BR1006" s="104"/>
      <c r="BS1006" s="104"/>
      <c r="BT1006" s="104"/>
      <c r="BU1006" s="104"/>
      <c r="BV1006" s="104"/>
      <c r="BW1006" s="104"/>
      <c r="BX1006" s="104"/>
    </row>
    <row r="1007" spans="1:7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 s="104"/>
      <c r="BG1007" s="104"/>
      <c r="BH1007" s="104"/>
      <c r="BI1007" s="104"/>
      <c r="BJ1007" s="104"/>
      <c r="BK1007" s="104"/>
      <c r="BL1007" s="104"/>
      <c r="BM1007" s="104"/>
      <c r="BN1007" s="104"/>
      <c r="BO1007" s="104"/>
      <c r="BP1007" s="104"/>
      <c r="BQ1007" s="104"/>
      <c r="BR1007" s="104"/>
      <c r="BS1007" s="104"/>
      <c r="BT1007" s="104"/>
      <c r="BU1007" s="104"/>
      <c r="BV1007" s="104"/>
      <c r="BW1007" s="104"/>
      <c r="BX1007" s="104"/>
    </row>
    <row r="1008" spans="1:7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 s="104"/>
      <c r="BG1008" s="104"/>
      <c r="BH1008" s="104"/>
      <c r="BI1008" s="104"/>
      <c r="BJ1008" s="104"/>
      <c r="BK1008" s="104"/>
      <c r="BL1008" s="104"/>
      <c r="BM1008" s="104"/>
      <c r="BN1008" s="104"/>
      <c r="BO1008" s="104"/>
      <c r="BP1008" s="104"/>
      <c r="BQ1008" s="104"/>
      <c r="BR1008" s="104"/>
      <c r="BS1008" s="104"/>
      <c r="BT1008" s="104"/>
      <c r="BU1008" s="104"/>
      <c r="BV1008" s="104"/>
      <c r="BW1008" s="104"/>
      <c r="BX1008" s="104"/>
    </row>
    <row r="1009" spans="1:7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 s="104"/>
      <c r="BG1009" s="104"/>
      <c r="BH1009" s="104"/>
      <c r="BI1009" s="104"/>
      <c r="BJ1009" s="104"/>
      <c r="BK1009" s="104"/>
      <c r="BL1009" s="104"/>
      <c r="BM1009" s="104"/>
      <c r="BN1009" s="104"/>
      <c r="BO1009" s="104"/>
      <c r="BP1009" s="104"/>
      <c r="BQ1009" s="104"/>
      <c r="BR1009" s="104"/>
      <c r="BS1009" s="104"/>
      <c r="BT1009" s="104"/>
      <c r="BU1009" s="104"/>
      <c r="BV1009" s="104"/>
      <c r="BW1009" s="104"/>
      <c r="BX1009" s="104"/>
    </row>
    <row r="1010" spans="1:7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 s="104"/>
      <c r="BG1010" s="104"/>
      <c r="BH1010" s="104"/>
      <c r="BI1010" s="104"/>
      <c r="BJ1010" s="104"/>
      <c r="BK1010" s="104"/>
      <c r="BL1010" s="104"/>
      <c r="BM1010" s="104"/>
      <c r="BN1010" s="104"/>
      <c r="BO1010" s="104"/>
      <c r="BP1010" s="104"/>
      <c r="BQ1010" s="104"/>
      <c r="BR1010" s="104"/>
      <c r="BS1010" s="104"/>
      <c r="BT1010" s="104"/>
      <c r="BU1010" s="104"/>
      <c r="BV1010" s="104"/>
      <c r="BW1010" s="104"/>
      <c r="BX1010" s="104"/>
    </row>
    <row r="1011" spans="1:7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 s="104"/>
      <c r="BG1011" s="104"/>
      <c r="BH1011" s="104"/>
      <c r="BI1011" s="104"/>
      <c r="BJ1011" s="104"/>
      <c r="BK1011" s="104"/>
      <c r="BL1011" s="104"/>
      <c r="BM1011" s="104"/>
      <c r="BN1011" s="104"/>
      <c r="BO1011" s="104"/>
      <c r="BP1011" s="104"/>
      <c r="BQ1011" s="104"/>
      <c r="BR1011" s="104"/>
      <c r="BS1011" s="104"/>
      <c r="BT1011" s="104"/>
      <c r="BU1011" s="104"/>
      <c r="BV1011" s="104"/>
      <c r="BW1011" s="104"/>
      <c r="BX1011" s="104"/>
    </row>
    <row r="1012" spans="1:7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 s="104"/>
      <c r="BG1012" s="104"/>
      <c r="BH1012" s="104"/>
      <c r="BI1012" s="104"/>
      <c r="BJ1012" s="104"/>
      <c r="BK1012" s="104"/>
      <c r="BL1012" s="104"/>
      <c r="BM1012" s="104"/>
      <c r="BN1012" s="104"/>
      <c r="BO1012" s="104"/>
      <c r="BP1012" s="104"/>
      <c r="BQ1012" s="104"/>
      <c r="BR1012" s="104"/>
      <c r="BS1012" s="104"/>
      <c r="BT1012" s="104"/>
      <c r="BU1012" s="104"/>
      <c r="BV1012" s="104"/>
      <c r="BW1012" s="104"/>
      <c r="BX1012" s="104"/>
    </row>
    <row r="1013" spans="1:7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 s="104"/>
      <c r="BG1013" s="104"/>
      <c r="BH1013" s="104"/>
      <c r="BI1013" s="104"/>
      <c r="BJ1013" s="104"/>
      <c r="BK1013" s="104"/>
      <c r="BL1013" s="104"/>
      <c r="BM1013" s="104"/>
      <c r="BN1013" s="104"/>
      <c r="BO1013" s="104"/>
      <c r="BP1013" s="104"/>
      <c r="BQ1013" s="104"/>
      <c r="BR1013" s="104"/>
      <c r="BS1013" s="104"/>
      <c r="BT1013" s="104"/>
      <c r="BU1013" s="104"/>
      <c r="BV1013" s="104"/>
      <c r="BW1013" s="104"/>
      <c r="BX1013" s="104"/>
    </row>
    <row r="1014" spans="1:7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 s="104"/>
      <c r="BG1014" s="104"/>
      <c r="BH1014" s="104"/>
      <c r="BI1014" s="104"/>
      <c r="BJ1014" s="104"/>
      <c r="BK1014" s="104"/>
      <c r="BL1014" s="104"/>
      <c r="BM1014" s="104"/>
      <c r="BN1014" s="104"/>
      <c r="BO1014" s="104"/>
      <c r="BP1014" s="104"/>
      <c r="BQ1014" s="104"/>
      <c r="BR1014" s="104"/>
      <c r="BS1014" s="104"/>
      <c r="BT1014" s="104"/>
      <c r="BU1014" s="104"/>
      <c r="BV1014" s="104"/>
      <c r="BW1014" s="104"/>
      <c r="BX1014" s="104"/>
    </row>
    <row r="1015" spans="1:7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 s="104"/>
      <c r="BG1015" s="104"/>
      <c r="BH1015" s="104"/>
      <c r="BI1015" s="104"/>
      <c r="BJ1015" s="104"/>
      <c r="BK1015" s="104"/>
      <c r="BL1015" s="104"/>
      <c r="BM1015" s="104"/>
      <c r="BN1015" s="104"/>
      <c r="BO1015" s="104"/>
      <c r="BP1015" s="104"/>
      <c r="BQ1015" s="104"/>
      <c r="BR1015" s="104"/>
      <c r="BS1015" s="104"/>
      <c r="BT1015" s="104"/>
      <c r="BU1015" s="104"/>
      <c r="BV1015" s="104"/>
      <c r="BW1015" s="104"/>
      <c r="BX1015" s="104"/>
    </row>
    <row r="1016" spans="1:7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 s="104"/>
      <c r="BG1016" s="104"/>
      <c r="BH1016" s="104"/>
      <c r="BI1016" s="104"/>
      <c r="BJ1016" s="104"/>
      <c r="BK1016" s="104"/>
      <c r="BL1016" s="104"/>
      <c r="BM1016" s="104"/>
      <c r="BN1016" s="104"/>
      <c r="BO1016" s="104"/>
      <c r="BP1016" s="104"/>
      <c r="BQ1016" s="104"/>
      <c r="BR1016" s="104"/>
      <c r="BS1016" s="104"/>
      <c r="BT1016" s="104"/>
      <c r="BU1016" s="104"/>
      <c r="BV1016" s="104"/>
      <c r="BW1016" s="104"/>
      <c r="BX1016" s="104"/>
    </row>
    <row r="1017" spans="1:7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 s="104"/>
      <c r="BG1017" s="104"/>
      <c r="BH1017" s="104"/>
      <c r="BI1017" s="104"/>
      <c r="BJ1017" s="104"/>
      <c r="BK1017" s="104"/>
      <c r="BL1017" s="104"/>
      <c r="BM1017" s="104"/>
      <c r="BN1017" s="104"/>
      <c r="BO1017" s="104"/>
      <c r="BP1017" s="104"/>
      <c r="BQ1017" s="104"/>
      <c r="BR1017" s="104"/>
      <c r="BS1017" s="104"/>
      <c r="BT1017" s="104"/>
      <c r="BU1017" s="104"/>
      <c r="BV1017" s="104"/>
      <c r="BW1017" s="104"/>
      <c r="BX1017" s="104"/>
    </row>
    <row r="1018" spans="1:7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 s="104"/>
      <c r="BG1018" s="104"/>
      <c r="BH1018" s="104"/>
      <c r="BI1018" s="104"/>
      <c r="BJ1018" s="104"/>
      <c r="BK1018" s="104"/>
      <c r="BL1018" s="104"/>
      <c r="BM1018" s="104"/>
      <c r="BN1018" s="104"/>
      <c r="BO1018" s="104"/>
      <c r="BP1018" s="104"/>
      <c r="BQ1018" s="104"/>
      <c r="BR1018" s="104"/>
      <c r="BS1018" s="104"/>
      <c r="BT1018" s="104"/>
      <c r="BU1018" s="104"/>
      <c r="BV1018" s="104"/>
      <c r="BW1018" s="104"/>
      <c r="BX1018" s="104"/>
    </row>
    <row r="1019" spans="1:7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 s="104"/>
      <c r="BG1019" s="104"/>
      <c r="BH1019" s="104"/>
      <c r="BI1019" s="104"/>
      <c r="BJ1019" s="104"/>
      <c r="BK1019" s="104"/>
      <c r="BL1019" s="104"/>
      <c r="BM1019" s="104"/>
      <c r="BN1019" s="104"/>
      <c r="BO1019" s="104"/>
      <c r="BP1019" s="104"/>
      <c r="BQ1019" s="104"/>
      <c r="BR1019" s="104"/>
      <c r="BS1019" s="104"/>
      <c r="BT1019" s="104"/>
      <c r="BU1019" s="104"/>
      <c r="BV1019" s="104"/>
      <c r="BW1019" s="104"/>
      <c r="BX1019" s="104"/>
    </row>
    <row r="1020" spans="1:7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 s="104"/>
      <c r="BG1020" s="104"/>
      <c r="BH1020" s="104"/>
      <c r="BI1020" s="104"/>
      <c r="BJ1020" s="104"/>
      <c r="BK1020" s="104"/>
      <c r="BL1020" s="104"/>
      <c r="BM1020" s="104"/>
      <c r="BN1020" s="104"/>
      <c r="BO1020" s="104"/>
      <c r="BP1020" s="104"/>
      <c r="BQ1020" s="104"/>
      <c r="BR1020" s="104"/>
      <c r="BS1020" s="104"/>
      <c r="BT1020" s="104"/>
      <c r="BU1020" s="104"/>
      <c r="BV1020" s="104"/>
      <c r="BW1020" s="104"/>
      <c r="BX1020" s="104"/>
    </row>
    <row r="1021" spans="1:7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 s="104"/>
      <c r="BG1021" s="104"/>
      <c r="BH1021" s="104"/>
      <c r="BI1021" s="104"/>
      <c r="BJ1021" s="104"/>
      <c r="BK1021" s="104"/>
      <c r="BL1021" s="104"/>
      <c r="BM1021" s="104"/>
      <c r="BN1021" s="104"/>
      <c r="BO1021" s="104"/>
      <c r="BP1021" s="104"/>
      <c r="BQ1021" s="104"/>
      <c r="BR1021" s="104"/>
      <c r="BS1021" s="104"/>
      <c r="BT1021" s="104"/>
      <c r="BU1021" s="104"/>
      <c r="BV1021" s="104"/>
      <c r="BW1021" s="104"/>
      <c r="BX1021" s="104"/>
    </row>
    <row r="1022" spans="1:7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 s="104"/>
      <c r="BG1022" s="104"/>
      <c r="BH1022" s="104"/>
      <c r="BI1022" s="104"/>
      <c r="BJ1022" s="104"/>
      <c r="BK1022" s="104"/>
      <c r="BL1022" s="104"/>
      <c r="BM1022" s="104"/>
      <c r="BN1022" s="104"/>
      <c r="BO1022" s="104"/>
      <c r="BP1022" s="104"/>
      <c r="BQ1022" s="104"/>
      <c r="BR1022" s="104"/>
      <c r="BS1022" s="104"/>
      <c r="BT1022" s="104"/>
      <c r="BU1022" s="104"/>
      <c r="BV1022" s="104"/>
      <c r="BW1022" s="104"/>
      <c r="BX1022" s="104"/>
    </row>
    <row r="1023" spans="1:7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 s="104"/>
      <c r="BG1023" s="104"/>
      <c r="BH1023" s="104"/>
      <c r="BI1023" s="104"/>
      <c r="BJ1023" s="104"/>
      <c r="BK1023" s="104"/>
      <c r="BL1023" s="104"/>
      <c r="BM1023" s="104"/>
      <c r="BN1023" s="104"/>
      <c r="BO1023" s="104"/>
      <c r="BP1023" s="104"/>
      <c r="BQ1023" s="104"/>
      <c r="BR1023" s="104"/>
      <c r="BS1023" s="104"/>
      <c r="BT1023" s="104"/>
      <c r="BU1023" s="104"/>
      <c r="BV1023" s="104"/>
      <c r="BW1023" s="104"/>
      <c r="BX1023" s="104"/>
    </row>
    <row r="1024" spans="1:7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 s="104"/>
      <c r="BG1024" s="104"/>
      <c r="BH1024" s="104"/>
      <c r="BI1024" s="104"/>
      <c r="BJ1024" s="104"/>
      <c r="BK1024" s="104"/>
      <c r="BL1024" s="104"/>
      <c r="BM1024" s="104"/>
      <c r="BN1024" s="104"/>
      <c r="BO1024" s="104"/>
      <c r="BP1024" s="104"/>
      <c r="BQ1024" s="104"/>
      <c r="BR1024" s="104"/>
      <c r="BS1024" s="104"/>
      <c r="BT1024" s="104"/>
      <c r="BU1024" s="104"/>
      <c r="BV1024" s="104"/>
      <c r="BW1024" s="104"/>
      <c r="BX1024" s="104"/>
    </row>
    <row r="1025" spans="1:7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 s="104"/>
      <c r="BG1025" s="104"/>
      <c r="BH1025" s="104"/>
      <c r="BI1025" s="104"/>
      <c r="BJ1025" s="104"/>
      <c r="BK1025" s="104"/>
      <c r="BL1025" s="104"/>
      <c r="BM1025" s="104"/>
      <c r="BN1025" s="104"/>
      <c r="BO1025" s="104"/>
      <c r="BP1025" s="104"/>
      <c r="BQ1025" s="104"/>
      <c r="BR1025" s="104"/>
      <c r="BS1025" s="104"/>
      <c r="BT1025" s="104"/>
      <c r="BU1025" s="104"/>
      <c r="BV1025" s="104"/>
      <c r="BW1025" s="104"/>
      <c r="BX1025" s="104"/>
    </row>
    <row r="1026" spans="1:7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 s="104"/>
      <c r="BG1026" s="104"/>
      <c r="BH1026" s="104"/>
      <c r="BI1026" s="104"/>
      <c r="BJ1026" s="104"/>
      <c r="BK1026" s="104"/>
      <c r="BL1026" s="104"/>
      <c r="BM1026" s="104"/>
      <c r="BN1026" s="104"/>
      <c r="BO1026" s="104"/>
      <c r="BP1026" s="104"/>
      <c r="BQ1026" s="104"/>
      <c r="BR1026" s="104"/>
      <c r="BS1026" s="104"/>
      <c r="BT1026" s="104"/>
      <c r="BU1026" s="104"/>
      <c r="BV1026" s="104"/>
      <c r="BW1026" s="104"/>
      <c r="BX1026" s="104"/>
    </row>
    <row r="1027" spans="1:7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 s="104"/>
      <c r="BG1027" s="104"/>
      <c r="BH1027" s="104"/>
      <c r="BI1027" s="104"/>
      <c r="BJ1027" s="104"/>
      <c r="BK1027" s="104"/>
      <c r="BL1027" s="104"/>
      <c r="BM1027" s="104"/>
      <c r="BN1027" s="104"/>
      <c r="BO1027" s="104"/>
      <c r="BP1027" s="104"/>
      <c r="BQ1027" s="104"/>
      <c r="BR1027" s="104"/>
      <c r="BS1027" s="104"/>
      <c r="BT1027" s="104"/>
      <c r="BU1027" s="104"/>
      <c r="BV1027" s="104"/>
      <c r="BW1027" s="104"/>
      <c r="BX1027" s="104"/>
    </row>
    <row r="1028" spans="1:7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 s="104"/>
      <c r="BG1028" s="104"/>
      <c r="BH1028" s="104"/>
      <c r="BI1028" s="104"/>
      <c r="BJ1028" s="104"/>
      <c r="BK1028" s="104"/>
      <c r="BL1028" s="104"/>
      <c r="BM1028" s="104"/>
      <c r="BN1028" s="104"/>
      <c r="BO1028" s="104"/>
      <c r="BP1028" s="104"/>
      <c r="BQ1028" s="104"/>
      <c r="BR1028" s="104"/>
      <c r="BS1028" s="104"/>
      <c r="BT1028" s="104"/>
      <c r="BU1028" s="104"/>
      <c r="BV1028" s="104"/>
      <c r="BW1028" s="104"/>
      <c r="BX1028" s="104"/>
    </row>
    <row r="1029" spans="1:7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 s="104"/>
      <c r="BG1029" s="104"/>
      <c r="BH1029" s="104"/>
      <c r="BI1029" s="104"/>
      <c r="BJ1029" s="104"/>
      <c r="BK1029" s="104"/>
      <c r="BL1029" s="104"/>
      <c r="BM1029" s="104"/>
      <c r="BN1029" s="104"/>
      <c r="BO1029" s="104"/>
      <c r="BP1029" s="104"/>
      <c r="BQ1029" s="104"/>
      <c r="BR1029" s="104"/>
      <c r="BS1029" s="104"/>
      <c r="BT1029" s="104"/>
      <c r="BU1029" s="104"/>
      <c r="BV1029" s="104"/>
      <c r="BW1029" s="104"/>
      <c r="BX1029" s="104"/>
    </row>
    <row r="1030" spans="1:7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 s="104"/>
      <c r="BG1030" s="104"/>
      <c r="BH1030" s="104"/>
      <c r="BI1030" s="104"/>
      <c r="BJ1030" s="104"/>
      <c r="BK1030" s="104"/>
      <c r="BL1030" s="104"/>
      <c r="BM1030" s="104"/>
      <c r="BN1030" s="104"/>
      <c r="BO1030" s="104"/>
      <c r="BP1030" s="104"/>
      <c r="BQ1030" s="104"/>
      <c r="BR1030" s="104"/>
      <c r="BS1030" s="104"/>
      <c r="BT1030" s="104"/>
      <c r="BU1030" s="104"/>
      <c r="BV1030" s="104"/>
      <c r="BW1030" s="104"/>
      <c r="BX1030" s="104"/>
    </row>
    <row r="1031" spans="1:7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 s="104"/>
      <c r="BG1031" s="104"/>
      <c r="BH1031" s="104"/>
      <c r="BI1031" s="104"/>
      <c r="BJ1031" s="104"/>
      <c r="BK1031" s="104"/>
      <c r="BL1031" s="104"/>
      <c r="BM1031" s="104"/>
      <c r="BN1031" s="104"/>
      <c r="BO1031" s="104"/>
      <c r="BP1031" s="104"/>
      <c r="BQ1031" s="104"/>
      <c r="BR1031" s="104"/>
      <c r="BS1031" s="104"/>
      <c r="BT1031" s="104"/>
      <c r="BU1031" s="104"/>
      <c r="BV1031" s="104"/>
      <c r="BW1031" s="104"/>
      <c r="BX1031" s="104"/>
    </row>
    <row r="1032" spans="1:7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 s="104"/>
      <c r="BG1032" s="104"/>
      <c r="BH1032" s="104"/>
      <c r="BI1032" s="104"/>
      <c r="BJ1032" s="104"/>
      <c r="BK1032" s="104"/>
      <c r="BL1032" s="104"/>
      <c r="BM1032" s="104"/>
      <c r="BN1032" s="104"/>
      <c r="BO1032" s="104"/>
      <c r="BP1032" s="104"/>
      <c r="BQ1032" s="104"/>
      <c r="BR1032" s="104"/>
      <c r="BS1032" s="104"/>
      <c r="BT1032" s="104"/>
      <c r="BU1032" s="104"/>
      <c r="BV1032" s="104"/>
      <c r="BW1032" s="104"/>
      <c r="BX1032" s="104"/>
    </row>
    <row r="1033" spans="1:7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 s="104"/>
      <c r="BG1033" s="104"/>
      <c r="BH1033" s="104"/>
      <c r="BI1033" s="104"/>
      <c r="BJ1033" s="104"/>
      <c r="BK1033" s="104"/>
      <c r="BL1033" s="104"/>
      <c r="BM1033" s="104"/>
      <c r="BN1033" s="104"/>
      <c r="BO1033" s="104"/>
      <c r="BP1033" s="104"/>
      <c r="BQ1033" s="104"/>
      <c r="BR1033" s="104"/>
      <c r="BS1033" s="104"/>
      <c r="BT1033" s="104"/>
      <c r="BU1033" s="104"/>
      <c r="BV1033" s="104"/>
      <c r="BW1033" s="104"/>
      <c r="BX1033" s="104"/>
    </row>
    <row r="1034" spans="1:7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 s="104"/>
      <c r="BG1034" s="104"/>
      <c r="BH1034" s="104"/>
      <c r="BI1034" s="104"/>
      <c r="BJ1034" s="104"/>
      <c r="BK1034" s="104"/>
      <c r="BL1034" s="104"/>
      <c r="BM1034" s="104"/>
      <c r="BN1034" s="104"/>
      <c r="BO1034" s="104"/>
      <c r="BP1034" s="104"/>
      <c r="BQ1034" s="104"/>
      <c r="BR1034" s="104"/>
      <c r="BS1034" s="104"/>
      <c r="BT1034" s="104"/>
      <c r="BU1034" s="104"/>
      <c r="BV1034" s="104"/>
      <c r="BW1034" s="104"/>
      <c r="BX1034" s="104"/>
    </row>
    <row r="1035" spans="1:7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 s="104"/>
      <c r="BG1035" s="104"/>
      <c r="BH1035" s="104"/>
      <c r="BI1035" s="104"/>
      <c r="BJ1035" s="104"/>
      <c r="BK1035" s="104"/>
      <c r="BL1035" s="104"/>
      <c r="BM1035" s="104"/>
      <c r="BN1035" s="104"/>
      <c r="BO1035" s="104"/>
      <c r="BP1035" s="104"/>
      <c r="BQ1035" s="104"/>
      <c r="BR1035" s="104"/>
      <c r="BS1035" s="104"/>
      <c r="BT1035" s="104"/>
      <c r="BU1035" s="104"/>
      <c r="BV1035" s="104"/>
      <c r="BW1035" s="104"/>
      <c r="BX1035" s="104"/>
    </row>
    <row r="1036" spans="1:7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 s="104"/>
      <c r="BG1036" s="104"/>
      <c r="BH1036" s="104"/>
      <c r="BI1036" s="104"/>
      <c r="BJ1036" s="104"/>
      <c r="BK1036" s="104"/>
      <c r="BL1036" s="104"/>
      <c r="BM1036" s="104"/>
      <c r="BN1036" s="104"/>
      <c r="BO1036" s="104"/>
      <c r="BP1036" s="104"/>
      <c r="BQ1036" s="104"/>
      <c r="BR1036" s="104"/>
      <c r="BS1036" s="104"/>
      <c r="BT1036" s="104"/>
      <c r="BU1036" s="104"/>
      <c r="BV1036" s="104"/>
      <c r="BW1036" s="104"/>
      <c r="BX1036" s="104"/>
    </row>
    <row r="1037" spans="1:7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 s="104"/>
      <c r="BG1037" s="104"/>
      <c r="BH1037" s="104"/>
      <c r="BI1037" s="104"/>
      <c r="BJ1037" s="104"/>
      <c r="BK1037" s="104"/>
      <c r="BL1037" s="104"/>
      <c r="BM1037" s="104"/>
      <c r="BN1037" s="104"/>
      <c r="BO1037" s="104"/>
      <c r="BP1037" s="104"/>
      <c r="BQ1037" s="104"/>
      <c r="BR1037" s="104"/>
      <c r="BS1037" s="104"/>
      <c r="BT1037" s="104"/>
      <c r="BU1037" s="104"/>
      <c r="BV1037" s="104"/>
      <c r="BW1037" s="104"/>
      <c r="BX1037" s="104"/>
    </row>
    <row r="1038" spans="1:7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 s="104"/>
      <c r="BG1038" s="104"/>
      <c r="BH1038" s="104"/>
      <c r="BI1038" s="104"/>
      <c r="BJ1038" s="104"/>
      <c r="BK1038" s="104"/>
      <c r="BL1038" s="104"/>
      <c r="BM1038" s="104"/>
      <c r="BN1038" s="104"/>
      <c r="BO1038" s="104"/>
      <c r="BP1038" s="104"/>
      <c r="BQ1038" s="104"/>
      <c r="BR1038" s="104"/>
      <c r="BS1038" s="104"/>
      <c r="BT1038" s="104"/>
      <c r="BU1038" s="104"/>
      <c r="BV1038" s="104"/>
      <c r="BW1038" s="104"/>
      <c r="BX1038" s="104"/>
    </row>
    <row r="1039" spans="1:7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 s="104"/>
      <c r="BG1039" s="104"/>
      <c r="BH1039" s="104"/>
      <c r="BI1039" s="104"/>
      <c r="BJ1039" s="104"/>
      <c r="BK1039" s="104"/>
      <c r="BL1039" s="104"/>
      <c r="BM1039" s="104"/>
      <c r="BN1039" s="104"/>
      <c r="BO1039" s="104"/>
      <c r="BP1039" s="104"/>
      <c r="BQ1039" s="104"/>
      <c r="BR1039" s="104"/>
      <c r="BS1039" s="104"/>
      <c r="BT1039" s="104"/>
      <c r="BU1039" s="104"/>
      <c r="BV1039" s="104"/>
      <c r="BW1039" s="104"/>
      <c r="BX1039" s="104"/>
    </row>
    <row r="1040" spans="1:7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 s="104"/>
      <c r="BG1040" s="104"/>
      <c r="BH1040" s="104"/>
      <c r="BI1040" s="104"/>
      <c r="BJ1040" s="104"/>
      <c r="BK1040" s="104"/>
      <c r="BL1040" s="104"/>
      <c r="BM1040" s="104"/>
      <c r="BN1040" s="104"/>
      <c r="BO1040" s="104"/>
      <c r="BP1040" s="104"/>
      <c r="BQ1040" s="104"/>
      <c r="BR1040" s="104"/>
      <c r="BS1040" s="104"/>
      <c r="BT1040" s="104"/>
      <c r="BU1040" s="104"/>
      <c r="BV1040" s="104"/>
      <c r="BW1040" s="104"/>
      <c r="BX1040" s="104"/>
    </row>
    <row r="1041" spans="1:7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 s="104"/>
      <c r="BG1041" s="104"/>
      <c r="BH1041" s="104"/>
      <c r="BI1041" s="104"/>
      <c r="BJ1041" s="104"/>
      <c r="BK1041" s="104"/>
      <c r="BL1041" s="104"/>
      <c r="BM1041" s="104"/>
      <c r="BN1041" s="104"/>
      <c r="BO1041" s="104"/>
      <c r="BP1041" s="104"/>
      <c r="BQ1041" s="104"/>
      <c r="BR1041" s="104"/>
      <c r="BS1041" s="104"/>
      <c r="BT1041" s="104"/>
      <c r="BU1041" s="104"/>
      <c r="BV1041" s="104"/>
      <c r="BW1041" s="104"/>
      <c r="BX1041" s="104"/>
    </row>
    <row r="1042" spans="1:7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 s="104"/>
      <c r="BG1042" s="104"/>
      <c r="BH1042" s="104"/>
      <c r="BI1042" s="104"/>
      <c r="BJ1042" s="104"/>
      <c r="BK1042" s="104"/>
      <c r="BL1042" s="104"/>
      <c r="BM1042" s="104"/>
      <c r="BN1042" s="104"/>
      <c r="BO1042" s="104"/>
      <c r="BP1042" s="104"/>
      <c r="BQ1042" s="104"/>
      <c r="BR1042" s="104"/>
      <c r="BS1042" s="104"/>
      <c r="BT1042" s="104"/>
      <c r="BU1042" s="104"/>
      <c r="BV1042" s="104"/>
      <c r="BW1042" s="104"/>
      <c r="BX1042" s="104"/>
    </row>
    <row r="1043" spans="1:7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 s="104"/>
      <c r="BG1043" s="104"/>
      <c r="BH1043" s="104"/>
      <c r="BI1043" s="104"/>
      <c r="BJ1043" s="104"/>
      <c r="BK1043" s="104"/>
      <c r="BL1043" s="104"/>
      <c r="BM1043" s="104"/>
      <c r="BN1043" s="104"/>
      <c r="BO1043" s="104"/>
      <c r="BP1043" s="104"/>
      <c r="BQ1043" s="104"/>
      <c r="BR1043" s="104"/>
      <c r="BS1043" s="104"/>
      <c r="BT1043" s="104"/>
      <c r="BU1043" s="104"/>
      <c r="BV1043" s="104"/>
      <c r="BW1043" s="104"/>
      <c r="BX1043" s="104"/>
    </row>
    <row r="1044" spans="1:7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 s="104"/>
      <c r="BG1044" s="104"/>
      <c r="BH1044" s="104"/>
      <c r="BI1044" s="104"/>
      <c r="BJ1044" s="104"/>
      <c r="BK1044" s="104"/>
      <c r="BL1044" s="104"/>
      <c r="BM1044" s="104"/>
      <c r="BN1044" s="104"/>
      <c r="BO1044" s="104"/>
      <c r="BP1044" s="104"/>
      <c r="BQ1044" s="104"/>
      <c r="BR1044" s="104"/>
      <c r="BS1044" s="104"/>
      <c r="BT1044" s="104"/>
      <c r="BU1044" s="104"/>
      <c r="BV1044" s="104"/>
      <c r="BW1044" s="104"/>
      <c r="BX1044" s="104"/>
    </row>
    <row r="1045" spans="1:7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 s="104"/>
      <c r="BG1045" s="104"/>
      <c r="BH1045" s="104"/>
      <c r="BI1045" s="104"/>
      <c r="BJ1045" s="104"/>
      <c r="BK1045" s="104"/>
      <c r="BL1045" s="104"/>
      <c r="BM1045" s="104"/>
      <c r="BN1045" s="104"/>
      <c r="BO1045" s="104"/>
      <c r="BP1045" s="104"/>
      <c r="BQ1045" s="104"/>
      <c r="BR1045" s="104"/>
      <c r="BS1045" s="104"/>
      <c r="BT1045" s="104"/>
      <c r="BU1045" s="104"/>
      <c r="BV1045" s="104"/>
      <c r="BW1045" s="104"/>
      <c r="BX1045" s="104"/>
    </row>
    <row r="1046" spans="1:7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 s="104"/>
      <c r="BG1046" s="104"/>
      <c r="BH1046" s="104"/>
      <c r="BI1046" s="104"/>
      <c r="BJ1046" s="104"/>
      <c r="BK1046" s="104"/>
      <c r="BL1046" s="104"/>
      <c r="BM1046" s="104"/>
      <c r="BN1046" s="104"/>
      <c r="BO1046" s="104"/>
      <c r="BP1046" s="104"/>
      <c r="BQ1046" s="104"/>
      <c r="BR1046" s="104"/>
      <c r="BS1046" s="104"/>
      <c r="BT1046" s="104"/>
      <c r="BU1046" s="104"/>
      <c r="BV1046" s="104"/>
      <c r="BW1046" s="104"/>
      <c r="BX1046" s="104"/>
    </row>
    <row r="1047" spans="1:7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 s="104"/>
      <c r="BG1047" s="104"/>
      <c r="BH1047" s="104"/>
      <c r="BI1047" s="104"/>
      <c r="BJ1047" s="104"/>
      <c r="BK1047" s="104"/>
      <c r="BL1047" s="104"/>
      <c r="BM1047" s="104"/>
      <c r="BN1047" s="104"/>
      <c r="BO1047" s="104"/>
      <c r="BP1047" s="104"/>
      <c r="BQ1047" s="104"/>
      <c r="BR1047" s="104"/>
      <c r="BS1047" s="104"/>
      <c r="BT1047" s="104"/>
      <c r="BU1047" s="104"/>
      <c r="BV1047" s="104"/>
      <c r="BW1047" s="104"/>
      <c r="BX1047" s="104"/>
    </row>
    <row r="1048" spans="1:7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 s="104"/>
      <c r="BG1048" s="104"/>
      <c r="BH1048" s="104"/>
      <c r="BI1048" s="104"/>
      <c r="BJ1048" s="104"/>
      <c r="BK1048" s="104"/>
      <c r="BL1048" s="104"/>
      <c r="BM1048" s="104"/>
      <c r="BN1048" s="104"/>
      <c r="BO1048" s="104"/>
      <c r="BP1048" s="104"/>
      <c r="BQ1048" s="104"/>
      <c r="BR1048" s="104"/>
      <c r="BS1048" s="104"/>
      <c r="BT1048" s="104"/>
      <c r="BU1048" s="104"/>
      <c r="BV1048" s="104"/>
      <c r="BW1048" s="104"/>
      <c r="BX1048" s="104"/>
    </row>
    <row r="1049" spans="1:7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 s="104"/>
      <c r="BG1049" s="104"/>
      <c r="BH1049" s="104"/>
      <c r="BI1049" s="104"/>
      <c r="BJ1049" s="104"/>
      <c r="BK1049" s="104"/>
      <c r="BL1049" s="104"/>
      <c r="BM1049" s="104"/>
      <c r="BN1049" s="104"/>
      <c r="BO1049" s="104"/>
      <c r="BP1049" s="104"/>
      <c r="BQ1049" s="104"/>
      <c r="BR1049" s="104"/>
      <c r="BS1049" s="104"/>
      <c r="BT1049" s="104"/>
      <c r="BU1049" s="104"/>
      <c r="BV1049" s="104"/>
      <c r="BW1049" s="104"/>
      <c r="BX1049" s="104"/>
    </row>
    <row r="1050" spans="1:7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 s="104"/>
      <c r="BG1050" s="104"/>
      <c r="BH1050" s="104"/>
      <c r="BI1050" s="104"/>
      <c r="BJ1050" s="104"/>
      <c r="BK1050" s="104"/>
      <c r="BL1050" s="104"/>
      <c r="BM1050" s="104"/>
      <c r="BN1050" s="104"/>
      <c r="BO1050" s="104"/>
      <c r="BP1050" s="104"/>
      <c r="BQ1050" s="104"/>
      <c r="BR1050" s="104"/>
      <c r="BS1050" s="104"/>
      <c r="BT1050" s="104"/>
      <c r="BU1050" s="104"/>
      <c r="BV1050" s="104"/>
      <c r="BW1050" s="104"/>
      <c r="BX1050" s="104"/>
    </row>
    <row r="1051" spans="1:7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 s="104"/>
      <c r="BG1051" s="104"/>
      <c r="BH1051" s="104"/>
      <c r="BI1051" s="104"/>
      <c r="BJ1051" s="104"/>
      <c r="BK1051" s="104"/>
      <c r="BL1051" s="104"/>
      <c r="BM1051" s="104"/>
      <c r="BN1051" s="104"/>
      <c r="BO1051" s="104"/>
      <c r="BP1051" s="104"/>
      <c r="BQ1051" s="104"/>
      <c r="BR1051" s="104"/>
      <c r="BS1051" s="104"/>
      <c r="BT1051" s="104"/>
      <c r="BU1051" s="104"/>
      <c r="BV1051" s="104"/>
      <c r="BW1051" s="104"/>
      <c r="BX1051" s="104"/>
    </row>
    <row r="1052" spans="1:7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 s="104"/>
      <c r="BG1052" s="104"/>
      <c r="BH1052" s="104"/>
      <c r="BI1052" s="104"/>
      <c r="BJ1052" s="104"/>
      <c r="BK1052" s="104"/>
      <c r="BL1052" s="104"/>
      <c r="BM1052" s="104"/>
      <c r="BN1052" s="104"/>
      <c r="BO1052" s="104"/>
      <c r="BP1052" s="104"/>
      <c r="BQ1052" s="104"/>
      <c r="BR1052" s="104"/>
      <c r="BS1052" s="104"/>
      <c r="BT1052" s="104"/>
      <c r="BU1052" s="104"/>
      <c r="BV1052" s="104"/>
      <c r="BW1052" s="104"/>
      <c r="BX1052" s="104"/>
    </row>
    <row r="1053" spans="1:7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 s="104"/>
      <c r="BG1053" s="104"/>
      <c r="BH1053" s="104"/>
      <c r="BI1053" s="104"/>
      <c r="BJ1053" s="104"/>
      <c r="BK1053" s="104"/>
      <c r="BL1053" s="104"/>
      <c r="BM1053" s="104"/>
      <c r="BN1053" s="104"/>
      <c r="BO1053" s="104"/>
      <c r="BP1053" s="104"/>
      <c r="BQ1053" s="104"/>
      <c r="BR1053" s="104"/>
      <c r="BS1053" s="104"/>
      <c r="BT1053" s="104"/>
      <c r="BU1053" s="104"/>
      <c r="BV1053" s="104"/>
      <c r="BW1053" s="104"/>
      <c r="BX1053" s="104"/>
    </row>
    <row r="1054" spans="1:7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 s="104"/>
      <c r="BG1054" s="104"/>
      <c r="BH1054" s="104"/>
      <c r="BI1054" s="104"/>
      <c r="BJ1054" s="104"/>
      <c r="BK1054" s="104"/>
      <c r="BL1054" s="104"/>
      <c r="BM1054" s="104"/>
      <c r="BN1054" s="104"/>
      <c r="BO1054" s="104"/>
      <c r="BP1054" s="104"/>
      <c r="BQ1054" s="104"/>
      <c r="BR1054" s="104"/>
      <c r="BS1054" s="104"/>
      <c r="BT1054" s="104"/>
      <c r="BU1054" s="104"/>
      <c r="BV1054" s="104"/>
      <c r="BW1054" s="104"/>
      <c r="BX1054" s="104"/>
    </row>
    <row r="1055" spans="1:7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 s="104"/>
      <c r="BG1055" s="104"/>
      <c r="BH1055" s="104"/>
      <c r="BI1055" s="104"/>
      <c r="BJ1055" s="104"/>
      <c r="BK1055" s="104"/>
      <c r="BL1055" s="104"/>
      <c r="BM1055" s="104"/>
      <c r="BN1055" s="104"/>
      <c r="BO1055" s="104"/>
      <c r="BP1055" s="104"/>
      <c r="BQ1055" s="104"/>
      <c r="BR1055" s="104"/>
      <c r="BS1055" s="104"/>
      <c r="BT1055" s="104"/>
      <c r="BU1055" s="104"/>
      <c r="BV1055" s="104"/>
      <c r="BW1055" s="104"/>
      <c r="BX1055" s="104"/>
    </row>
    <row r="1056" spans="1:7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 s="104"/>
      <c r="BG1056" s="104"/>
      <c r="BH1056" s="104"/>
      <c r="BI1056" s="104"/>
      <c r="BJ1056" s="104"/>
      <c r="BK1056" s="104"/>
      <c r="BL1056" s="104"/>
      <c r="BM1056" s="104"/>
      <c r="BN1056" s="104"/>
      <c r="BO1056" s="104"/>
      <c r="BP1056" s="104"/>
      <c r="BQ1056" s="104"/>
      <c r="BR1056" s="104"/>
      <c r="BS1056" s="104"/>
      <c r="BT1056" s="104"/>
      <c r="BU1056" s="104"/>
      <c r="BV1056" s="104"/>
      <c r="BW1056" s="104"/>
      <c r="BX1056" s="104"/>
    </row>
    <row r="1057" spans="1:7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 s="104"/>
      <c r="BG1057" s="104"/>
      <c r="BH1057" s="104"/>
      <c r="BI1057" s="104"/>
      <c r="BJ1057" s="104"/>
      <c r="BK1057" s="104"/>
      <c r="BL1057" s="104"/>
      <c r="BM1057" s="104"/>
      <c r="BN1057" s="104"/>
      <c r="BO1057" s="104"/>
      <c r="BP1057" s="104"/>
      <c r="BQ1057" s="104"/>
      <c r="BR1057" s="104"/>
      <c r="BS1057" s="104"/>
      <c r="BT1057" s="104"/>
      <c r="BU1057" s="104"/>
      <c r="BV1057" s="104"/>
      <c r="BW1057" s="104"/>
      <c r="BX1057" s="104"/>
    </row>
    <row r="1058" spans="1:7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 s="104"/>
      <c r="BG1058" s="104"/>
      <c r="BH1058" s="104"/>
      <c r="BI1058" s="104"/>
      <c r="BJ1058" s="104"/>
      <c r="BK1058" s="104"/>
      <c r="BL1058" s="104"/>
      <c r="BM1058" s="104"/>
      <c r="BN1058" s="104"/>
      <c r="BO1058" s="104"/>
      <c r="BP1058" s="104"/>
      <c r="BQ1058" s="104"/>
      <c r="BR1058" s="104"/>
      <c r="BS1058" s="104"/>
      <c r="BT1058" s="104"/>
      <c r="BU1058" s="104"/>
      <c r="BV1058" s="104"/>
      <c r="BW1058" s="104"/>
      <c r="BX1058" s="104"/>
    </row>
    <row r="1059" spans="1:7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 s="104"/>
      <c r="BG1059" s="104"/>
      <c r="BH1059" s="104"/>
      <c r="BI1059" s="104"/>
      <c r="BJ1059" s="104"/>
      <c r="BK1059" s="104"/>
      <c r="BL1059" s="104"/>
      <c r="BM1059" s="104"/>
      <c r="BN1059" s="104"/>
      <c r="BO1059" s="104"/>
      <c r="BP1059" s="104"/>
      <c r="BQ1059" s="104"/>
      <c r="BR1059" s="104"/>
      <c r="BS1059" s="104"/>
      <c r="BT1059" s="104"/>
      <c r="BU1059" s="104"/>
      <c r="BV1059" s="104"/>
      <c r="BW1059" s="104"/>
      <c r="BX1059" s="104"/>
    </row>
    <row r="1060" spans="1:7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 s="104"/>
      <c r="BG1060" s="104"/>
      <c r="BH1060" s="104"/>
      <c r="BI1060" s="104"/>
      <c r="BJ1060" s="104"/>
      <c r="BK1060" s="104"/>
      <c r="BL1060" s="104"/>
      <c r="BM1060" s="104"/>
      <c r="BN1060" s="104"/>
      <c r="BO1060" s="104"/>
      <c r="BP1060" s="104"/>
      <c r="BQ1060" s="104"/>
      <c r="BR1060" s="104"/>
      <c r="BS1060" s="104"/>
      <c r="BT1060" s="104"/>
      <c r="BU1060" s="104"/>
      <c r="BV1060" s="104"/>
      <c r="BW1060" s="104"/>
      <c r="BX1060" s="104"/>
    </row>
    <row r="1061" spans="1:7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 s="104"/>
      <c r="BG1061" s="104"/>
      <c r="BH1061" s="104"/>
      <c r="BI1061" s="104"/>
      <c r="BJ1061" s="104"/>
      <c r="BK1061" s="104"/>
      <c r="BL1061" s="104"/>
      <c r="BM1061" s="104"/>
      <c r="BN1061" s="104"/>
      <c r="BO1061" s="104"/>
      <c r="BP1061" s="104"/>
      <c r="BQ1061" s="104"/>
      <c r="BR1061" s="104"/>
      <c r="BS1061" s="104"/>
      <c r="BT1061" s="104"/>
      <c r="BU1061" s="104"/>
      <c r="BV1061" s="104"/>
      <c r="BW1061" s="104"/>
      <c r="BX1061" s="104"/>
    </row>
    <row r="1062" spans="1:7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 s="104"/>
      <c r="BG1062" s="104"/>
      <c r="BH1062" s="104"/>
      <c r="BI1062" s="104"/>
      <c r="BJ1062" s="104"/>
      <c r="BK1062" s="104"/>
      <c r="BL1062" s="104"/>
      <c r="BM1062" s="104"/>
      <c r="BN1062" s="104"/>
      <c r="BO1062" s="104"/>
      <c r="BP1062" s="104"/>
      <c r="BQ1062" s="104"/>
      <c r="BR1062" s="104"/>
      <c r="BS1062" s="104"/>
      <c r="BT1062" s="104"/>
      <c r="BU1062" s="104"/>
      <c r="BV1062" s="104"/>
      <c r="BW1062" s="104"/>
      <c r="BX1062" s="104"/>
    </row>
    <row r="1063" spans="1:7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 s="104"/>
      <c r="BG1063" s="104"/>
      <c r="BH1063" s="104"/>
      <c r="BI1063" s="104"/>
      <c r="BJ1063" s="104"/>
      <c r="BK1063" s="104"/>
      <c r="BL1063" s="104"/>
      <c r="BM1063" s="104"/>
      <c r="BN1063" s="104"/>
      <c r="BO1063" s="104"/>
      <c r="BP1063" s="104"/>
      <c r="BQ1063" s="104"/>
      <c r="BR1063" s="104"/>
      <c r="BS1063" s="104"/>
      <c r="BT1063" s="104"/>
      <c r="BU1063" s="104"/>
      <c r="BV1063" s="104"/>
      <c r="BW1063" s="104"/>
      <c r="BX1063" s="104"/>
    </row>
    <row r="1064" spans="1:7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 s="104"/>
      <c r="BG1064" s="104"/>
      <c r="BH1064" s="104"/>
      <c r="BI1064" s="104"/>
      <c r="BJ1064" s="104"/>
      <c r="BK1064" s="104"/>
      <c r="BL1064" s="104"/>
      <c r="BM1064" s="104"/>
      <c r="BN1064" s="104"/>
      <c r="BO1064" s="104"/>
      <c r="BP1064" s="104"/>
      <c r="BQ1064" s="104"/>
      <c r="BR1064" s="104"/>
      <c r="BS1064" s="104"/>
      <c r="BT1064" s="104"/>
      <c r="BU1064" s="104"/>
      <c r="BV1064" s="104"/>
      <c r="BW1064" s="104"/>
      <c r="BX1064" s="104"/>
    </row>
    <row r="1065" spans="1:7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 s="104"/>
      <c r="BG1065" s="104"/>
      <c r="BH1065" s="104"/>
      <c r="BI1065" s="104"/>
      <c r="BJ1065" s="104"/>
      <c r="BK1065" s="104"/>
      <c r="BL1065" s="104"/>
      <c r="BM1065" s="104"/>
      <c r="BN1065" s="104"/>
      <c r="BO1065" s="104"/>
      <c r="BP1065" s="104"/>
      <c r="BQ1065" s="104"/>
      <c r="BR1065" s="104"/>
      <c r="BS1065" s="104"/>
      <c r="BT1065" s="104"/>
      <c r="BU1065" s="104"/>
      <c r="BV1065" s="104"/>
      <c r="BW1065" s="104"/>
      <c r="BX1065" s="104"/>
    </row>
    <row r="1066" spans="1:7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 s="104"/>
      <c r="BG1066" s="104"/>
      <c r="BH1066" s="104"/>
      <c r="BI1066" s="104"/>
      <c r="BJ1066" s="104"/>
      <c r="BK1066" s="104"/>
      <c r="BL1066" s="104"/>
      <c r="BM1066" s="104"/>
      <c r="BN1066" s="104"/>
      <c r="BO1066" s="104"/>
      <c r="BP1066" s="104"/>
      <c r="BQ1066" s="104"/>
      <c r="BR1066" s="104"/>
      <c r="BS1066" s="104"/>
      <c r="BT1066" s="104"/>
      <c r="BU1066" s="104"/>
      <c r="BV1066" s="104"/>
      <c r="BW1066" s="104"/>
      <c r="BX1066" s="104"/>
    </row>
    <row r="1067" spans="1:7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 s="104"/>
      <c r="BG1067" s="104"/>
      <c r="BH1067" s="104"/>
      <c r="BI1067" s="104"/>
      <c r="BJ1067" s="104"/>
      <c r="BK1067" s="104"/>
      <c r="BL1067" s="104"/>
      <c r="BM1067" s="104"/>
      <c r="BN1067" s="104"/>
      <c r="BO1067" s="104"/>
      <c r="BP1067" s="104"/>
      <c r="BQ1067" s="104"/>
      <c r="BR1067" s="104"/>
      <c r="BS1067" s="104"/>
      <c r="BT1067" s="104"/>
      <c r="BU1067" s="104"/>
      <c r="BV1067" s="104"/>
      <c r="BW1067" s="104"/>
      <c r="BX1067" s="104"/>
    </row>
    <row r="1068" spans="1:7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 s="104"/>
      <c r="BG1068" s="104"/>
      <c r="BH1068" s="104"/>
      <c r="BI1068" s="104"/>
      <c r="BJ1068" s="104"/>
      <c r="BK1068" s="104"/>
      <c r="BL1068" s="104"/>
      <c r="BM1068" s="104"/>
      <c r="BN1068" s="104"/>
      <c r="BO1068" s="104"/>
      <c r="BP1068" s="104"/>
      <c r="BQ1068" s="104"/>
      <c r="BR1068" s="104"/>
      <c r="BS1068" s="104"/>
      <c r="BT1068" s="104"/>
      <c r="BU1068" s="104"/>
      <c r="BV1068" s="104"/>
      <c r="BW1068" s="104"/>
      <c r="BX1068" s="104"/>
    </row>
    <row r="1069" spans="1:7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 s="104"/>
      <c r="BG1069" s="104"/>
      <c r="BH1069" s="104"/>
      <c r="BI1069" s="104"/>
      <c r="BJ1069" s="104"/>
      <c r="BK1069" s="104"/>
      <c r="BL1069" s="104"/>
      <c r="BM1069" s="104"/>
      <c r="BN1069" s="104"/>
      <c r="BO1069" s="104"/>
      <c r="BP1069" s="104"/>
      <c r="BQ1069" s="104"/>
      <c r="BR1069" s="104"/>
      <c r="BS1069" s="104"/>
      <c r="BT1069" s="104"/>
      <c r="BU1069" s="104"/>
      <c r="BV1069" s="104"/>
      <c r="BW1069" s="104"/>
      <c r="BX1069" s="104"/>
    </row>
    <row r="1070" spans="1:7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 s="104"/>
      <c r="BG1070" s="104"/>
      <c r="BH1070" s="104"/>
      <c r="BI1070" s="104"/>
      <c r="BJ1070" s="104"/>
      <c r="BK1070" s="104"/>
      <c r="BL1070" s="104"/>
      <c r="BM1070" s="104"/>
      <c r="BN1070" s="104"/>
      <c r="BO1070" s="104"/>
      <c r="BP1070" s="104"/>
      <c r="BQ1070" s="104"/>
      <c r="BR1070" s="104"/>
      <c r="BS1070" s="104"/>
      <c r="BT1070" s="104"/>
      <c r="BU1070" s="104"/>
      <c r="BV1070" s="104"/>
      <c r="BW1070" s="104"/>
      <c r="BX1070" s="104"/>
    </row>
    <row r="1071" spans="1:7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 s="104"/>
      <c r="BG1071" s="104"/>
      <c r="BH1071" s="104"/>
      <c r="BI1071" s="104"/>
      <c r="BJ1071" s="104"/>
      <c r="BK1071" s="104"/>
      <c r="BL1071" s="104"/>
      <c r="BM1071" s="104"/>
      <c r="BN1071" s="104"/>
      <c r="BO1071" s="104"/>
      <c r="BP1071" s="104"/>
      <c r="BQ1071" s="104"/>
      <c r="BR1071" s="104"/>
      <c r="BS1071" s="104"/>
      <c r="BT1071" s="104"/>
      <c r="BU1071" s="104"/>
      <c r="BV1071" s="104"/>
      <c r="BW1071" s="104"/>
      <c r="BX1071" s="104"/>
    </row>
    <row r="1072" spans="1:7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 s="104"/>
      <c r="BG1072" s="104"/>
      <c r="BH1072" s="104"/>
      <c r="BI1072" s="104"/>
      <c r="BJ1072" s="104"/>
      <c r="BK1072" s="104"/>
      <c r="BL1072" s="104"/>
      <c r="BM1072" s="104"/>
      <c r="BN1072" s="104"/>
      <c r="BO1072" s="104"/>
      <c r="BP1072" s="104"/>
      <c r="BQ1072" s="104"/>
      <c r="BR1072" s="104"/>
      <c r="BS1072" s="104"/>
      <c r="BT1072" s="104"/>
      <c r="BU1072" s="104"/>
      <c r="BV1072" s="104"/>
      <c r="BW1072" s="104"/>
      <c r="BX1072" s="104"/>
    </row>
    <row r="1073" spans="1:7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 s="104"/>
      <c r="BG1073" s="104"/>
      <c r="BH1073" s="104"/>
      <c r="BI1073" s="104"/>
      <c r="BJ1073" s="104"/>
      <c r="BK1073" s="104"/>
      <c r="BL1073" s="104"/>
      <c r="BM1073" s="104"/>
      <c r="BN1073" s="104"/>
      <c r="BO1073" s="104"/>
      <c r="BP1073" s="104"/>
      <c r="BQ1073" s="104"/>
      <c r="BR1073" s="104"/>
      <c r="BS1073" s="104"/>
      <c r="BT1073" s="104"/>
      <c r="BU1073" s="104"/>
      <c r="BV1073" s="104"/>
      <c r="BW1073" s="104"/>
      <c r="BX1073" s="104"/>
    </row>
    <row r="1074" spans="1:7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 s="104"/>
      <c r="BG1074" s="104"/>
      <c r="BH1074" s="104"/>
      <c r="BI1074" s="104"/>
      <c r="BJ1074" s="104"/>
      <c r="BK1074" s="104"/>
      <c r="BL1074" s="104"/>
      <c r="BM1074" s="104"/>
      <c r="BN1074" s="104"/>
      <c r="BO1074" s="104"/>
      <c r="BP1074" s="104"/>
      <c r="BQ1074" s="104"/>
      <c r="BR1074" s="104"/>
      <c r="BS1074" s="104"/>
      <c r="BT1074" s="104"/>
      <c r="BU1074" s="104"/>
      <c r="BV1074" s="104"/>
      <c r="BW1074" s="104"/>
      <c r="BX1074" s="104"/>
    </row>
    <row r="1075" spans="1:7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 s="104"/>
      <c r="BG1075" s="104"/>
      <c r="BH1075" s="104"/>
      <c r="BI1075" s="104"/>
      <c r="BJ1075" s="104"/>
      <c r="BK1075" s="104"/>
      <c r="BL1075" s="104"/>
      <c r="BM1075" s="104"/>
      <c r="BN1075" s="104"/>
      <c r="BO1075" s="104"/>
      <c r="BP1075" s="104"/>
      <c r="BQ1075" s="104"/>
      <c r="BR1075" s="104"/>
      <c r="BS1075" s="104"/>
      <c r="BT1075" s="104"/>
      <c r="BU1075" s="104"/>
      <c r="BV1075" s="104"/>
      <c r="BW1075" s="104"/>
      <c r="BX1075" s="104"/>
    </row>
    <row r="1076" spans="1:7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 s="104"/>
      <c r="BG1076" s="104"/>
      <c r="BH1076" s="104"/>
      <c r="BI1076" s="104"/>
      <c r="BJ1076" s="104"/>
      <c r="BK1076" s="104"/>
      <c r="BL1076" s="104"/>
      <c r="BM1076" s="104"/>
      <c r="BN1076" s="104"/>
      <c r="BO1076" s="104"/>
      <c r="BP1076" s="104"/>
      <c r="BQ1076" s="104"/>
      <c r="BR1076" s="104"/>
      <c r="BS1076" s="104"/>
      <c r="BT1076" s="104"/>
      <c r="BU1076" s="104"/>
      <c r="BV1076" s="104"/>
      <c r="BW1076" s="104"/>
      <c r="BX1076" s="104"/>
    </row>
    <row r="1077" spans="1:7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 s="104"/>
      <c r="BG1077" s="104"/>
      <c r="BH1077" s="104"/>
      <c r="BI1077" s="104"/>
      <c r="BJ1077" s="104"/>
      <c r="BK1077" s="104"/>
      <c r="BL1077" s="104"/>
      <c r="BM1077" s="104"/>
      <c r="BN1077" s="104"/>
      <c r="BO1077" s="104"/>
      <c r="BP1077" s="104"/>
      <c r="BQ1077" s="104"/>
      <c r="BR1077" s="104"/>
      <c r="BS1077" s="104"/>
      <c r="BT1077" s="104"/>
      <c r="BU1077" s="104"/>
      <c r="BV1077" s="104"/>
      <c r="BW1077" s="104"/>
      <c r="BX1077" s="104"/>
    </row>
    <row r="1078" spans="1:7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 s="104"/>
      <c r="BG1078" s="104"/>
      <c r="BH1078" s="104"/>
      <c r="BI1078" s="104"/>
      <c r="BJ1078" s="104"/>
      <c r="BK1078" s="104"/>
      <c r="BL1078" s="104"/>
      <c r="BM1078" s="104"/>
      <c r="BN1078" s="104"/>
      <c r="BO1078" s="104"/>
      <c r="BP1078" s="104"/>
      <c r="BQ1078" s="104"/>
      <c r="BR1078" s="104"/>
      <c r="BS1078" s="104"/>
      <c r="BT1078" s="104"/>
      <c r="BU1078" s="104"/>
      <c r="BV1078" s="104"/>
      <c r="BW1078" s="104"/>
      <c r="BX1078" s="104"/>
    </row>
    <row r="1079" spans="1:7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 s="104"/>
      <c r="BG1079" s="104"/>
      <c r="BH1079" s="104"/>
      <c r="BI1079" s="104"/>
      <c r="BJ1079" s="104"/>
      <c r="BK1079" s="104"/>
      <c r="BL1079" s="104"/>
      <c r="BM1079" s="104"/>
      <c r="BN1079" s="104"/>
      <c r="BO1079" s="104"/>
      <c r="BP1079" s="104"/>
      <c r="BQ1079" s="104"/>
      <c r="BR1079" s="104"/>
      <c r="BS1079" s="104"/>
      <c r="BT1079" s="104"/>
      <c r="BU1079" s="104"/>
      <c r="BV1079" s="104"/>
      <c r="BW1079" s="104"/>
      <c r="BX1079" s="104"/>
    </row>
    <row r="1080" spans="1:7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 s="104"/>
      <c r="BG1080" s="104"/>
      <c r="BH1080" s="104"/>
      <c r="BI1080" s="104"/>
      <c r="BJ1080" s="104"/>
      <c r="BK1080" s="104"/>
      <c r="BL1080" s="104"/>
      <c r="BM1080" s="104"/>
      <c r="BN1080" s="104"/>
      <c r="BO1080" s="104"/>
      <c r="BP1080" s="104"/>
      <c r="BQ1080" s="104"/>
      <c r="BR1080" s="104"/>
      <c r="BS1080" s="104"/>
      <c r="BT1080" s="104"/>
      <c r="BU1080" s="104"/>
      <c r="BV1080" s="104"/>
      <c r="BW1080" s="104"/>
      <c r="BX1080" s="104"/>
    </row>
    <row r="1081" spans="1:7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 s="104"/>
      <c r="BG1081" s="104"/>
      <c r="BH1081" s="104"/>
      <c r="BI1081" s="104"/>
      <c r="BJ1081" s="104"/>
      <c r="BK1081" s="104"/>
      <c r="BL1081" s="104"/>
      <c r="BM1081" s="104"/>
      <c r="BN1081" s="104"/>
      <c r="BO1081" s="104"/>
      <c r="BP1081" s="104"/>
      <c r="BQ1081" s="104"/>
      <c r="BR1081" s="104"/>
      <c r="BS1081" s="104"/>
      <c r="BT1081" s="104"/>
      <c r="BU1081" s="104"/>
      <c r="BV1081" s="104"/>
      <c r="BW1081" s="104"/>
      <c r="BX1081" s="104"/>
    </row>
    <row r="1082" spans="1:7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 s="104"/>
      <c r="BG1082" s="104"/>
      <c r="BH1082" s="104"/>
      <c r="BI1082" s="104"/>
      <c r="BJ1082" s="104"/>
      <c r="BK1082" s="104"/>
      <c r="BL1082" s="104"/>
      <c r="BM1082" s="104"/>
      <c r="BN1082" s="104"/>
      <c r="BO1082" s="104"/>
      <c r="BP1082" s="104"/>
      <c r="BQ1082" s="104"/>
      <c r="BR1082" s="104"/>
      <c r="BS1082" s="104"/>
      <c r="BT1082" s="104"/>
      <c r="BU1082" s="104"/>
      <c r="BV1082" s="104"/>
      <c r="BW1082" s="104"/>
      <c r="BX1082" s="104"/>
    </row>
    <row r="1083" spans="1:7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 s="104"/>
      <c r="BG1083" s="104"/>
      <c r="BH1083" s="104"/>
      <c r="BI1083" s="104"/>
      <c r="BJ1083" s="104"/>
      <c r="BK1083" s="104"/>
      <c r="BL1083" s="104"/>
      <c r="BM1083" s="104"/>
      <c r="BN1083" s="104"/>
      <c r="BO1083" s="104"/>
      <c r="BP1083" s="104"/>
      <c r="BQ1083" s="104"/>
      <c r="BR1083" s="104"/>
      <c r="BS1083" s="104"/>
      <c r="BT1083" s="104"/>
      <c r="BU1083" s="104"/>
      <c r="BV1083" s="104"/>
      <c r="BW1083" s="104"/>
      <c r="BX1083" s="104"/>
    </row>
    <row r="1084" spans="1:7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 s="104"/>
      <c r="BG1084" s="104"/>
      <c r="BH1084" s="104"/>
      <c r="BI1084" s="104"/>
      <c r="BJ1084" s="104"/>
      <c r="BK1084" s="104"/>
      <c r="BL1084" s="104"/>
      <c r="BM1084" s="104"/>
      <c r="BN1084" s="104"/>
      <c r="BO1084" s="104"/>
      <c r="BP1084" s="104"/>
      <c r="BQ1084" s="104"/>
      <c r="BR1084" s="104"/>
      <c r="BS1084" s="104"/>
      <c r="BT1084" s="104"/>
      <c r="BU1084" s="104"/>
      <c r="BV1084" s="104"/>
      <c r="BW1084" s="104"/>
      <c r="BX1084" s="104"/>
    </row>
    <row r="1085" spans="1:7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 s="104"/>
      <c r="BG1085" s="104"/>
      <c r="BH1085" s="104"/>
      <c r="BI1085" s="104"/>
      <c r="BJ1085" s="104"/>
      <c r="BK1085" s="104"/>
      <c r="BL1085" s="104"/>
      <c r="BM1085" s="104"/>
      <c r="BN1085" s="104"/>
      <c r="BO1085" s="104"/>
      <c r="BP1085" s="104"/>
      <c r="BQ1085" s="104"/>
      <c r="BR1085" s="104"/>
      <c r="BS1085" s="104"/>
      <c r="BT1085" s="104"/>
      <c r="BU1085" s="104"/>
      <c r="BV1085" s="104"/>
      <c r="BW1085" s="104"/>
      <c r="BX1085" s="104"/>
    </row>
    <row r="1086" spans="1:7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 s="104"/>
      <c r="BG1086" s="104"/>
      <c r="BH1086" s="104"/>
      <c r="BI1086" s="104"/>
      <c r="BJ1086" s="104"/>
      <c r="BK1086" s="104"/>
      <c r="BL1086" s="104"/>
      <c r="BM1086" s="104"/>
      <c r="BN1086" s="104"/>
      <c r="BO1086" s="104"/>
      <c r="BP1086" s="104"/>
      <c r="BQ1086" s="104"/>
      <c r="BR1086" s="104"/>
      <c r="BS1086" s="104"/>
      <c r="BT1086" s="104"/>
      <c r="BU1086" s="104"/>
      <c r="BV1086" s="104"/>
      <c r="BW1086" s="104"/>
      <c r="BX1086" s="104"/>
    </row>
    <row r="1087" spans="1:7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 s="104"/>
      <c r="BG1087" s="104"/>
      <c r="BH1087" s="104"/>
      <c r="BI1087" s="104"/>
      <c r="BJ1087" s="104"/>
      <c r="BK1087" s="104"/>
      <c r="BL1087" s="104"/>
      <c r="BM1087" s="104"/>
      <c r="BN1087" s="104"/>
      <c r="BO1087" s="104"/>
      <c r="BP1087" s="104"/>
      <c r="BQ1087" s="104"/>
      <c r="BR1087" s="104"/>
      <c r="BS1087" s="104"/>
      <c r="BT1087" s="104"/>
      <c r="BU1087" s="104"/>
      <c r="BV1087" s="104"/>
      <c r="BW1087" s="104"/>
      <c r="BX1087" s="104"/>
    </row>
    <row r="1088" spans="1:7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 s="104"/>
      <c r="BG1088" s="104"/>
      <c r="BH1088" s="104"/>
      <c r="BI1088" s="104"/>
      <c r="BJ1088" s="104"/>
      <c r="BK1088" s="104"/>
      <c r="BL1088" s="104"/>
      <c r="BM1088" s="104"/>
      <c r="BN1088" s="104"/>
      <c r="BO1088" s="104"/>
      <c r="BP1088" s="104"/>
      <c r="BQ1088" s="104"/>
      <c r="BR1088" s="104"/>
      <c r="BS1088" s="104"/>
      <c r="BT1088" s="104"/>
      <c r="BU1088" s="104"/>
      <c r="BV1088" s="104"/>
      <c r="BW1088" s="104"/>
      <c r="BX1088" s="104"/>
    </row>
    <row r="1089" spans="1:7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 s="104"/>
      <c r="BG1089" s="104"/>
      <c r="BH1089" s="104"/>
      <c r="BI1089" s="104"/>
      <c r="BJ1089" s="104"/>
      <c r="BK1089" s="104"/>
      <c r="BL1089" s="104"/>
      <c r="BM1089" s="104"/>
      <c r="BN1089" s="104"/>
      <c r="BO1089" s="104"/>
      <c r="BP1089" s="104"/>
      <c r="BQ1089" s="104"/>
      <c r="BR1089" s="104"/>
      <c r="BS1089" s="104"/>
      <c r="BT1089" s="104"/>
      <c r="BU1089" s="104"/>
      <c r="BV1089" s="104"/>
      <c r="BW1089" s="104"/>
      <c r="BX1089" s="104"/>
    </row>
    <row r="1090" spans="1:7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 s="104"/>
      <c r="BG1090" s="104"/>
      <c r="BH1090" s="104"/>
      <c r="BI1090" s="104"/>
      <c r="BJ1090" s="104"/>
      <c r="BK1090" s="104"/>
      <c r="BL1090" s="104"/>
      <c r="BM1090" s="104"/>
      <c r="BN1090" s="104"/>
      <c r="BO1090" s="104"/>
      <c r="BP1090" s="104"/>
      <c r="BQ1090" s="104"/>
      <c r="BR1090" s="104"/>
      <c r="BS1090" s="104"/>
      <c r="BT1090" s="104"/>
      <c r="BU1090" s="104"/>
      <c r="BV1090" s="104"/>
      <c r="BW1090" s="104"/>
      <c r="BX1090" s="104"/>
    </row>
    <row r="1091" spans="1:7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 s="104"/>
      <c r="BG1091" s="104"/>
      <c r="BH1091" s="104"/>
      <c r="BI1091" s="104"/>
      <c r="BJ1091" s="104"/>
      <c r="BK1091" s="104"/>
      <c r="BL1091" s="104"/>
      <c r="BM1091" s="104"/>
      <c r="BN1091" s="104"/>
      <c r="BO1091" s="104"/>
      <c r="BP1091" s="104"/>
      <c r="BQ1091" s="104"/>
      <c r="BR1091" s="104"/>
      <c r="BS1091" s="104"/>
      <c r="BT1091" s="104"/>
      <c r="BU1091" s="104"/>
      <c r="BV1091" s="104"/>
      <c r="BW1091" s="104"/>
      <c r="BX1091" s="104"/>
    </row>
    <row r="1092" spans="1:7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 s="104"/>
      <c r="BG1092" s="104"/>
      <c r="BH1092" s="104"/>
      <c r="BI1092" s="104"/>
      <c r="BJ1092" s="104"/>
      <c r="BK1092" s="104"/>
      <c r="BL1092" s="104"/>
      <c r="BM1092" s="104"/>
      <c r="BN1092" s="104"/>
      <c r="BO1092" s="104"/>
      <c r="BP1092" s="104"/>
      <c r="BQ1092" s="104"/>
      <c r="BR1092" s="104"/>
      <c r="BS1092" s="104"/>
      <c r="BT1092" s="104"/>
      <c r="BU1092" s="104"/>
      <c r="BV1092" s="104"/>
      <c r="BW1092" s="104"/>
      <c r="BX1092" s="104"/>
    </row>
    <row r="1093" spans="1:7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 s="104"/>
      <c r="BG1093" s="104"/>
      <c r="BH1093" s="104"/>
      <c r="BI1093" s="104"/>
      <c r="BJ1093" s="104"/>
      <c r="BK1093" s="104"/>
      <c r="BL1093" s="104"/>
      <c r="BM1093" s="104"/>
      <c r="BN1093" s="104"/>
      <c r="BO1093" s="104"/>
      <c r="BP1093" s="104"/>
      <c r="BQ1093" s="104"/>
      <c r="BR1093" s="104"/>
      <c r="BS1093" s="104"/>
      <c r="BT1093" s="104"/>
      <c r="BU1093" s="104"/>
      <c r="BV1093" s="104"/>
      <c r="BW1093" s="104"/>
      <c r="BX1093" s="104"/>
    </row>
    <row r="1094" spans="1:7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 s="104"/>
      <c r="BG1094" s="104"/>
      <c r="BH1094" s="104"/>
      <c r="BI1094" s="104"/>
      <c r="BJ1094" s="104"/>
      <c r="BK1094" s="104"/>
      <c r="BL1094" s="104"/>
      <c r="BM1094" s="104"/>
      <c r="BN1094" s="104"/>
      <c r="BO1094" s="104"/>
      <c r="BP1094" s="104"/>
      <c r="BQ1094" s="104"/>
      <c r="BR1094" s="104"/>
      <c r="BS1094" s="104"/>
      <c r="BT1094" s="104"/>
      <c r="BU1094" s="104"/>
      <c r="BV1094" s="104"/>
      <c r="BW1094" s="104"/>
      <c r="BX1094" s="104"/>
    </row>
    <row r="1095" spans="1:7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 s="104"/>
      <c r="BG1095" s="104"/>
      <c r="BH1095" s="104"/>
      <c r="BI1095" s="104"/>
      <c r="BJ1095" s="104"/>
      <c r="BK1095" s="104"/>
      <c r="BL1095" s="104"/>
      <c r="BM1095" s="104"/>
      <c r="BN1095" s="104"/>
      <c r="BO1095" s="104"/>
      <c r="BP1095" s="104"/>
      <c r="BQ1095" s="104"/>
      <c r="BR1095" s="104"/>
      <c r="BS1095" s="104"/>
      <c r="BT1095" s="104"/>
      <c r="BU1095" s="104"/>
      <c r="BV1095" s="104"/>
      <c r="BW1095" s="104"/>
      <c r="BX1095" s="104"/>
    </row>
    <row r="1096" spans="1:7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 s="104"/>
      <c r="BG1096" s="104"/>
      <c r="BH1096" s="104"/>
      <c r="BI1096" s="104"/>
      <c r="BJ1096" s="104"/>
      <c r="BK1096" s="104"/>
      <c r="BL1096" s="104"/>
      <c r="BM1096" s="104"/>
      <c r="BN1096" s="104"/>
      <c r="BO1096" s="104"/>
      <c r="BP1096" s="104"/>
      <c r="BQ1096" s="104"/>
      <c r="BR1096" s="104"/>
      <c r="BS1096" s="104"/>
      <c r="BT1096" s="104"/>
      <c r="BU1096" s="104"/>
      <c r="BV1096" s="104"/>
      <c r="BW1096" s="104"/>
      <c r="BX1096" s="104"/>
    </row>
    <row r="1097" spans="1:7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 s="104"/>
      <c r="BG1097" s="104"/>
      <c r="BH1097" s="104"/>
      <c r="BI1097" s="104"/>
      <c r="BJ1097" s="104"/>
      <c r="BK1097" s="104"/>
      <c r="BL1097" s="104"/>
      <c r="BM1097" s="104"/>
      <c r="BN1097" s="104"/>
      <c r="BO1097" s="104"/>
      <c r="BP1097" s="104"/>
      <c r="BQ1097" s="104"/>
      <c r="BR1097" s="104"/>
      <c r="BS1097" s="104"/>
      <c r="BT1097" s="104"/>
      <c r="BU1097" s="104"/>
      <c r="BV1097" s="104"/>
      <c r="BW1097" s="104"/>
      <c r="BX1097" s="104"/>
    </row>
    <row r="1098" spans="1:7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 s="104"/>
      <c r="BG1098" s="104"/>
      <c r="BH1098" s="104"/>
      <c r="BI1098" s="104"/>
      <c r="BJ1098" s="104"/>
      <c r="BK1098" s="104"/>
      <c r="BL1098" s="104"/>
      <c r="BM1098" s="104"/>
      <c r="BN1098" s="104"/>
      <c r="BO1098" s="104"/>
      <c r="BP1098" s="104"/>
      <c r="BQ1098" s="104"/>
      <c r="BR1098" s="104"/>
      <c r="BS1098" s="104"/>
      <c r="BT1098" s="104"/>
      <c r="BU1098" s="104"/>
      <c r="BV1098" s="104"/>
      <c r="BW1098" s="104"/>
      <c r="BX1098" s="104"/>
    </row>
    <row r="1099" spans="1:7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 s="104"/>
      <c r="BG1099" s="104"/>
      <c r="BH1099" s="104"/>
      <c r="BI1099" s="104"/>
      <c r="BJ1099" s="104"/>
      <c r="BK1099" s="104"/>
      <c r="BL1099" s="104"/>
      <c r="BM1099" s="104"/>
      <c r="BN1099" s="104"/>
      <c r="BO1099" s="104"/>
      <c r="BP1099" s="104"/>
      <c r="BQ1099" s="104"/>
      <c r="BR1099" s="104"/>
      <c r="BS1099" s="104"/>
      <c r="BT1099" s="104"/>
      <c r="BU1099" s="104"/>
      <c r="BV1099" s="104"/>
      <c r="BW1099" s="104"/>
      <c r="BX1099" s="104"/>
    </row>
    <row r="1100" spans="1:7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 s="104"/>
      <c r="BG1100" s="104"/>
      <c r="BH1100" s="104"/>
      <c r="BI1100" s="104"/>
      <c r="BJ1100" s="104"/>
      <c r="BK1100" s="104"/>
      <c r="BL1100" s="104"/>
      <c r="BM1100" s="104"/>
      <c r="BN1100" s="104"/>
      <c r="BO1100" s="104"/>
      <c r="BP1100" s="104"/>
      <c r="BQ1100" s="104"/>
      <c r="BR1100" s="104"/>
      <c r="BS1100" s="104"/>
      <c r="BT1100" s="104"/>
      <c r="BU1100" s="104"/>
      <c r="BV1100" s="104"/>
      <c r="BW1100" s="104"/>
      <c r="BX1100" s="104"/>
    </row>
    <row r="1101" spans="1:7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 s="104"/>
      <c r="BG1101" s="104"/>
      <c r="BH1101" s="104"/>
      <c r="BI1101" s="104"/>
      <c r="BJ1101" s="104"/>
      <c r="BK1101" s="104"/>
      <c r="BL1101" s="104"/>
      <c r="BM1101" s="104"/>
      <c r="BN1101" s="104"/>
      <c r="BO1101" s="104"/>
      <c r="BP1101" s="104"/>
      <c r="BQ1101" s="104"/>
      <c r="BR1101" s="104"/>
      <c r="BS1101" s="104"/>
      <c r="BT1101" s="104"/>
      <c r="BU1101" s="104"/>
      <c r="BV1101" s="104"/>
      <c r="BW1101" s="104"/>
      <c r="BX1101" s="104"/>
    </row>
    <row r="1102" spans="1:7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 s="104"/>
      <c r="BG1102" s="104"/>
      <c r="BH1102" s="104"/>
      <c r="BI1102" s="104"/>
      <c r="BJ1102" s="104"/>
      <c r="BK1102" s="104"/>
      <c r="BL1102" s="104"/>
      <c r="BM1102" s="104"/>
      <c r="BN1102" s="104"/>
      <c r="BO1102" s="104"/>
      <c r="BP1102" s="104"/>
      <c r="BQ1102" s="104"/>
      <c r="BR1102" s="104"/>
      <c r="BS1102" s="104"/>
      <c r="BT1102" s="104"/>
      <c r="BU1102" s="104"/>
      <c r="BV1102" s="104"/>
      <c r="BW1102" s="104"/>
      <c r="BX1102" s="104"/>
    </row>
    <row r="1103" spans="1:7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 s="104"/>
      <c r="BG1103" s="104"/>
      <c r="BH1103" s="104"/>
      <c r="BI1103" s="104"/>
      <c r="BJ1103" s="104"/>
      <c r="BK1103" s="104"/>
      <c r="BL1103" s="104"/>
      <c r="BM1103" s="104"/>
      <c r="BN1103" s="104"/>
      <c r="BO1103" s="104"/>
      <c r="BP1103" s="104"/>
      <c r="BQ1103" s="104"/>
      <c r="BR1103" s="104"/>
      <c r="BS1103" s="104"/>
      <c r="BT1103" s="104"/>
      <c r="BU1103" s="104"/>
      <c r="BV1103" s="104"/>
      <c r="BW1103" s="104"/>
      <c r="BX1103" s="104"/>
    </row>
    <row r="1104" spans="1:7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 s="104"/>
      <c r="BG1104" s="104"/>
      <c r="BH1104" s="104"/>
      <c r="BI1104" s="104"/>
      <c r="BJ1104" s="104"/>
      <c r="BK1104" s="104"/>
      <c r="BL1104" s="104"/>
      <c r="BM1104" s="104"/>
      <c r="BN1104" s="104"/>
      <c r="BO1104" s="104"/>
      <c r="BP1104" s="104"/>
      <c r="BQ1104" s="104"/>
      <c r="BR1104" s="104"/>
      <c r="BS1104" s="104"/>
      <c r="BT1104" s="104"/>
      <c r="BU1104" s="104"/>
      <c r="BV1104" s="104"/>
      <c r="BW1104" s="104"/>
      <c r="BX1104" s="104"/>
    </row>
    <row r="1105" spans="1:7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 s="104"/>
      <c r="BG1105" s="104"/>
      <c r="BH1105" s="104"/>
      <c r="BI1105" s="104"/>
      <c r="BJ1105" s="104"/>
      <c r="BK1105" s="104"/>
      <c r="BL1105" s="104"/>
      <c r="BM1105" s="104"/>
      <c r="BN1105" s="104"/>
      <c r="BO1105" s="104"/>
      <c r="BP1105" s="104"/>
      <c r="BQ1105" s="104"/>
      <c r="BR1105" s="104"/>
      <c r="BS1105" s="104"/>
      <c r="BT1105" s="104"/>
      <c r="BU1105" s="104"/>
      <c r="BV1105" s="104"/>
      <c r="BW1105" s="104"/>
      <c r="BX1105" s="104"/>
    </row>
    <row r="1106" spans="1:7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 s="104"/>
      <c r="BG1106" s="104"/>
      <c r="BH1106" s="104"/>
      <c r="BI1106" s="104"/>
      <c r="BJ1106" s="104"/>
      <c r="BK1106" s="104"/>
      <c r="BL1106" s="104"/>
      <c r="BM1106" s="104"/>
      <c r="BN1106" s="104"/>
      <c r="BO1106" s="104"/>
      <c r="BP1106" s="104"/>
      <c r="BQ1106" s="104"/>
      <c r="BR1106" s="104"/>
      <c r="BS1106" s="104"/>
      <c r="BT1106" s="104"/>
      <c r="BU1106" s="104"/>
      <c r="BV1106" s="104"/>
      <c r="BW1106" s="104"/>
      <c r="BX1106" s="104"/>
    </row>
    <row r="1107" spans="1:7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 s="104"/>
      <c r="BG1107" s="104"/>
      <c r="BH1107" s="104"/>
      <c r="BI1107" s="104"/>
      <c r="BJ1107" s="104"/>
      <c r="BK1107" s="104"/>
      <c r="BL1107" s="104"/>
      <c r="BM1107" s="104"/>
      <c r="BN1107" s="104"/>
      <c r="BO1107" s="104"/>
      <c r="BP1107" s="104"/>
      <c r="BQ1107" s="104"/>
      <c r="BR1107" s="104"/>
      <c r="BS1107" s="104"/>
      <c r="BT1107" s="104"/>
      <c r="BU1107" s="104"/>
      <c r="BV1107" s="104"/>
      <c r="BW1107" s="104"/>
      <c r="BX1107" s="104"/>
    </row>
    <row r="1108" spans="1:7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 s="104"/>
      <c r="BG1108" s="104"/>
      <c r="BH1108" s="104"/>
      <c r="BI1108" s="104"/>
      <c r="BJ1108" s="104"/>
      <c r="BK1108" s="104"/>
      <c r="BL1108" s="104"/>
      <c r="BM1108" s="104"/>
      <c r="BN1108" s="104"/>
      <c r="BO1108" s="104"/>
      <c r="BP1108" s="104"/>
      <c r="BQ1108" s="104"/>
      <c r="BR1108" s="104"/>
      <c r="BS1108" s="104"/>
      <c r="BT1108" s="104"/>
      <c r="BU1108" s="104"/>
      <c r="BV1108" s="104"/>
      <c r="BW1108" s="104"/>
      <c r="BX1108" s="104"/>
    </row>
    <row r="1109" spans="1:7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 s="104"/>
      <c r="BG1109" s="104"/>
      <c r="BH1109" s="104"/>
      <c r="BI1109" s="104"/>
      <c r="BJ1109" s="104"/>
      <c r="BK1109" s="104"/>
      <c r="BL1109" s="104"/>
      <c r="BM1109" s="104"/>
      <c r="BN1109" s="104"/>
      <c r="BO1109" s="104"/>
      <c r="BP1109" s="104"/>
      <c r="BQ1109" s="104"/>
      <c r="BR1109" s="104"/>
      <c r="BS1109" s="104"/>
      <c r="BT1109" s="104"/>
      <c r="BU1109" s="104"/>
      <c r="BV1109" s="104"/>
      <c r="BW1109" s="104"/>
      <c r="BX1109" s="104"/>
    </row>
    <row r="1110" spans="1:7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 s="104"/>
      <c r="BG1110" s="104"/>
      <c r="BH1110" s="104"/>
      <c r="BI1110" s="104"/>
      <c r="BJ1110" s="104"/>
      <c r="BK1110" s="104"/>
      <c r="BL1110" s="104"/>
      <c r="BM1110" s="104"/>
      <c r="BN1110" s="104"/>
      <c r="BO1110" s="104"/>
      <c r="BP1110" s="104"/>
      <c r="BQ1110" s="104"/>
      <c r="BR1110" s="104"/>
      <c r="BS1110" s="104"/>
      <c r="BT1110" s="104"/>
      <c r="BU1110" s="104"/>
      <c r="BV1110" s="104"/>
      <c r="BW1110" s="104"/>
      <c r="BX1110" s="104"/>
    </row>
    <row r="1111" spans="1:7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 s="104"/>
      <c r="BG1111" s="104"/>
      <c r="BH1111" s="104"/>
      <c r="BI1111" s="104"/>
      <c r="BJ1111" s="104"/>
      <c r="BK1111" s="104"/>
      <c r="BL1111" s="104"/>
      <c r="BM1111" s="104"/>
      <c r="BN1111" s="104"/>
      <c r="BO1111" s="104"/>
      <c r="BP1111" s="104"/>
      <c r="BQ1111" s="104"/>
      <c r="BR1111" s="104"/>
      <c r="BS1111" s="104"/>
      <c r="BT1111" s="104"/>
      <c r="BU1111" s="104"/>
      <c r="BV1111" s="104"/>
      <c r="BW1111" s="104"/>
      <c r="BX1111" s="104"/>
    </row>
    <row r="1112" spans="1:7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 s="104"/>
      <c r="BG1112" s="104"/>
      <c r="BH1112" s="104"/>
      <c r="BI1112" s="104"/>
      <c r="BJ1112" s="104"/>
      <c r="BK1112" s="104"/>
      <c r="BL1112" s="104"/>
      <c r="BM1112" s="104"/>
      <c r="BN1112" s="104"/>
      <c r="BO1112" s="104"/>
      <c r="BP1112" s="104"/>
      <c r="BQ1112" s="104"/>
      <c r="BR1112" s="104"/>
      <c r="BS1112" s="104"/>
      <c r="BT1112" s="104"/>
      <c r="BU1112" s="104"/>
      <c r="BV1112" s="104"/>
      <c r="BW1112" s="104"/>
      <c r="BX1112" s="104"/>
    </row>
    <row r="1113" spans="1:7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 s="104"/>
      <c r="BG1113" s="104"/>
      <c r="BH1113" s="104"/>
      <c r="BI1113" s="104"/>
      <c r="BJ1113" s="104"/>
      <c r="BK1113" s="104"/>
      <c r="BL1113" s="104"/>
      <c r="BM1113" s="104"/>
      <c r="BN1113" s="104"/>
      <c r="BO1113" s="104"/>
      <c r="BP1113" s="104"/>
      <c r="BQ1113" s="104"/>
      <c r="BR1113" s="104"/>
      <c r="BS1113" s="104"/>
      <c r="BT1113" s="104"/>
      <c r="BU1113" s="104"/>
      <c r="BV1113" s="104"/>
      <c r="BW1113" s="104"/>
      <c r="BX1113" s="104"/>
    </row>
    <row r="1114" spans="1:7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 s="104"/>
      <c r="BG1114" s="104"/>
      <c r="BH1114" s="104"/>
      <c r="BI1114" s="104"/>
      <c r="BJ1114" s="104"/>
      <c r="BK1114" s="104"/>
      <c r="BL1114" s="104"/>
      <c r="BM1114" s="104"/>
      <c r="BN1114" s="104"/>
      <c r="BO1114" s="104"/>
      <c r="BP1114" s="104"/>
      <c r="BQ1114" s="104"/>
      <c r="BR1114" s="104"/>
      <c r="BS1114" s="104"/>
      <c r="BT1114" s="104"/>
      <c r="BU1114" s="104"/>
      <c r="BV1114" s="104"/>
      <c r="BW1114" s="104"/>
      <c r="BX1114" s="104"/>
    </row>
    <row r="1115" spans="1:7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 s="104"/>
      <c r="BG1115" s="104"/>
      <c r="BH1115" s="104"/>
      <c r="BI1115" s="104"/>
      <c r="BJ1115" s="104"/>
      <c r="BK1115" s="104"/>
      <c r="BL1115" s="104"/>
      <c r="BM1115" s="104"/>
      <c r="BN1115" s="104"/>
      <c r="BO1115" s="104"/>
      <c r="BP1115" s="104"/>
      <c r="BQ1115" s="104"/>
      <c r="BR1115" s="104"/>
      <c r="BS1115" s="104"/>
      <c r="BT1115" s="104"/>
      <c r="BU1115" s="104"/>
      <c r="BV1115" s="104"/>
      <c r="BW1115" s="104"/>
      <c r="BX1115" s="104"/>
    </row>
    <row r="1116" spans="1:7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 s="104"/>
      <c r="BG1116" s="104"/>
      <c r="BH1116" s="104"/>
      <c r="BI1116" s="104"/>
      <c r="BJ1116" s="104"/>
      <c r="BK1116" s="104"/>
      <c r="BL1116" s="104"/>
      <c r="BM1116" s="104"/>
      <c r="BN1116" s="104"/>
      <c r="BO1116" s="104"/>
      <c r="BP1116" s="104"/>
      <c r="BQ1116" s="104"/>
      <c r="BR1116" s="104"/>
      <c r="BS1116" s="104"/>
      <c r="BT1116" s="104"/>
      <c r="BU1116" s="104"/>
      <c r="BV1116" s="104"/>
      <c r="BW1116" s="104"/>
      <c r="BX1116" s="104"/>
    </row>
    <row r="1117" spans="1:7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 s="104"/>
      <c r="BG1117" s="104"/>
      <c r="BH1117" s="104"/>
      <c r="BI1117" s="104"/>
      <c r="BJ1117" s="104"/>
      <c r="BK1117" s="104"/>
      <c r="BL1117" s="104"/>
      <c r="BM1117" s="104"/>
      <c r="BN1117" s="104"/>
      <c r="BO1117" s="104"/>
      <c r="BP1117" s="104"/>
      <c r="BQ1117" s="104"/>
      <c r="BR1117" s="104"/>
      <c r="BS1117" s="104"/>
      <c r="BT1117" s="104"/>
      <c r="BU1117" s="104"/>
      <c r="BV1117" s="104"/>
      <c r="BW1117" s="104"/>
      <c r="BX1117" s="104"/>
    </row>
    <row r="1118" spans="1:7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 s="104"/>
      <c r="BG1118" s="104"/>
      <c r="BH1118" s="104"/>
      <c r="BI1118" s="104"/>
      <c r="BJ1118" s="104"/>
      <c r="BK1118" s="104"/>
      <c r="BL1118" s="104"/>
      <c r="BM1118" s="104"/>
      <c r="BN1118" s="104"/>
      <c r="BO1118" s="104"/>
      <c r="BP1118" s="104"/>
      <c r="BQ1118" s="104"/>
      <c r="BR1118" s="104"/>
      <c r="BS1118" s="104"/>
      <c r="BT1118" s="104"/>
      <c r="BU1118" s="104"/>
      <c r="BV1118" s="104"/>
      <c r="BW1118" s="104"/>
      <c r="BX1118" s="104"/>
    </row>
    <row r="1119" spans="1:7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 s="104"/>
      <c r="BG1119" s="104"/>
      <c r="BH1119" s="104"/>
      <c r="BI1119" s="104"/>
      <c r="BJ1119" s="104"/>
      <c r="BK1119" s="104"/>
      <c r="BL1119" s="104"/>
      <c r="BM1119" s="104"/>
      <c r="BN1119" s="104"/>
      <c r="BO1119" s="104"/>
      <c r="BP1119" s="104"/>
      <c r="BQ1119" s="104"/>
      <c r="BR1119" s="104"/>
      <c r="BS1119" s="104"/>
      <c r="BT1119" s="104"/>
      <c r="BU1119" s="104"/>
      <c r="BV1119" s="104"/>
      <c r="BW1119" s="104"/>
      <c r="BX1119" s="104"/>
    </row>
    <row r="1120" spans="1:7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 s="104"/>
      <c r="BG1120" s="104"/>
      <c r="BH1120" s="104"/>
      <c r="BI1120" s="104"/>
      <c r="BJ1120" s="104"/>
      <c r="BK1120" s="104"/>
      <c r="BL1120" s="104"/>
      <c r="BM1120" s="104"/>
      <c r="BN1120" s="104"/>
      <c r="BO1120" s="104"/>
      <c r="BP1120" s="104"/>
      <c r="BQ1120" s="104"/>
      <c r="BR1120" s="104"/>
      <c r="BS1120" s="104"/>
      <c r="BT1120" s="104"/>
      <c r="BU1120" s="104"/>
      <c r="BV1120" s="104"/>
      <c r="BW1120" s="104"/>
      <c r="BX1120" s="104"/>
    </row>
    <row r="1121" spans="1:7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 s="104"/>
      <c r="BG1121" s="104"/>
      <c r="BH1121" s="104"/>
      <c r="BI1121" s="104"/>
      <c r="BJ1121" s="104"/>
      <c r="BK1121" s="104"/>
      <c r="BL1121" s="104"/>
      <c r="BM1121" s="104"/>
      <c r="BN1121" s="104"/>
      <c r="BO1121" s="104"/>
      <c r="BP1121" s="104"/>
      <c r="BQ1121" s="104"/>
      <c r="BR1121" s="104"/>
      <c r="BS1121" s="104"/>
      <c r="BT1121" s="104"/>
      <c r="BU1121" s="104"/>
      <c r="BV1121" s="104"/>
      <c r="BW1121" s="104"/>
      <c r="BX1121" s="104"/>
    </row>
    <row r="1122" spans="1:7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 s="104"/>
      <c r="BG1122" s="104"/>
      <c r="BH1122" s="104"/>
      <c r="BI1122" s="104"/>
      <c r="BJ1122" s="104"/>
      <c r="BK1122" s="104"/>
      <c r="BL1122" s="104"/>
      <c r="BM1122" s="104"/>
      <c r="BN1122" s="104"/>
      <c r="BO1122" s="104"/>
      <c r="BP1122" s="104"/>
      <c r="BQ1122" s="104"/>
      <c r="BR1122" s="104"/>
      <c r="BS1122" s="104"/>
      <c r="BT1122" s="104"/>
      <c r="BU1122" s="104"/>
      <c r="BV1122" s="104"/>
      <c r="BW1122" s="104"/>
      <c r="BX1122" s="104"/>
    </row>
    <row r="1123" spans="1:7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 s="104"/>
      <c r="BG1123" s="104"/>
      <c r="BH1123" s="104"/>
      <c r="BI1123" s="104"/>
      <c r="BJ1123" s="104"/>
      <c r="BK1123" s="104"/>
      <c r="BL1123" s="104"/>
      <c r="BM1123" s="104"/>
      <c r="BN1123" s="104"/>
      <c r="BO1123" s="104"/>
      <c r="BP1123" s="104"/>
      <c r="BQ1123" s="104"/>
      <c r="BR1123" s="104"/>
      <c r="BS1123" s="104"/>
      <c r="BT1123" s="104"/>
      <c r="BU1123" s="104"/>
      <c r="BV1123" s="104"/>
      <c r="BW1123" s="104"/>
      <c r="BX1123" s="104"/>
    </row>
    <row r="1124" spans="1:7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 s="104"/>
      <c r="BG1124" s="104"/>
      <c r="BH1124" s="104"/>
      <c r="BI1124" s="104"/>
      <c r="BJ1124" s="104"/>
      <c r="BK1124" s="104"/>
      <c r="BL1124" s="104"/>
      <c r="BM1124" s="104"/>
      <c r="BN1124" s="104"/>
      <c r="BO1124" s="104"/>
      <c r="BP1124" s="104"/>
      <c r="BQ1124" s="104"/>
      <c r="BR1124" s="104"/>
      <c r="BS1124" s="104"/>
      <c r="BT1124" s="104"/>
      <c r="BU1124" s="104"/>
      <c r="BV1124" s="104"/>
      <c r="BW1124" s="104"/>
      <c r="BX1124" s="104"/>
    </row>
    <row r="1125" spans="1:7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 s="104"/>
      <c r="BG1125" s="104"/>
      <c r="BH1125" s="104"/>
      <c r="BI1125" s="104"/>
      <c r="BJ1125" s="104"/>
      <c r="BK1125" s="104"/>
      <c r="BL1125" s="104"/>
      <c r="BM1125" s="104"/>
      <c r="BN1125" s="104"/>
      <c r="BO1125" s="104"/>
      <c r="BP1125" s="104"/>
      <c r="BQ1125" s="104"/>
      <c r="BR1125" s="104"/>
      <c r="BS1125" s="104"/>
      <c r="BT1125" s="104"/>
      <c r="BU1125" s="104"/>
      <c r="BV1125" s="104"/>
      <c r="BW1125" s="104"/>
      <c r="BX1125" s="104"/>
    </row>
    <row r="1126" spans="1:7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 s="104"/>
      <c r="BG1126" s="104"/>
      <c r="BH1126" s="104"/>
      <c r="BI1126" s="104"/>
      <c r="BJ1126" s="104"/>
      <c r="BK1126" s="104"/>
      <c r="BL1126" s="104"/>
      <c r="BM1126" s="104"/>
      <c r="BN1126" s="104"/>
      <c r="BO1126" s="104"/>
      <c r="BP1126" s="104"/>
      <c r="BQ1126" s="104"/>
      <c r="BR1126" s="104"/>
      <c r="BS1126" s="104"/>
      <c r="BT1126" s="104"/>
      <c r="BU1126" s="104"/>
      <c r="BV1126" s="104"/>
      <c r="BW1126" s="104"/>
      <c r="BX1126" s="104"/>
    </row>
    <row r="1127" spans="1:7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 s="104"/>
      <c r="BG1127" s="104"/>
      <c r="BH1127" s="104"/>
      <c r="BI1127" s="104"/>
      <c r="BJ1127" s="104"/>
      <c r="BK1127" s="104"/>
      <c r="BL1127" s="104"/>
      <c r="BM1127" s="104"/>
      <c r="BN1127" s="104"/>
      <c r="BO1127" s="104"/>
      <c r="BP1127" s="104"/>
      <c r="BQ1127" s="104"/>
      <c r="BR1127" s="104"/>
      <c r="BS1127" s="104"/>
      <c r="BT1127" s="104"/>
      <c r="BU1127" s="104"/>
      <c r="BV1127" s="104"/>
      <c r="BW1127" s="104"/>
      <c r="BX1127" s="104"/>
    </row>
    <row r="1128" spans="1:7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 s="104"/>
      <c r="BG1128" s="104"/>
      <c r="BH1128" s="104"/>
      <c r="BI1128" s="104"/>
      <c r="BJ1128" s="104"/>
      <c r="BK1128" s="104"/>
      <c r="BL1128" s="104"/>
      <c r="BM1128" s="104"/>
      <c r="BN1128" s="104"/>
      <c r="BO1128" s="104"/>
      <c r="BP1128" s="104"/>
      <c r="BQ1128" s="104"/>
      <c r="BR1128" s="104"/>
      <c r="BS1128" s="104"/>
      <c r="BT1128" s="104"/>
      <c r="BU1128" s="104"/>
      <c r="BV1128" s="104"/>
      <c r="BW1128" s="104"/>
      <c r="BX1128" s="104"/>
    </row>
    <row r="1129" spans="1:7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 s="104"/>
      <c r="BG1129" s="104"/>
      <c r="BH1129" s="104"/>
      <c r="BI1129" s="104"/>
      <c r="BJ1129" s="104"/>
      <c r="BK1129" s="104"/>
      <c r="BL1129" s="104"/>
      <c r="BM1129" s="104"/>
      <c r="BN1129" s="104"/>
      <c r="BO1129" s="104"/>
      <c r="BP1129" s="104"/>
      <c r="BQ1129" s="104"/>
      <c r="BR1129" s="104"/>
      <c r="BS1129" s="104"/>
      <c r="BT1129" s="104"/>
      <c r="BU1129" s="104"/>
      <c r="BV1129" s="104"/>
      <c r="BW1129" s="104"/>
      <c r="BX1129" s="104"/>
    </row>
    <row r="1130" spans="1:7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 s="104"/>
      <c r="BG1130" s="104"/>
      <c r="BH1130" s="104"/>
      <c r="BI1130" s="104"/>
      <c r="BJ1130" s="104"/>
      <c r="BK1130" s="104"/>
      <c r="BL1130" s="104"/>
      <c r="BM1130" s="104"/>
      <c r="BN1130" s="104"/>
      <c r="BO1130" s="104"/>
      <c r="BP1130" s="104"/>
      <c r="BQ1130" s="104"/>
      <c r="BR1130" s="104"/>
      <c r="BS1130" s="104"/>
      <c r="BT1130" s="104"/>
      <c r="BU1130" s="104"/>
      <c r="BV1130" s="104"/>
      <c r="BW1130" s="104"/>
      <c r="BX1130" s="104"/>
    </row>
    <row r="1131" spans="1:7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 s="104"/>
      <c r="BG1131" s="104"/>
      <c r="BH1131" s="104"/>
      <c r="BI1131" s="104"/>
      <c r="BJ1131" s="104"/>
      <c r="BK1131" s="104"/>
      <c r="BL1131" s="104"/>
      <c r="BM1131" s="104"/>
      <c r="BN1131" s="104"/>
      <c r="BO1131" s="104"/>
      <c r="BP1131" s="104"/>
      <c r="BQ1131" s="104"/>
      <c r="BR1131" s="104"/>
      <c r="BS1131" s="104"/>
      <c r="BT1131" s="104"/>
      <c r="BU1131" s="104"/>
      <c r="BV1131" s="104"/>
      <c r="BW1131" s="104"/>
      <c r="BX1131" s="104"/>
    </row>
    <row r="1132" spans="1:7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 s="104"/>
      <c r="BG1132" s="104"/>
      <c r="BH1132" s="104"/>
      <c r="BI1132" s="104"/>
      <c r="BJ1132" s="104"/>
      <c r="BK1132" s="104"/>
      <c r="BL1132" s="104"/>
      <c r="BM1132" s="104"/>
      <c r="BN1132" s="104"/>
      <c r="BO1132" s="104"/>
      <c r="BP1132" s="104"/>
      <c r="BQ1132" s="104"/>
      <c r="BR1132" s="104"/>
      <c r="BS1132" s="104"/>
      <c r="BT1132" s="104"/>
      <c r="BU1132" s="104"/>
      <c r="BV1132" s="104"/>
      <c r="BW1132" s="104"/>
      <c r="BX1132" s="104"/>
    </row>
    <row r="1133" spans="1:7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 s="104"/>
      <c r="BG1133" s="104"/>
      <c r="BH1133" s="104"/>
      <c r="BI1133" s="104"/>
      <c r="BJ1133" s="104"/>
      <c r="BK1133" s="104"/>
      <c r="BL1133" s="104"/>
      <c r="BM1133" s="104"/>
      <c r="BN1133" s="104"/>
      <c r="BO1133" s="104"/>
      <c r="BP1133" s="104"/>
      <c r="BQ1133" s="104"/>
      <c r="BR1133" s="104"/>
      <c r="BS1133" s="104"/>
      <c r="BT1133" s="104"/>
      <c r="BU1133" s="104"/>
      <c r="BV1133" s="104"/>
      <c r="BW1133" s="104"/>
      <c r="BX1133" s="104"/>
    </row>
    <row r="1134" spans="1:7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 s="104"/>
      <c r="BG1134" s="104"/>
      <c r="BH1134" s="104"/>
      <c r="BI1134" s="104"/>
      <c r="BJ1134" s="104"/>
      <c r="BK1134" s="104"/>
      <c r="BL1134" s="104"/>
      <c r="BM1134" s="104"/>
      <c r="BN1134" s="104"/>
      <c r="BO1134" s="104"/>
      <c r="BP1134" s="104"/>
      <c r="BQ1134" s="104"/>
      <c r="BR1134" s="104"/>
      <c r="BS1134" s="104"/>
      <c r="BT1134" s="104"/>
      <c r="BU1134" s="104"/>
      <c r="BV1134" s="104"/>
      <c r="BW1134" s="104"/>
      <c r="BX1134" s="104"/>
    </row>
    <row r="1135" spans="1:7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 s="104"/>
      <c r="BG1135" s="104"/>
      <c r="BH1135" s="104"/>
      <c r="BI1135" s="104"/>
      <c r="BJ1135" s="104"/>
      <c r="BK1135" s="104"/>
      <c r="BL1135" s="104"/>
      <c r="BM1135" s="104"/>
      <c r="BN1135" s="104"/>
      <c r="BO1135" s="104"/>
      <c r="BP1135" s="104"/>
      <c r="BQ1135" s="104"/>
      <c r="BR1135" s="104"/>
      <c r="BS1135" s="104"/>
      <c r="BT1135" s="104"/>
      <c r="BU1135" s="104"/>
      <c r="BV1135" s="104"/>
      <c r="BW1135" s="104"/>
      <c r="BX1135" s="104"/>
    </row>
    <row r="1136" spans="1:7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 s="104"/>
      <c r="BG1136" s="104"/>
      <c r="BH1136" s="104"/>
      <c r="BI1136" s="104"/>
      <c r="BJ1136" s="104"/>
      <c r="BK1136" s="104"/>
      <c r="BL1136" s="104"/>
      <c r="BM1136" s="104"/>
      <c r="BN1136" s="104"/>
      <c r="BO1136" s="104"/>
      <c r="BP1136" s="104"/>
      <c r="BQ1136" s="104"/>
      <c r="BR1136" s="104"/>
      <c r="BS1136" s="104"/>
      <c r="BT1136" s="104"/>
      <c r="BU1136" s="104"/>
      <c r="BV1136" s="104"/>
      <c r="BW1136" s="104"/>
      <c r="BX1136" s="104"/>
    </row>
    <row r="1137" spans="1:76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 s="104"/>
      <c r="BG1137" s="104"/>
      <c r="BH1137" s="104"/>
      <c r="BI1137" s="104"/>
      <c r="BJ1137" s="104"/>
      <c r="BK1137" s="104"/>
      <c r="BL1137" s="104"/>
      <c r="BM1137" s="104"/>
      <c r="BN1137" s="104"/>
      <c r="BO1137" s="104"/>
      <c r="BP1137" s="104"/>
      <c r="BQ1137" s="104"/>
      <c r="BR1137" s="104"/>
      <c r="BS1137" s="104"/>
      <c r="BT1137" s="104"/>
      <c r="BU1137" s="104"/>
      <c r="BV1137" s="104"/>
      <c r="BW1137" s="104"/>
      <c r="BX1137" s="104"/>
    </row>
    <row r="1138" spans="1:76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 s="104"/>
      <c r="BG1138" s="104"/>
      <c r="BH1138" s="104"/>
      <c r="BI1138" s="104"/>
      <c r="BJ1138" s="104"/>
      <c r="BK1138" s="104"/>
      <c r="BL1138" s="104"/>
      <c r="BM1138" s="104"/>
      <c r="BN1138" s="104"/>
      <c r="BO1138" s="104"/>
      <c r="BP1138" s="104"/>
      <c r="BQ1138" s="104"/>
      <c r="BR1138" s="104"/>
      <c r="BS1138" s="104"/>
      <c r="BT1138" s="104"/>
      <c r="BU1138" s="104"/>
      <c r="BV1138" s="104"/>
      <c r="BW1138" s="104"/>
      <c r="BX1138" s="104"/>
    </row>
    <row r="1139" spans="1:76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 s="104"/>
      <c r="BG1139" s="104"/>
      <c r="BH1139" s="104"/>
      <c r="BI1139" s="104"/>
      <c r="BJ1139" s="104"/>
      <c r="BK1139" s="104"/>
      <c r="BL1139" s="104"/>
      <c r="BM1139" s="104"/>
      <c r="BN1139" s="104"/>
      <c r="BO1139" s="104"/>
      <c r="BP1139" s="104"/>
      <c r="BQ1139" s="104"/>
      <c r="BR1139" s="104"/>
      <c r="BS1139" s="104"/>
      <c r="BT1139" s="104"/>
      <c r="BU1139" s="104"/>
      <c r="BV1139" s="104"/>
      <c r="BW1139" s="104"/>
      <c r="BX1139" s="104"/>
    </row>
    <row r="1140" spans="1:76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 s="104"/>
      <c r="BG1140" s="104"/>
      <c r="BH1140" s="104"/>
      <c r="BI1140" s="104"/>
      <c r="BJ1140" s="104"/>
      <c r="BK1140" s="104"/>
      <c r="BL1140" s="104"/>
      <c r="BM1140" s="104"/>
      <c r="BN1140" s="104"/>
      <c r="BO1140" s="104"/>
      <c r="BP1140" s="104"/>
      <c r="BQ1140" s="104"/>
      <c r="BR1140" s="104"/>
      <c r="BS1140" s="104"/>
      <c r="BT1140" s="104"/>
      <c r="BU1140" s="104"/>
      <c r="BV1140" s="104"/>
      <c r="BW1140" s="104"/>
      <c r="BX1140" s="104"/>
    </row>
    <row r="1141" spans="1:76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 s="104"/>
      <c r="BG1141" s="104"/>
      <c r="BH1141" s="104"/>
      <c r="BI1141" s="104"/>
      <c r="BJ1141" s="104"/>
      <c r="BK1141" s="104"/>
      <c r="BL1141" s="104"/>
      <c r="BM1141" s="104"/>
      <c r="BN1141" s="104"/>
      <c r="BO1141" s="104"/>
      <c r="BP1141" s="104"/>
      <c r="BQ1141" s="104"/>
      <c r="BR1141" s="104"/>
      <c r="BS1141" s="104"/>
      <c r="BT1141" s="104"/>
      <c r="BU1141" s="104"/>
      <c r="BV1141" s="104"/>
      <c r="BW1141" s="104"/>
      <c r="BX1141" s="104"/>
    </row>
    <row r="1142" spans="1:76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 s="104"/>
      <c r="BG1142" s="104"/>
      <c r="BH1142" s="104"/>
      <c r="BI1142" s="104"/>
      <c r="BJ1142" s="104"/>
      <c r="BK1142" s="104"/>
      <c r="BL1142" s="104"/>
      <c r="BM1142" s="104"/>
      <c r="BN1142" s="104"/>
      <c r="BO1142" s="104"/>
      <c r="BP1142" s="104"/>
      <c r="BQ1142" s="104"/>
      <c r="BR1142" s="104"/>
      <c r="BS1142" s="104"/>
      <c r="BT1142" s="104"/>
      <c r="BU1142" s="104"/>
      <c r="BV1142" s="104"/>
      <c r="BW1142" s="104"/>
      <c r="BX1142" s="104"/>
    </row>
    <row r="1143" spans="1:76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 s="104"/>
      <c r="BG1143" s="104"/>
      <c r="BH1143" s="104"/>
      <c r="BI1143" s="104"/>
      <c r="BJ1143" s="104"/>
      <c r="BK1143" s="104"/>
      <c r="BL1143" s="104"/>
      <c r="BM1143" s="104"/>
      <c r="BN1143" s="104"/>
      <c r="BO1143" s="104"/>
      <c r="BP1143" s="104"/>
      <c r="BQ1143" s="104"/>
      <c r="BR1143" s="104"/>
      <c r="BS1143" s="104"/>
      <c r="BT1143" s="104"/>
      <c r="BU1143" s="104"/>
      <c r="BV1143" s="104"/>
      <c r="BW1143" s="104"/>
      <c r="BX1143" s="104"/>
    </row>
    <row r="1144" spans="1:76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 s="104"/>
      <c r="BG1144" s="104"/>
      <c r="BH1144" s="104"/>
      <c r="BI1144" s="104"/>
      <c r="BJ1144" s="104"/>
      <c r="BK1144" s="104"/>
      <c r="BL1144" s="104"/>
      <c r="BM1144" s="104"/>
      <c r="BN1144" s="104"/>
      <c r="BO1144" s="104"/>
      <c r="BP1144" s="104"/>
      <c r="BQ1144" s="104"/>
      <c r="BR1144" s="104"/>
      <c r="BS1144" s="104"/>
      <c r="BT1144" s="104"/>
      <c r="BU1144" s="104"/>
      <c r="BV1144" s="104"/>
      <c r="BW1144" s="104"/>
      <c r="BX1144" s="104"/>
    </row>
    <row r="1145" spans="1:76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 s="104"/>
      <c r="BG1145" s="104"/>
      <c r="BH1145" s="104"/>
      <c r="BI1145" s="104"/>
      <c r="BJ1145" s="104"/>
      <c r="BK1145" s="104"/>
      <c r="BL1145" s="104"/>
      <c r="BM1145" s="104"/>
      <c r="BN1145" s="104"/>
      <c r="BO1145" s="104"/>
      <c r="BP1145" s="104"/>
      <c r="BQ1145" s="104"/>
      <c r="BR1145" s="104"/>
      <c r="BS1145" s="104"/>
      <c r="BT1145" s="104"/>
      <c r="BU1145" s="104"/>
      <c r="BV1145" s="104"/>
      <c r="BW1145" s="104"/>
      <c r="BX1145" s="104"/>
    </row>
    <row r="1146" spans="1:76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 s="104"/>
      <c r="BG1146" s="104"/>
      <c r="BH1146" s="104"/>
      <c r="BI1146" s="104"/>
      <c r="BJ1146" s="104"/>
      <c r="BK1146" s="104"/>
      <c r="BL1146" s="104"/>
      <c r="BM1146" s="104"/>
      <c r="BN1146" s="104"/>
      <c r="BO1146" s="104"/>
      <c r="BP1146" s="104"/>
      <c r="BQ1146" s="104"/>
      <c r="BR1146" s="104"/>
      <c r="BS1146" s="104"/>
      <c r="BT1146" s="104"/>
      <c r="BU1146" s="104"/>
      <c r="BV1146" s="104"/>
      <c r="BW1146" s="104"/>
      <c r="BX1146" s="104"/>
    </row>
    <row r="1147" spans="1:76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 s="104"/>
      <c r="BG1147" s="104"/>
      <c r="BH1147" s="104"/>
      <c r="BI1147" s="104"/>
      <c r="BJ1147" s="104"/>
      <c r="BK1147" s="104"/>
      <c r="BL1147" s="104"/>
      <c r="BM1147" s="104"/>
      <c r="BN1147" s="104"/>
      <c r="BO1147" s="104"/>
      <c r="BP1147" s="104"/>
      <c r="BQ1147" s="104"/>
      <c r="BR1147" s="104"/>
      <c r="BS1147" s="104"/>
      <c r="BT1147" s="104"/>
      <c r="BU1147" s="104"/>
      <c r="BV1147" s="104"/>
      <c r="BW1147" s="104"/>
      <c r="BX1147" s="104"/>
    </row>
    <row r="1148" spans="1:76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 s="104"/>
      <c r="BG1148" s="104"/>
      <c r="BH1148" s="104"/>
      <c r="BI1148" s="104"/>
      <c r="BJ1148" s="104"/>
      <c r="BK1148" s="104"/>
      <c r="BL1148" s="104"/>
      <c r="BM1148" s="104"/>
      <c r="BN1148" s="104"/>
      <c r="BO1148" s="104"/>
      <c r="BP1148" s="104"/>
      <c r="BQ1148" s="104"/>
      <c r="BR1148" s="104"/>
      <c r="BS1148" s="104"/>
      <c r="BT1148" s="104"/>
      <c r="BU1148" s="104"/>
      <c r="BV1148" s="104"/>
      <c r="BW1148" s="104"/>
      <c r="BX1148" s="104"/>
    </row>
    <row r="1149" spans="1:76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 s="104"/>
      <c r="BG1149" s="104"/>
      <c r="BH1149" s="104"/>
      <c r="BI1149" s="104"/>
      <c r="BJ1149" s="104"/>
      <c r="BK1149" s="104"/>
      <c r="BL1149" s="104"/>
      <c r="BM1149" s="104"/>
      <c r="BN1149" s="104"/>
      <c r="BO1149" s="104"/>
      <c r="BP1149" s="104"/>
      <c r="BQ1149" s="104"/>
      <c r="BR1149" s="104"/>
      <c r="BS1149" s="104"/>
      <c r="BT1149" s="104"/>
      <c r="BU1149" s="104"/>
      <c r="BV1149" s="104"/>
      <c r="BW1149" s="104"/>
      <c r="BX1149" s="104"/>
    </row>
    <row r="1150" spans="1:76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 s="104"/>
      <c r="BG1150" s="104"/>
      <c r="BH1150" s="104"/>
      <c r="BI1150" s="104"/>
      <c r="BJ1150" s="104"/>
      <c r="BK1150" s="104"/>
      <c r="BL1150" s="104"/>
      <c r="BM1150" s="104"/>
      <c r="BN1150" s="104"/>
      <c r="BO1150" s="104"/>
      <c r="BP1150" s="104"/>
      <c r="BQ1150" s="104"/>
      <c r="BR1150" s="104"/>
      <c r="BS1150" s="104"/>
      <c r="BT1150" s="104"/>
      <c r="BU1150" s="104"/>
      <c r="BV1150" s="104"/>
      <c r="BW1150" s="104"/>
      <c r="BX1150" s="104"/>
    </row>
    <row r="1151" spans="1:76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 s="104"/>
      <c r="BG1151" s="104"/>
      <c r="BH1151" s="104"/>
      <c r="BI1151" s="104"/>
      <c r="BJ1151" s="104"/>
      <c r="BK1151" s="104"/>
      <c r="BL1151" s="104"/>
      <c r="BM1151" s="104"/>
      <c r="BN1151" s="104"/>
      <c r="BO1151" s="104"/>
      <c r="BP1151" s="104"/>
      <c r="BQ1151" s="104"/>
      <c r="BR1151" s="104"/>
      <c r="BS1151" s="104"/>
      <c r="BT1151" s="104"/>
      <c r="BU1151" s="104"/>
      <c r="BV1151" s="104"/>
      <c r="BW1151" s="104"/>
      <c r="BX1151" s="104"/>
    </row>
    <row r="1152" spans="1:76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 s="104"/>
      <c r="BG1152" s="104"/>
      <c r="BH1152" s="104"/>
      <c r="BI1152" s="104"/>
      <c r="BJ1152" s="104"/>
      <c r="BK1152" s="104"/>
      <c r="BL1152" s="104"/>
      <c r="BM1152" s="104"/>
      <c r="BN1152" s="104"/>
      <c r="BO1152" s="104"/>
      <c r="BP1152" s="104"/>
      <c r="BQ1152" s="104"/>
      <c r="BR1152" s="104"/>
      <c r="BS1152" s="104"/>
      <c r="BT1152" s="104"/>
      <c r="BU1152" s="104"/>
      <c r="BV1152" s="104"/>
      <c r="BW1152" s="104"/>
      <c r="BX1152" s="104"/>
    </row>
    <row r="1153" spans="3:76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 s="104"/>
      <c r="BG1153" s="104"/>
      <c r="BH1153" s="104"/>
      <c r="BI1153" s="104"/>
      <c r="BJ1153" s="104"/>
      <c r="BK1153" s="104"/>
      <c r="BL1153" s="104"/>
      <c r="BM1153" s="104"/>
      <c r="BN1153" s="104"/>
      <c r="BO1153" s="104"/>
      <c r="BP1153" s="104"/>
      <c r="BQ1153" s="104"/>
      <c r="BR1153" s="104"/>
      <c r="BS1153" s="104"/>
      <c r="BT1153" s="104"/>
      <c r="BU1153" s="104"/>
      <c r="BV1153" s="104"/>
      <c r="BW1153" s="104"/>
      <c r="BX1153" s="104"/>
    </row>
    <row r="1154" spans="3:76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 s="104"/>
      <c r="BG1154" s="104"/>
      <c r="BH1154" s="104"/>
      <c r="BI1154" s="104"/>
      <c r="BJ1154" s="104"/>
      <c r="BK1154" s="104"/>
      <c r="BL1154" s="104"/>
      <c r="BM1154" s="104"/>
      <c r="BN1154" s="104"/>
      <c r="BO1154" s="104"/>
      <c r="BP1154" s="104"/>
      <c r="BQ1154" s="104"/>
      <c r="BR1154" s="104"/>
      <c r="BS1154" s="104"/>
      <c r="BT1154" s="104"/>
      <c r="BU1154" s="104"/>
      <c r="BV1154" s="104"/>
      <c r="BW1154" s="104"/>
      <c r="BX1154" s="104"/>
    </row>
  </sheetData>
  <mergeCells count="1">
    <mergeCell ref="A1:A2"/>
  </mergeCells>
  <conditionalFormatting sqref="J7:BX7">
    <cfRule type="expression" dxfId="767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zoomScale="85" zoomScaleNormal="85" workbookViewId="0">
      <pane ySplit="4" topLeftCell="A5" activePane="bottomLeft" state="frozen"/>
      <selection pane="bottomLeft" activeCell="CV7" sqref="CV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71"/>
      <c r="C1" s="135" t="s">
        <v>30</v>
      </c>
      <c r="D1" s="2"/>
      <c r="J1" s="129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42" t="s">
        <v>1634</v>
      </c>
      <c r="AU1" s="128"/>
      <c r="AV1" s="128"/>
      <c r="AW1" s="128"/>
      <c r="AX1" s="113" t="s">
        <v>1176</v>
      </c>
      <c r="AY1" s="114"/>
      <c r="AZ1" s="114"/>
      <c r="BA1" s="114"/>
      <c r="BB1" s="115"/>
      <c r="BC1" s="111" t="s">
        <v>1175</v>
      </c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</row>
    <row r="2" spans="1:99" s="2" customFormat="1" x14ac:dyDescent="0.25">
      <c r="A2" s="17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316</v>
      </c>
      <c r="K3" s="48"/>
      <c r="L3" s="48"/>
      <c r="M3" s="48"/>
      <c r="N3" s="48"/>
      <c r="O3" s="48"/>
      <c r="P3" s="48"/>
      <c r="Q3" s="48"/>
      <c r="R3" s="48"/>
      <c r="S3" s="46" t="s">
        <v>766</v>
      </c>
      <c r="T3" s="48"/>
      <c r="U3" s="48"/>
      <c r="V3" s="48"/>
      <c r="W3" s="48"/>
      <c r="X3" s="48"/>
      <c r="Y3" s="48"/>
      <c r="Z3" s="48"/>
      <c r="AA3" s="48"/>
      <c r="AB3" s="46" t="s">
        <v>767</v>
      </c>
      <c r="AC3" s="48"/>
      <c r="AD3" s="48"/>
      <c r="AE3" s="48"/>
      <c r="AF3" s="48"/>
      <c r="AG3" s="48"/>
      <c r="AH3" s="48"/>
      <c r="AI3" s="48"/>
      <c r="AJ3" s="47"/>
      <c r="AK3" s="48" t="s">
        <v>768</v>
      </c>
      <c r="AL3" s="48"/>
      <c r="AM3" s="48"/>
      <c r="AN3" s="48"/>
      <c r="AO3" s="48"/>
      <c r="AP3" s="48"/>
      <c r="AQ3" s="48"/>
      <c r="AR3" s="48"/>
      <c r="AS3" s="47"/>
      <c r="AT3" s="149"/>
      <c r="AU3" s="154"/>
      <c r="AV3" s="154"/>
      <c r="AW3" s="155"/>
      <c r="AX3" s="63" t="s">
        <v>91</v>
      </c>
      <c r="AY3" s="63"/>
      <c r="AZ3" s="63"/>
      <c r="BA3" s="63"/>
      <c r="BB3" s="63"/>
      <c r="BC3" s="119" t="s">
        <v>316</v>
      </c>
      <c r="BD3" s="120"/>
      <c r="BE3" s="120"/>
      <c r="BF3" s="120"/>
      <c r="BG3" s="120"/>
      <c r="BH3" s="120"/>
      <c r="BI3" s="120"/>
      <c r="BJ3" s="120"/>
      <c r="BK3" s="120"/>
      <c r="BL3" s="119" t="s">
        <v>5</v>
      </c>
      <c r="BM3" s="120"/>
      <c r="BN3" s="120"/>
      <c r="BO3" s="120"/>
      <c r="BP3" s="120"/>
      <c r="BQ3" s="120"/>
      <c r="BR3" s="120"/>
      <c r="BS3" s="120"/>
      <c r="BT3" s="120"/>
      <c r="BU3" s="119" t="s">
        <v>766</v>
      </c>
      <c r="BV3" s="120"/>
      <c r="BW3" s="120"/>
      <c r="BX3" s="120"/>
      <c r="BY3" s="120"/>
      <c r="BZ3" s="120"/>
      <c r="CA3" s="120"/>
      <c r="CB3" s="120"/>
      <c r="CC3" s="120"/>
      <c r="CD3" s="119" t="s">
        <v>767</v>
      </c>
      <c r="CE3" s="120"/>
      <c r="CF3" s="120"/>
      <c r="CG3" s="120"/>
      <c r="CH3" s="120"/>
      <c r="CI3" s="120"/>
      <c r="CJ3" s="120"/>
      <c r="CK3" s="120"/>
      <c r="CL3" s="120"/>
      <c r="CM3" s="119" t="s">
        <v>768</v>
      </c>
      <c r="CN3" s="120"/>
      <c r="CO3" s="120"/>
      <c r="CP3" s="120"/>
      <c r="CQ3" s="120"/>
      <c r="CR3" s="120"/>
      <c r="CS3" s="120"/>
      <c r="CT3" s="120"/>
      <c r="CU3" s="121"/>
    </row>
    <row r="4" spans="1:99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273</v>
      </c>
      <c r="K4" s="13" t="s">
        <v>208</v>
      </c>
      <c r="L4" s="13" t="s">
        <v>274</v>
      </c>
      <c r="M4" s="13" t="s">
        <v>275</v>
      </c>
      <c r="N4" s="13" t="s">
        <v>276</v>
      </c>
      <c r="O4" s="13" t="s">
        <v>277</v>
      </c>
      <c r="P4" s="13" t="s">
        <v>278</v>
      </c>
      <c r="Q4" s="13" t="s">
        <v>279</v>
      </c>
      <c r="R4" s="13" t="s">
        <v>280</v>
      </c>
      <c r="S4" s="8" t="s">
        <v>281</v>
      </c>
      <c r="T4" s="13" t="s">
        <v>282</v>
      </c>
      <c r="U4" s="13" t="s">
        <v>283</v>
      </c>
      <c r="V4" s="13" t="s">
        <v>284</v>
      </c>
      <c r="W4" s="13" t="s">
        <v>285</v>
      </c>
      <c r="X4" s="13" t="s">
        <v>286</v>
      </c>
      <c r="Y4" s="13" t="s">
        <v>287</v>
      </c>
      <c r="Z4" s="13" t="s">
        <v>288</v>
      </c>
      <c r="AA4" s="13" t="s">
        <v>289</v>
      </c>
      <c r="AB4" s="8" t="s">
        <v>290</v>
      </c>
      <c r="AC4" s="13" t="s">
        <v>291</v>
      </c>
      <c r="AD4" s="13" t="s">
        <v>292</v>
      </c>
      <c r="AE4" s="13" t="s">
        <v>293</v>
      </c>
      <c r="AF4" s="13" t="s">
        <v>294</v>
      </c>
      <c r="AG4" s="13" t="s">
        <v>295</v>
      </c>
      <c r="AH4" s="13" t="s">
        <v>296</v>
      </c>
      <c r="AI4" s="13" t="s">
        <v>297</v>
      </c>
      <c r="AJ4" s="9" t="s">
        <v>298</v>
      </c>
      <c r="AK4" s="13" t="s">
        <v>299</v>
      </c>
      <c r="AL4" s="13" t="s">
        <v>300</v>
      </c>
      <c r="AM4" s="13" t="s">
        <v>301</v>
      </c>
      <c r="AN4" s="13" t="s">
        <v>302</v>
      </c>
      <c r="AO4" s="13" t="s">
        <v>303</v>
      </c>
      <c r="AP4" s="13" t="s">
        <v>304</v>
      </c>
      <c r="AQ4" s="13" t="s">
        <v>305</v>
      </c>
      <c r="AR4" s="13" t="s">
        <v>306</v>
      </c>
      <c r="AS4" s="9" t="s">
        <v>307</v>
      </c>
      <c r="AT4" s="150" t="s">
        <v>316</v>
      </c>
      <c r="AU4" s="152" t="s">
        <v>766</v>
      </c>
      <c r="AV4" s="152" t="s">
        <v>767</v>
      </c>
      <c r="AW4" s="156" t="s">
        <v>768</v>
      </c>
      <c r="AX4" s="11" t="s">
        <v>765</v>
      </c>
      <c r="AY4" s="11" t="s">
        <v>30</v>
      </c>
      <c r="AZ4" s="11" t="s">
        <v>769</v>
      </c>
      <c r="BA4" s="11" t="s">
        <v>770</v>
      </c>
      <c r="BB4" s="11" t="s">
        <v>771</v>
      </c>
      <c r="BC4" s="122" t="s">
        <v>273</v>
      </c>
      <c r="BD4" s="123" t="s">
        <v>208</v>
      </c>
      <c r="BE4" s="123" t="s">
        <v>274</v>
      </c>
      <c r="BF4" s="123" t="s">
        <v>275</v>
      </c>
      <c r="BG4" s="123" t="s">
        <v>276</v>
      </c>
      <c r="BH4" s="123" t="s">
        <v>277</v>
      </c>
      <c r="BI4" s="123" t="s">
        <v>278</v>
      </c>
      <c r="BJ4" s="123" t="s">
        <v>279</v>
      </c>
      <c r="BK4" s="123" t="s">
        <v>280</v>
      </c>
      <c r="BL4" s="122" t="s">
        <v>273</v>
      </c>
      <c r="BM4" s="123" t="s">
        <v>208</v>
      </c>
      <c r="BN4" s="123" t="s">
        <v>274</v>
      </c>
      <c r="BO4" s="123" t="s">
        <v>275</v>
      </c>
      <c r="BP4" s="123" t="s">
        <v>276</v>
      </c>
      <c r="BQ4" s="123" t="s">
        <v>277</v>
      </c>
      <c r="BR4" s="123" t="s">
        <v>278</v>
      </c>
      <c r="BS4" s="123" t="s">
        <v>279</v>
      </c>
      <c r="BT4" s="123" t="s">
        <v>280</v>
      </c>
      <c r="BU4" s="122" t="s">
        <v>281</v>
      </c>
      <c r="BV4" s="123" t="s">
        <v>282</v>
      </c>
      <c r="BW4" s="123" t="s">
        <v>283</v>
      </c>
      <c r="BX4" s="123" t="s">
        <v>284</v>
      </c>
      <c r="BY4" s="123" t="s">
        <v>285</v>
      </c>
      <c r="BZ4" s="123" t="s">
        <v>286</v>
      </c>
      <c r="CA4" s="123" t="s">
        <v>287</v>
      </c>
      <c r="CB4" s="123" t="s">
        <v>288</v>
      </c>
      <c r="CC4" s="123" t="s">
        <v>289</v>
      </c>
      <c r="CD4" s="122" t="s">
        <v>290</v>
      </c>
      <c r="CE4" s="123" t="s">
        <v>291</v>
      </c>
      <c r="CF4" s="123" t="s">
        <v>292</v>
      </c>
      <c r="CG4" s="123" t="s">
        <v>293</v>
      </c>
      <c r="CH4" s="123" t="s">
        <v>294</v>
      </c>
      <c r="CI4" s="123" t="s">
        <v>295</v>
      </c>
      <c r="CJ4" s="123" t="s">
        <v>296</v>
      </c>
      <c r="CK4" s="123" t="s">
        <v>297</v>
      </c>
      <c r="CL4" s="123" t="s">
        <v>298</v>
      </c>
      <c r="CM4" s="122" t="s">
        <v>299</v>
      </c>
      <c r="CN4" s="123" t="s">
        <v>300</v>
      </c>
      <c r="CO4" s="123" t="s">
        <v>301</v>
      </c>
      <c r="CP4" s="123" t="s">
        <v>302</v>
      </c>
      <c r="CQ4" s="123" t="s">
        <v>303</v>
      </c>
      <c r="CR4" s="123" t="s">
        <v>304</v>
      </c>
      <c r="CS4" s="123" t="s">
        <v>305</v>
      </c>
      <c r="CT4" s="123" t="s">
        <v>306</v>
      </c>
      <c r="CU4" s="124" t="s">
        <v>307</v>
      </c>
    </row>
    <row r="5" spans="1:99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0">
        <f>SUBTOTAL(109,pmtct_stat_T[D_pmtct_stat_D_fy19])</f>
        <v>0</v>
      </c>
      <c r="AY5" s="60">
        <f>SUBTOTAL(109,pmtct_stat_T[D_pmtct_stat_fy19])</f>
        <v>0</v>
      </c>
      <c r="AZ5" s="60">
        <f>SUBTOTAL(109,pmtct_stat_T[D_pmtct_stat_known_fy19])</f>
        <v>0</v>
      </c>
      <c r="BA5" s="60">
        <f>SUBTOTAL(109,pmtct_stat_T[D_pmtct_stat_newneg_fy19])</f>
        <v>0</v>
      </c>
      <c r="BB5" s="60">
        <f>SUBTOTAL(109,pmtct_stat_T[D_pmtct_stat_newpos_fy19])</f>
        <v>0</v>
      </c>
      <c r="BC5" s="60">
        <f>SUBTOTAL(109,pmtct_stat_T[pmtct_stat_D_u10_f])</f>
        <v>0</v>
      </c>
      <c r="BD5" s="60">
        <f>SUBTOTAL(109,pmtct_stat_T[pmtct_stat_D_1014_f])</f>
        <v>0</v>
      </c>
      <c r="BE5" s="60">
        <f>SUBTOTAL(109,pmtct_stat_T[pmtct_stat_D_1519_f])</f>
        <v>0</v>
      </c>
      <c r="BF5" s="60">
        <f>SUBTOTAL(109,pmtct_stat_T[pmtct_stat_D_2024_f])</f>
        <v>0</v>
      </c>
      <c r="BG5" s="60">
        <f>SUBTOTAL(109,pmtct_stat_T[pmtct_stat_D_2529_f])</f>
        <v>0</v>
      </c>
      <c r="BH5" s="60">
        <f>SUBTOTAL(109,pmtct_stat_T[pmtct_stat_D_3034_f])</f>
        <v>0</v>
      </c>
      <c r="BI5" s="60">
        <f>SUBTOTAL(109,pmtct_stat_T[pmtct_stat_D_3539_f])</f>
        <v>0</v>
      </c>
      <c r="BJ5" s="60">
        <f>SUBTOTAL(109,pmtct_stat_T[pmtct_stat_D_4049_f])</f>
        <v>0</v>
      </c>
      <c r="BK5" s="60">
        <f>SUBTOTAL(109,pmtct_stat_T[pmtct_stat_D_o50_f])</f>
        <v>0</v>
      </c>
      <c r="BL5" s="60">
        <f>SUBTOTAL(109,pmtct_stat_T[pmtct_stat_u10_f])</f>
        <v>0</v>
      </c>
      <c r="BM5" s="60">
        <f>SUBTOTAL(109,pmtct_stat_T[pmtct_stat_1014_f])</f>
        <v>0</v>
      </c>
      <c r="BN5" s="60">
        <f>SUBTOTAL(109,pmtct_stat_T[pmtct_stat_1519_f])</f>
        <v>0</v>
      </c>
      <c r="BO5" s="60">
        <f>SUBTOTAL(109,pmtct_stat_T[pmtct_stat_2024_f])</f>
        <v>0</v>
      </c>
      <c r="BP5" s="60">
        <f>SUBTOTAL(109,pmtct_stat_T[pmtct_stat_2529_f])</f>
        <v>0</v>
      </c>
      <c r="BQ5" s="60">
        <f>SUBTOTAL(109,pmtct_stat_T[pmtct_stat_3034_f])</f>
        <v>0</v>
      </c>
      <c r="BR5" s="60">
        <f>SUBTOTAL(109,pmtct_stat_T[pmtct_stat_3539_f])</f>
        <v>0</v>
      </c>
      <c r="BS5" s="60">
        <f>SUBTOTAL(109,pmtct_stat_T[pmtct_stat_4049_f])</f>
        <v>0</v>
      </c>
      <c r="BT5" s="60">
        <f>SUBTOTAL(109,pmtct_stat_T[pmtct_stat_o50_f])</f>
        <v>0</v>
      </c>
      <c r="BU5" s="60">
        <f>SUBTOTAL(109,pmtct_stat_T[pmtct_stat_u10_f_known])</f>
        <v>0</v>
      </c>
      <c r="BV5" s="60">
        <f>SUBTOTAL(109,pmtct_stat_T[pmtct_stat_1014_f_known])</f>
        <v>0</v>
      </c>
      <c r="BW5" s="60">
        <f>SUBTOTAL(109,pmtct_stat_T[pmtct_stat_1519_f_known])</f>
        <v>0</v>
      </c>
      <c r="BX5" s="60">
        <f>SUBTOTAL(109,pmtct_stat_T[pmtct_stat_2024_f_known])</f>
        <v>0</v>
      </c>
      <c r="BY5" s="60">
        <f>SUBTOTAL(109,pmtct_stat_T[pmtct_stat_2529_f_known])</f>
        <v>0</v>
      </c>
      <c r="BZ5" s="60">
        <f>SUBTOTAL(109,pmtct_stat_T[pmtct_stat_3034_f_known])</f>
        <v>0</v>
      </c>
      <c r="CA5" s="60">
        <f>SUBTOTAL(109,pmtct_stat_T[pmtct_stat_3539_f_known])</f>
        <v>0</v>
      </c>
      <c r="CB5" s="60">
        <f>SUBTOTAL(109,pmtct_stat_T[pmtct_stat_4049_f_known])</f>
        <v>0</v>
      </c>
      <c r="CC5" s="60">
        <f>SUBTOTAL(109,pmtct_stat_T[pmtct_stat_o50_f_known])</f>
        <v>0</v>
      </c>
      <c r="CD5" s="60">
        <f>SUBTOTAL(109,pmtct_stat_T[pmtct_stat_u10_f_newneg])</f>
        <v>0</v>
      </c>
      <c r="CE5" s="60">
        <f>SUBTOTAL(109,pmtct_stat_T[pmtct_stat_1014_f_newneg])</f>
        <v>0</v>
      </c>
      <c r="CF5" s="60">
        <f>SUBTOTAL(109,pmtct_stat_T[pmtct_stat_1519_f_newneg])</f>
        <v>0</v>
      </c>
      <c r="CG5" s="60">
        <f>SUBTOTAL(109,pmtct_stat_T[pmtct_stat_2024_f_newneg])</f>
        <v>0</v>
      </c>
      <c r="CH5" s="60">
        <f>SUBTOTAL(109,pmtct_stat_T[pmtct_stat_2529_f_newneg])</f>
        <v>0</v>
      </c>
      <c r="CI5" s="60">
        <f>SUBTOTAL(109,pmtct_stat_T[pmtct_stat_3034_f_newneg])</f>
        <v>0</v>
      </c>
      <c r="CJ5" s="60">
        <f>SUBTOTAL(109,pmtct_stat_T[pmtct_stat_3539_f_newneg])</f>
        <v>0</v>
      </c>
      <c r="CK5" s="60">
        <f>SUBTOTAL(109,pmtct_stat_T[pmtct_stat_4049_f_newneg])</f>
        <v>0</v>
      </c>
      <c r="CL5" s="60">
        <f>SUBTOTAL(109,pmtct_stat_T[pmtct_stat_o50_f_newneg])</f>
        <v>0</v>
      </c>
      <c r="CM5" s="60">
        <f>SUBTOTAL(109,pmtct_stat_T[pmtct_stat_u10_f_newpos])</f>
        <v>0</v>
      </c>
      <c r="CN5" s="60">
        <f>SUBTOTAL(109,pmtct_stat_T[pmtct_stat_1014_f_newpos])</f>
        <v>0</v>
      </c>
      <c r="CO5" s="60">
        <f>SUBTOTAL(109,pmtct_stat_T[pmtct_stat_1519_f_newpos])</f>
        <v>0</v>
      </c>
      <c r="CP5" s="60">
        <f>SUBTOTAL(109,pmtct_stat_T[pmtct_stat_2024_f_newpos])</f>
        <v>0</v>
      </c>
      <c r="CQ5" s="60">
        <f>SUBTOTAL(109,pmtct_stat_T[pmtct_stat_2529_f_newpos])</f>
        <v>0</v>
      </c>
      <c r="CR5" s="60">
        <f>SUBTOTAL(109,pmtct_stat_T[pmtct_stat_3034_f_newpos])</f>
        <v>0</v>
      </c>
      <c r="CS5" s="60">
        <f>SUBTOTAL(109,pmtct_stat_T[pmtct_stat_3539_f_newpos])</f>
        <v>0</v>
      </c>
      <c r="CT5" s="60">
        <f>SUBTOTAL(109,pmtct_stat_T[pmtct_stat_4049_f_newpos])</f>
        <v>0</v>
      </c>
      <c r="CU5" s="60">
        <f>SUBTOTAL(109,pmtct_stat_T[pmtct_stat_o50_f_newpos])</f>
        <v>0</v>
      </c>
    </row>
    <row r="6" spans="1:99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1319</v>
      </c>
      <c r="K6" s="26" t="s">
        <v>1320</v>
      </c>
      <c r="L6" s="26" t="s">
        <v>1321</v>
      </c>
      <c r="M6" s="26" t="s">
        <v>1322</v>
      </c>
      <c r="N6" s="26" t="s">
        <v>1323</v>
      </c>
      <c r="O6" s="26" t="s">
        <v>1324</v>
      </c>
      <c r="P6" s="26" t="s">
        <v>1325</v>
      </c>
      <c r="Q6" s="26" t="s">
        <v>1326</v>
      </c>
      <c r="R6" s="26" t="s">
        <v>1327</v>
      </c>
      <c r="S6" s="26" t="s">
        <v>1328</v>
      </c>
      <c r="T6" s="26" t="s">
        <v>1329</v>
      </c>
      <c r="U6" s="26" t="s">
        <v>1330</v>
      </c>
      <c r="V6" s="26" t="s">
        <v>1331</v>
      </c>
      <c r="W6" s="26" t="s">
        <v>1332</v>
      </c>
      <c r="X6" s="26" t="s">
        <v>1333</v>
      </c>
      <c r="Y6" s="26" t="s">
        <v>1334</v>
      </c>
      <c r="Z6" s="26" t="s">
        <v>1335</v>
      </c>
      <c r="AA6" s="26" t="s">
        <v>1336</v>
      </c>
      <c r="AB6" s="26" t="s">
        <v>1337</v>
      </c>
      <c r="AC6" s="26" t="s">
        <v>1338</v>
      </c>
      <c r="AD6" s="26" t="s">
        <v>1339</v>
      </c>
      <c r="AE6" s="26" t="s">
        <v>1340</v>
      </c>
      <c r="AF6" s="26" t="s">
        <v>1341</v>
      </c>
      <c r="AG6" s="26" t="s">
        <v>1342</v>
      </c>
      <c r="AH6" s="26" t="s">
        <v>1343</v>
      </c>
      <c r="AI6" s="26" t="s">
        <v>1344</v>
      </c>
      <c r="AJ6" s="26" t="s">
        <v>1345</v>
      </c>
      <c r="AK6" s="26" t="s">
        <v>1346</v>
      </c>
      <c r="AL6" s="26" t="s">
        <v>1347</v>
      </c>
      <c r="AM6" s="26" t="s">
        <v>1348</v>
      </c>
      <c r="AN6" s="26" t="s">
        <v>1349</v>
      </c>
      <c r="AO6" s="26" t="s">
        <v>1350</v>
      </c>
      <c r="AP6" s="26" t="s">
        <v>1351</v>
      </c>
      <c r="AQ6" s="26" t="s">
        <v>1352</v>
      </c>
      <c r="AR6" s="26" t="s">
        <v>1353</v>
      </c>
      <c r="AS6" s="26" t="s">
        <v>1354</v>
      </c>
      <c r="AT6" s="26" t="s">
        <v>1630</v>
      </c>
      <c r="AU6" s="26" t="s">
        <v>1631</v>
      </c>
      <c r="AV6" s="26" t="s">
        <v>1633</v>
      </c>
      <c r="AW6" s="26" t="s">
        <v>1635</v>
      </c>
      <c r="AX6" s="26" t="s">
        <v>913</v>
      </c>
      <c r="AY6" s="26" t="s">
        <v>914</v>
      </c>
      <c r="AZ6" s="26" t="s">
        <v>917</v>
      </c>
      <c r="BA6" s="26" t="s">
        <v>916</v>
      </c>
      <c r="BB6" s="26" t="s">
        <v>915</v>
      </c>
      <c r="BC6" s="26" t="s">
        <v>540</v>
      </c>
      <c r="BD6" s="26" t="s">
        <v>541</v>
      </c>
      <c r="BE6" s="26" t="s">
        <v>542</v>
      </c>
      <c r="BF6" s="26" t="s">
        <v>543</v>
      </c>
      <c r="BG6" s="26" t="s">
        <v>544</v>
      </c>
      <c r="BH6" s="26" t="s">
        <v>545</v>
      </c>
      <c r="BI6" s="26" t="s">
        <v>546</v>
      </c>
      <c r="BJ6" s="26" t="s">
        <v>547</v>
      </c>
      <c r="BK6" s="26" t="s">
        <v>548</v>
      </c>
      <c r="BL6" s="26" t="s">
        <v>549</v>
      </c>
      <c r="BM6" s="26" t="s">
        <v>550</v>
      </c>
      <c r="BN6" s="26" t="s">
        <v>551</v>
      </c>
      <c r="BO6" s="26" t="s">
        <v>552</v>
      </c>
      <c r="BP6" s="26" t="s">
        <v>553</v>
      </c>
      <c r="BQ6" s="26" t="s">
        <v>554</v>
      </c>
      <c r="BR6" s="26" t="s">
        <v>555</v>
      </c>
      <c r="BS6" s="26" t="s">
        <v>556</v>
      </c>
      <c r="BT6" s="26" t="s">
        <v>557</v>
      </c>
      <c r="BU6" s="26" t="s">
        <v>558</v>
      </c>
      <c r="BV6" s="26" t="s">
        <v>561</v>
      </c>
      <c r="BW6" s="26" t="s">
        <v>564</v>
      </c>
      <c r="BX6" s="26" t="s">
        <v>567</v>
      </c>
      <c r="BY6" s="26" t="s">
        <v>570</v>
      </c>
      <c r="BZ6" s="26" t="s">
        <v>573</v>
      </c>
      <c r="CA6" s="26" t="s">
        <v>576</v>
      </c>
      <c r="CB6" s="26" t="s">
        <v>579</v>
      </c>
      <c r="CC6" s="26" t="s">
        <v>582</v>
      </c>
      <c r="CD6" s="26" t="s">
        <v>559</v>
      </c>
      <c r="CE6" s="26" t="s">
        <v>562</v>
      </c>
      <c r="CF6" s="26" t="s">
        <v>565</v>
      </c>
      <c r="CG6" s="26" t="s">
        <v>568</v>
      </c>
      <c r="CH6" s="26" t="s">
        <v>571</v>
      </c>
      <c r="CI6" s="26" t="s">
        <v>574</v>
      </c>
      <c r="CJ6" s="26" t="s">
        <v>577</v>
      </c>
      <c r="CK6" s="26" t="s">
        <v>580</v>
      </c>
      <c r="CL6" s="26" t="s">
        <v>583</v>
      </c>
      <c r="CM6" s="26" t="s">
        <v>560</v>
      </c>
      <c r="CN6" s="26" t="s">
        <v>563</v>
      </c>
      <c r="CO6" s="26" t="s">
        <v>566</v>
      </c>
      <c r="CP6" s="26" t="s">
        <v>569</v>
      </c>
      <c r="CQ6" s="26" t="s">
        <v>572</v>
      </c>
      <c r="CR6" s="26" t="s">
        <v>575</v>
      </c>
      <c r="CS6" s="26" t="s">
        <v>578</v>
      </c>
      <c r="CT6" s="26" t="s">
        <v>581</v>
      </c>
      <c r="CU6" s="26" t="s">
        <v>584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1">
        <f>SUM(pmtct_stat_T[[#This Row],[A_pmtct_stat_D_u10_f]:[A_pmtct_stat_D_o50_f]])</f>
        <v>0</v>
      </c>
      <c r="AU7" s="161">
        <f>SUM(pmtct_stat_T[[#This Row],[A_pmtct_stat_u10_f_known]:[A_pmtct_stat_o50_f_known]])</f>
        <v>0</v>
      </c>
      <c r="AV7" s="161">
        <f>SUM(pmtct_stat_T[[#This Row],[A_pmtct_stat_u10_f_newneg]:[A_pmtct_stat_o50_f_newneg]])</f>
        <v>0</v>
      </c>
      <c r="AW7" s="161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</row>
    <row r="13" spans="1:9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</row>
    <row r="14" spans="1:9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9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9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</row>
    <row r="17" spans="1:4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</row>
    <row r="18" spans="1:4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</row>
    <row r="19" spans="1:4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</row>
    <row r="21" spans="1:4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</row>
    <row r="23" spans="1:4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</row>
    <row r="24" spans="1:4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</row>
    <row r="25" spans="1:4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</row>
    <row r="26" spans="1:4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</row>
    <row r="27" spans="1:4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</row>
    <row r="31" spans="1:4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</row>
    <row r="33" spans="1:4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</row>
    <row r="37" spans="1:4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</row>
    <row r="39" spans="1:4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</row>
    <row r="40" spans="1:4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</row>
    <row r="41" spans="1:4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</row>
    <row r="42" spans="1:4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</row>
    <row r="44" spans="1:4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</row>
    <row r="45" spans="1:4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</row>
    <row r="46" spans="1:4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</row>
    <row r="47" spans="1:4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</row>
    <row r="51" spans="1:4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</row>
    <row r="55" spans="1:4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</row>
    <row r="57" spans="1:4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</row>
    <row r="58" spans="1:4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</row>
    <row r="59" spans="1:4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</row>
    <row r="67" spans="1:4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</row>
    <row r="68" spans="1:4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</row>
    <row r="70" spans="1:4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</row>
    <row r="71" spans="1:4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</row>
    <row r="72" spans="1:4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</row>
    <row r="73" spans="1:4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</row>
    <row r="74" spans="1:4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</row>
    <row r="75" spans="1:4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</row>
    <row r="76" spans="1:4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</row>
    <row r="77" spans="1:4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</row>
    <row r="80" spans="1:4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</row>
    <row r="81" spans="1:4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</row>
    <row r="83" spans="1:4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</row>
    <row r="84" spans="1:4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</row>
    <row r="87" spans="1:4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</row>
    <row r="90" spans="1:4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</row>
    <row r="91" spans="1:4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</row>
    <row r="92" spans="1:4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</row>
    <row r="95" spans="1:4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</row>
    <row r="96" spans="1:4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</row>
    <row r="97" spans="1:4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</row>
    <row r="100" spans="1:4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</row>
    <row r="105" spans="1:4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</row>
    <row r="106" spans="1:4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</row>
    <row r="108" spans="1:4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</row>
    <row r="109" spans="1:4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</row>
    <row r="110" spans="1:4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</row>
    <row r="112" spans="1:4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</row>
    <row r="114" spans="1:4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</row>
    <row r="115" spans="1:4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</row>
    <row r="116" spans="1:4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</row>
    <row r="120" spans="1:4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</row>
    <row r="123" spans="1:4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</row>
    <row r="125" spans="1:4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</row>
    <row r="128" spans="1:4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</row>
    <row r="131" spans="1:4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</row>
    <row r="133" spans="1:4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</row>
    <row r="134" spans="1:4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</row>
    <row r="138" spans="1:4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</row>
    <row r="139" spans="1:4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</row>
    <row r="140" spans="1:4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</row>
    <row r="142" spans="1:4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</row>
    <row r="143" spans="1:4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</row>
    <row r="144" spans="1:4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</row>
    <row r="146" spans="1:4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7" spans="1:4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</row>
    <row r="148" spans="1:4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</row>
    <row r="149" spans="1:4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</row>
    <row r="150" spans="1:4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</row>
    <row r="151" spans="1:4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</row>
    <row r="152" spans="1:4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</row>
    <row r="153" spans="1:4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</row>
    <row r="154" spans="1:4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</row>
    <row r="155" spans="1:4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</row>
    <row r="156" spans="1:4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</row>
    <row r="157" spans="1:4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</row>
    <row r="158" spans="1:4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</row>
    <row r="159" spans="1:4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</row>
    <row r="160" spans="1:4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</row>
    <row r="161" spans="1:4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</row>
    <row r="162" spans="1:4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</row>
    <row r="163" spans="1:4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</row>
    <row r="164" spans="1:4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</row>
    <row r="165" spans="1:4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</row>
    <row r="166" spans="1:4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</row>
    <row r="167" spans="1:4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</row>
    <row r="168" spans="1:4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</row>
    <row r="169" spans="1:4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</row>
    <row r="170" spans="1:4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</row>
    <row r="171" spans="1:4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</row>
    <row r="172" spans="1:4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</row>
    <row r="173" spans="1:4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</row>
    <row r="174" spans="1:4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</row>
    <row r="175" spans="1:4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</row>
    <row r="176" spans="1:4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</row>
    <row r="177" spans="1:4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</row>
    <row r="178" spans="1:4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</row>
    <row r="179" spans="1:4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</row>
    <row r="180" spans="1:4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</row>
    <row r="181" spans="1:4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</row>
    <row r="182" spans="1:4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</row>
    <row r="183" spans="1:4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</row>
    <row r="184" spans="1:4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</row>
    <row r="185" spans="1:4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</row>
    <row r="186" spans="1:4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</row>
    <row r="187" spans="1:4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</row>
    <row r="188" spans="1:4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</row>
    <row r="189" spans="1:4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</row>
    <row r="190" spans="1:4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</row>
    <row r="191" spans="1:4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</row>
    <row r="192" spans="1:4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</row>
    <row r="193" spans="1:4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</row>
    <row r="194" spans="1:4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</row>
    <row r="195" spans="1:4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</row>
    <row r="196" spans="1:4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</row>
    <row r="197" spans="1:4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</row>
    <row r="198" spans="1:4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</row>
    <row r="199" spans="1:4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</row>
    <row r="200" spans="1:4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</row>
    <row r="201" spans="1:4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</row>
    <row r="202" spans="1:4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</row>
    <row r="203" spans="1:4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</row>
    <row r="204" spans="1:4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</row>
    <row r="205" spans="1:4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</row>
    <row r="206" spans="1:4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</row>
    <row r="207" spans="1:4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</row>
    <row r="208" spans="1:4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</row>
    <row r="209" spans="1:4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</row>
    <row r="210" spans="1:4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</row>
    <row r="211" spans="1:4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</row>
    <row r="212" spans="1:4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</row>
    <row r="213" spans="1:4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</row>
    <row r="214" spans="1:4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</row>
    <row r="215" spans="1:4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</row>
    <row r="216" spans="1:4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</row>
    <row r="217" spans="1:4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</row>
    <row r="218" spans="1:4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</row>
    <row r="219" spans="1:4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</row>
    <row r="220" spans="1:4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</row>
    <row r="221" spans="1:4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</row>
    <row r="222" spans="1:4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</row>
    <row r="223" spans="1:4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</row>
    <row r="224" spans="1:4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</row>
    <row r="225" spans="1:4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</row>
    <row r="226" spans="1:4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</row>
    <row r="227" spans="1:4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</row>
    <row r="228" spans="1:4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</row>
    <row r="229" spans="1:4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</row>
    <row r="230" spans="1:4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</row>
    <row r="231" spans="1:4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</row>
    <row r="232" spans="1:4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</row>
    <row r="233" spans="1:4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</row>
    <row r="234" spans="1:4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</row>
    <row r="235" spans="1:4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</row>
    <row r="236" spans="1:4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</row>
    <row r="237" spans="1:4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</row>
    <row r="238" spans="1:4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</row>
    <row r="239" spans="1:4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</row>
    <row r="240" spans="1:4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</row>
    <row r="241" spans="1:4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</row>
    <row r="242" spans="1:4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</row>
    <row r="243" spans="1:4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</row>
    <row r="244" spans="1:4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</row>
    <row r="245" spans="1:4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</row>
    <row r="246" spans="1:4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</row>
    <row r="247" spans="1:4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</row>
    <row r="248" spans="1:4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</row>
    <row r="249" spans="1:4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</row>
    <row r="250" spans="1:4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</row>
    <row r="251" spans="1:4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</row>
    <row r="252" spans="1:4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</row>
    <row r="253" spans="1:4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</row>
    <row r="254" spans="1:4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</row>
    <row r="255" spans="1:4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</row>
    <row r="256" spans="1:4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</row>
    <row r="257" spans="1:4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</row>
    <row r="258" spans="1:4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</row>
    <row r="259" spans="1:4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</row>
    <row r="260" spans="1:4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</row>
    <row r="261" spans="1:4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</row>
    <row r="262" spans="1:4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</row>
    <row r="263" spans="1:4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</row>
    <row r="264" spans="1:4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</row>
    <row r="265" spans="1:4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</row>
    <row r="266" spans="1:4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</row>
    <row r="267" spans="1:4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</row>
    <row r="268" spans="1:4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</row>
    <row r="269" spans="1:4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</row>
    <row r="270" spans="1:4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</row>
    <row r="271" spans="1:4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</row>
    <row r="272" spans="1:4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</row>
    <row r="273" spans="1:4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</row>
    <row r="274" spans="1:4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</row>
    <row r="275" spans="1:4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</row>
    <row r="276" spans="1:4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</row>
    <row r="277" spans="1:4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</row>
    <row r="278" spans="1:4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</row>
    <row r="279" spans="1:4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</row>
    <row r="280" spans="1:4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</row>
    <row r="281" spans="1:4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</row>
    <row r="282" spans="1:4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</row>
    <row r="283" spans="1:4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</row>
    <row r="284" spans="1:4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</row>
    <row r="285" spans="1:4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</row>
    <row r="286" spans="1:4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</row>
    <row r="287" spans="1:4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</row>
    <row r="288" spans="1:4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</row>
    <row r="289" spans="1:4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</row>
    <row r="290" spans="1:4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</row>
    <row r="291" spans="1:4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</row>
    <row r="292" spans="1:4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</row>
    <row r="293" spans="1:4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</row>
    <row r="294" spans="1:4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</row>
    <row r="295" spans="1:4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</row>
    <row r="296" spans="1:4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</row>
    <row r="297" spans="1:4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</row>
    <row r="298" spans="1:4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</row>
    <row r="299" spans="1:4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</row>
    <row r="300" spans="1:4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</row>
    <row r="301" spans="1:4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</row>
    <row r="302" spans="1:4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</row>
    <row r="303" spans="1:4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</row>
    <row r="304" spans="1:4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</row>
    <row r="305" spans="1:4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</row>
    <row r="306" spans="1:4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</row>
    <row r="307" spans="1:4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</row>
    <row r="308" spans="1:4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</row>
    <row r="309" spans="1:4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</row>
    <row r="310" spans="1:4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</row>
    <row r="311" spans="1:4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</row>
    <row r="312" spans="1:4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</row>
    <row r="313" spans="1:4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</row>
    <row r="314" spans="1:4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</row>
    <row r="315" spans="1:4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</row>
    <row r="316" spans="1:4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</row>
    <row r="317" spans="1:4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</row>
    <row r="318" spans="1:4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</row>
    <row r="319" spans="1:4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</row>
    <row r="320" spans="1:4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</row>
    <row r="321" spans="1:4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</row>
    <row r="322" spans="1:4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</row>
    <row r="323" spans="1:4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</row>
    <row r="324" spans="1:4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</row>
    <row r="325" spans="1:4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</row>
    <row r="326" spans="1:4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</row>
    <row r="327" spans="1:4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</row>
    <row r="328" spans="1:4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</row>
    <row r="329" spans="1:4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</row>
    <row r="330" spans="1:4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</row>
    <row r="331" spans="1:4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</row>
    <row r="332" spans="1:4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</row>
    <row r="333" spans="1:4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</row>
    <row r="334" spans="1:4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</row>
    <row r="335" spans="1:4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</row>
    <row r="336" spans="1:4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</row>
    <row r="337" spans="1:4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</row>
    <row r="338" spans="1:4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</row>
    <row r="339" spans="1:4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</row>
    <row r="340" spans="1:4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</row>
    <row r="341" spans="1:4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</row>
    <row r="342" spans="1:4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</row>
    <row r="343" spans="1:4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</row>
    <row r="344" spans="1:4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</row>
    <row r="345" spans="1:4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</row>
    <row r="346" spans="1:4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</row>
    <row r="347" spans="1:4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</row>
    <row r="348" spans="1:4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</row>
    <row r="349" spans="1:4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</row>
    <row r="350" spans="1:4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</row>
    <row r="351" spans="1:4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</row>
    <row r="352" spans="1:4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</row>
    <row r="353" spans="1:4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</row>
    <row r="354" spans="1:4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</row>
    <row r="355" spans="1:4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</row>
    <row r="356" spans="1:4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</row>
    <row r="357" spans="1:4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</row>
    <row r="358" spans="1:4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</row>
    <row r="359" spans="1:4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</row>
    <row r="360" spans="1:4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</row>
    <row r="361" spans="1:4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</row>
    <row r="362" spans="1:4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</row>
    <row r="363" spans="1:4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</row>
    <row r="364" spans="1:4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</row>
    <row r="365" spans="1:4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</row>
    <row r="366" spans="1:4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</row>
    <row r="367" spans="1:4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</row>
    <row r="368" spans="1:4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</row>
    <row r="369" spans="1:4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</row>
    <row r="370" spans="1:4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</row>
    <row r="371" spans="1:4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</row>
    <row r="372" spans="1:4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</row>
    <row r="373" spans="1:4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</row>
    <row r="374" spans="1:4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</row>
    <row r="375" spans="1:4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</row>
    <row r="376" spans="1:4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</row>
    <row r="377" spans="1:4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</row>
    <row r="378" spans="1:4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</row>
    <row r="379" spans="1:4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</row>
    <row r="380" spans="1:4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</row>
    <row r="381" spans="1:4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</row>
    <row r="382" spans="1:4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</row>
    <row r="383" spans="1:4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</row>
    <row r="384" spans="1:4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</row>
    <row r="385" spans="1:4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</row>
    <row r="386" spans="1:4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</row>
    <row r="387" spans="1:4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</row>
    <row r="388" spans="1:4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</row>
    <row r="389" spans="1:4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</row>
    <row r="390" spans="1:4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</row>
    <row r="391" spans="1:4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</row>
    <row r="392" spans="1:4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</row>
    <row r="393" spans="1:4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</row>
    <row r="394" spans="1:4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</row>
    <row r="395" spans="1:4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</row>
    <row r="396" spans="1:4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</row>
    <row r="397" spans="1:4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</row>
    <row r="398" spans="1:4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</row>
    <row r="399" spans="1:4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</row>
    <row r="400" spans="1:4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</row>
    <row r="401" spans="1:4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</row>
    <row r="402" spans="1:4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</row>
    <row r="403" spans="1:4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</row>
    <row r="404" spans="1:4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</row>
    <row r="405" spans="1:4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</row>
    <row r="406" spans="1:4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</row>
    <row r="407" spans="1:4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</row>
    <row r="408" spans="1:4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</row>
    <row r="409" spans="1:4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</row>
    <row r="410" spans="1:4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</row>
    <row r="411" spans="1:4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</row>
    <row r="412" spans="1:4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</row>
    <row r="413" spans="1:4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</row>
    <row r="414" spans="1:4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</row>
    <row r="415" spans="1:4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</row>
    <row r="416" spans="1:4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</row>
    <row r="417" spans="1:4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</row>
    <row r="418" spans="1:4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</row>
    <row r="419" spans="1:4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</row>
    <row r="420" spans="1:4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</row>
    <row r="421" spans="1:4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</row>
    <row r="422" spans="1:4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</row>
    <row r="423" spans="1:4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</row>
    <row r="424" spans="1:4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</row>
    <row r="425" spans="1:4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</row>
    <row r="426" spans="1:4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</row>
    <row r="427" spans="1:4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</row>
    <row r="428" spans="1:4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</row>
    <row r="429" spans="1:4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</row>
    <row r="430" spans="1:4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</row>
    <row r="431" spans="1:4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</row>
    <row r="432" spans="1:4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</row>
    <row r="433" spans="1:4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</row>
    <row r="434" spans="1:4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</row>
    <row r="435" spans="1:4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</row>
    <row r="436" spans="1:4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</row>
    <row r="437" spans="1:4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</row>
    <row r="438" spans="1:4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</row>
    <row r="439" spans="1:4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</row>
    <row r="440" spans="1:4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</row>
    <row r="441" spans="1:4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</row>
    <row r="442" spans="1:4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</row>
    <row r="443" spans="1:4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</row>
    <row r="444" spans="1:4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</row>
    <row r="445" spans="1:4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</row>
    <row r="446" spans="1:4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</row>
    <row r="447" spans="1:4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</row>
    <row r="448" spans="1:4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</row>
    <row r="449" spans="1:4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</row>
    <row r="450" spans="1:4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</row>
    <row r="451" spans="1:4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</row>
    <row r="452" spans="1:4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</row>
    <row r="453" spans="1:4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</row>
    <row r="454" spans="1:4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</row>
    <row r="455" spans="1:4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</row>
    <row r="456" spans="1:4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</row>
    <row r="457" spans="1:4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</row>
    <row r="458" spans="1:4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</row>
    <row r="459" spans="1:4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</row>
    <row r="460" spans="1:4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</row>
    <row r="461" spans="1:4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</row>
    <row r="462" spans="1:4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</row>
    <row r="463" spans="1:4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</row>
    <row r="464" spans="1:4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</row>
    <row r="465" spans="1:4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</row>
    <row r="466" spans="1:4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</row>
    <row r="467" spans="1:4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</row>
    <row r="468" spans="1:4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</row>
    <row r="469" spans="1:4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</row>
    <row r="470" spans="1:4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</row>
    <row r="471" spans="1:4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</row>
    <row r="472" spans="1:4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</row>
    <row r="473" spans="1:4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</row>
    <row r="474" spans="1:4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</row>
    <row r="475" spans="1:4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</row>
    <row r="476" spans="1:4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</row>
    <row r="477" spans="1:4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</row>
    <row r="478" spans="1:4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</row>
    <row r="479" spans="1:4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</row>
    <row r="480" spans="1:4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</row>
    <row r="481" spans="1:4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</row>
    <row r="482" spans="1:4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</row>
    <row r="483" spans="1:4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</row>
    <row r="484" spans="1:4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</row>
    <row r="485" spans="1:4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</row>
    <row r="486" spans="1:4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</row>
    <row r="487" spans="1:4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</row>
    <row r="488" spans="1:4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</row>
    <row r="489" spans="1:4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</row>
    <row r="490" spans="1:4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</row>
    <row r="491" spans="1:4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</row>
    <row r="492" spans="1:4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</row>
    <row r="493" spans="1:4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</row>
    <row r="494" spans="1:4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</row>
    <row r="495" spans="1:4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</row>
    <row r="496" spans="1:4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</row>
    <row r="497" spans="1:4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</row>
    <row r="498" spans="1:4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</row>
    <row r="499" spans="1:4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</row>
    <row r="500" spans="1:4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</row>
    <row r="501" spans="1:4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</row>
    <row r="502" spans="1:4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</row>
    <row r="503" spans="1:4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</row>
    <row r="504" spans="1:4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</row>
    <row r="505" spans="1:4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</row>
    <row r="506" spans="1:4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</row>
    <row r="507" spans="1:4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</row>
    <row r="508" spans="1:4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</row>
    <row r="509" spans="1:4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</row>
    <row r="510" spans="1:4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</row>
    <row r="511" spans="1:4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</row>
    <row r="512" spans="1:4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</row>
    <row r="513" spans="1:4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</row>
    <row r="514" spans="1:4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</row>
    <row r="515" spans="1:4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</row>
    <row r="516" spans="1:4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</row>
    <row r="517" spans="1:4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</row>
    <row r="518" spans="1:4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</row>
    <row r="519" spans="1:4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</row>
    <row r="520" spans="1:4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</row>
    <row r="521" spans="1:4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</row>
    <row r="522" spans="1:4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</row>
    <row r="523" spans="1:4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</row>
    <row r="524" spans="1:4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</row>
    <row r="525" spans="1:4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</row>
    <row r="526" spans="1:4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</row>
    <row r="527" spans="1:4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</row>
    <row r="528" spans="1:4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</row>
    <row r="529" spans="1:4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</row>
    <row r="530" spans="1:4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</row>
    <row r="531" spans="1:4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</row>
    <row r="532" spans="1:4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</row>
    <row r="533" spans="1:4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</row>
    <row r="534" spans="1:4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</row>
    <row r="535" spans="1:4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</row>
    <row r="536" spans="1:4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</row>
    <row r="537" spans="1:4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</row>
    <row r="538" spans="1:4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</row>
    <row r="539" spans="1:4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</row>
    <row r="540" spans="1:4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</row>
    <row r="541" spans="1:4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</row>
    <row r="542" spans="1:4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</row>
    <row r="543" spans="1:4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</row>
    <row r="544" spans="1:4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</row>
    <row r="545" spans="1:4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</row>
    <row r="546" spans="1:4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</row>
    <row r="547" spans="1:4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</row>
    <row r="548" spans="1:4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</row>
    <row r="549" spans="1:4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</row>
    <row r="550" spans="1:4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</row>
    <row r="551" spans="1:4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</row>
    <row r="552" spans="1:4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</row>
    <row r="553" spans="1:4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</row>
    <row r="554" spans="1:4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</row>
    <row r="555" spans="1:4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</row>
    <row r="556" spans="1:4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</row>
    <row r="557" spans="1:4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</row>
    <row r="558" spans="1:4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</row>
    <row r="559" spans="1:4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</row>
    <row r="560" spans="1:4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</row>
    <row r="561" spans="1:4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</row>
    <row r="562" spans="1:4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</row>
    <row r="563" spans="1:4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</row>
    <row r="564" spans="1:4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</row>
    <row r="565" spans="1:4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</row>
    <row r="566" spans="1:4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</row>
    <row r="567" spans="1:4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</row>
    <row r="568" spans="1:4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</row>
    <row r="569" spans="1:4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</row>
    <row r="570" spans="1:4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</row>
    <row r="571" spans="1:4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</row>
    <row r="572" spans="1:4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</row>
    <row r="573" spans="1:4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</row>
    <row r="574" spans="1:4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</row>
    <row r="575" spans="1:4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</row>
    <row r="576" spans="1:4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</row>
    <row r="577" spans="1:4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</row>
    <row r="578" spans="1:4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</row>
    <row r="579" spans="1:4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</row>
    <row r="580" spans="1:4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</row>
    <row r="581" spans="1:4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</row>
    <row r="582" spans="1:4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</row>
    <row r="583" spans="1:4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</row>
    <row r="584" spans="1:4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</row>
    <row r="585" spans="1:4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</row>
    <row r="586" spans="1:4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</row>
    <row r="587" spans="1:4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</row>
    <row r="588" spans="1:4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</row>
    <row r="589" spans="1:4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</row>
    <row r="590" spans="1:4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</row>
    <row r="591" spans="1:4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</row>
    <row r="592" spans="1:4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</row>
    <row r="593" spans="1:4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</row>
    <row r="594" spans="1:4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</row>
    <row r="595" spans="1:4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</row>
    <row r="596" spans="1:4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</row>
    <row r="597" spans="1:4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</row>
    <row r="598" spans="1:4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</row>
    <row r="599" spans="1:4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</row>
    <row r="600" spans="1:4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</row>
    <row r="601" spans="1:4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</row>
    <row r="602" spans="1:4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</row>
    <row r="603" spans="1:4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</row>
    <row r="604" spans="1:4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</row>
    <row r="605" spans="1:4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</row>
    <row r="606" spans="1:4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</row>
    <row r="607" spans="1:4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</row>
    <row r="608" spans="1:4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</row>
    <row r="609" spans="1:4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</row>
    <row r="610" spans="1:4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</row>
    <row r="611" spans="1:4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</row>
    <row r="612" spans="1:4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</row>
    <row r="613" spans="1:4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</row>
    <row r="614" spans="1:4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</row>
    <row r="615" spans="1:4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</row>
    <row r="616" spans="1:4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</row>
    <row r="617" spans="1:4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</row>
    <row r="618" spans="1:4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</row>
    <row r="619" spans="1:4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</row>
    <row r="620" spans="1:4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</row>
    <row r="621" spans="1:4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</row>
    <row r="622" spans="1:4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</row>
    <row r="623" spans="1:4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</row>
    <row r="624" spans="1:4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</row>
    <row r="625" spans="1:4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</row>
    <row r="626" spans="1:4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</row>
    <row r="627" spans="1:4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</row>
    <row r="628" spans="1:4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</row>
    <row r="629" spans="1:4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</row>
    <row r="630" spans="1:4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</row>
    <row r="631" spans="1:4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</row>
    <row r="632" spans="1:4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</row>
    <row r="633" spans="1:4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</row>
    <row r="634" spans="1:4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</row>
    <row r="635" spans="1:4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</row>
    <row r="636" spans="1:4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</row>
    <row r="637" spans="1:4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</row>
    <row r="638" spans="1:4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</row>
    <row r="639" spans="1:4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</row>
    <row r="640" spans="1:4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</row>
    <row r="641" spans="1:4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</row>
    <row r="642" spans="1:4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</row>
    <row r="643" spans="1:4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</row>
    <row r="644" spans="1:4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</row>
    <row r="645" spans="1:4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</row>
    <row r="646" spans="1:4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</row>
    <row r="647" spans="1:4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</row>
    <row r="648" spans="1:4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</row>
    <row r="649" spans="1:4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</row>
    <row r="650" spans="1:4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</row>
    <row r="651" spans="1:4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</row>
    <row r="652" spans="1:4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</row>
    <row r="653" spans="1:4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</row>
    <row r="654" spans="1:4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</row>
    <row r="655" spans="1:4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</row>
    <row r="656" spans="1:4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</row>
    <row r="657" spans="1:4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</row>
    <row r="658" spans="1:4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</row>
    <row r="659" spans="1:4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</row>
    <row r="660" spans="1:4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</row>
    <row r="661" spans="1:4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</row>
    <row r="662" spans="1:4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</row>
    <row r="663" spans="1:4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</row>
    <row r="664" spans="1:4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</row>
    <row r="665" spans="1:4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</row>
    <row r="666" spans="1:4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</row>
    <row r="667" spans="1:4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</row>
    <row r="668" spans="1:4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</row>
    <row r="669" spans="1:4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</row>
    <row r="670" spans="1:4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</row>
    <row r="671" spans="1:4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</row>
    <row r="672" spans="1:4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</row>
    <row r="673" spans="1:4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</row>
    <row r="674" spans="1:4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</row>
    <row r="675" spans="1:4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</row>
    <row r="676" spans="1:4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</row>
    <row r="677" spans="1:4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</row>
    <row r="678" spans="1:4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</row>
    <row r="679" spans="1:4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</row>
    <row r="680" spans="1:4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</row>
    <row r="681" spans="1:4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</row>
    <row r="682" spans="1:4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</row>
    <row r="683" spans="1:4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</row>
    <row r="684" spans="1:4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</row>
    <row r="685" spans="1:4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</row>
    <row r="686" spans="1:4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</row>
    <row r="687" spans="1:4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</row>
    <row r="688" spans="1:4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</row>
    <row r="689" spans="1:4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</row>
    <row r="690" spans="1:4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</row>
    <row r="691" spans="1:4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</row>
    <row r="692" spans="1:4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</row>
    <row r="693" spans="1:4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</row>
    <row r="694" spans="1:4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</row>
    <row r="695" spans="1:4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</row>
    <row r="696" spans="1:4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</row>
    <row r="697" spans="1:4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</row>
    <row r="698" spans="1:4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</row>
    <row r="699" spans="1:4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</row>
    <row r="700" spans="1:4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</row>
    <row r="701" spans="1:4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</row>
    <row r="702" spans="1:4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</row>
    <row r="703" spans="1:4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</row>
    <row r="704" spans="1:4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</row>
    <row r="705" spans="1:4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</row>
    <row r="706" spans="1:4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</row>
    <row r="707" spans="1:4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</row>
    <row r="708" spans="1:4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</row>
    <row r="709" spans="1:4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</row>
    <row r="710" spans="1:4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</row>
    <row r="711" spans="1:4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</row>
    <row r="712" spans="1:4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</row>
    <row r="713" spans="1:4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</row>
    <row r="714" spans="1:4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</row>
    <row r="715" spans="1:4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</row>
    <row r="716" spans="1:4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</row>
    <row r="717" spans="1:4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</row>
    <row r="718" spans="1:4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</row>
    <row r="719" spans="1:4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</row>
    <row r="720" spans="1:4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</row>
    <row r="721" spans="1:4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</row>
    <row r="722" spans="1:4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</row>
    <row r="723" spans="1:4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</row>
    <row r="724" spans="1:4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</row>
    <row r="725" spans="1:4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</row>
    <row r="726" spans="1:4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</row>
    <row r="727" spans="1:4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</row>
    <row r="728" spans="1:4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</row>
    <row r="729" spans="1:4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</row>
    <row r="730" spans="1:4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</row>
    <row r="731" spans="1:4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</row>
    <row r="732" spans="1:4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</row>
    <row r="733" spans="1:4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</row>
    <row r="734" spans="1:4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</row>
    <row r="735" spans="1:4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</row>
    <row r="736" spans="1:4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</row>
    <row r="737" spans="1:4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</row>
    <row r="738" spans="1:4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</row>
    <row r="739" spans="1:4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</row>
    <row r="740" spans="1:4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</row>
    <row r="741" spans="1:4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</row>
    <row r="742" spans="1:4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</row>
    <row r="743" spans="1:4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</row>
    <row r="744" spans="1:4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</row>
    <row r="745" spans="1:4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</row>
    <row r="746" spans="1:4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</row>
    <row r="747" spans="1:4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</row>
    <row r="748" spans="1:4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</row>
    <row r="749" spans="1:4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</row>
    <row r="750" spans="1:4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</row>
    <row r="751" spans="1:4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</row>
    <row r="752" spans="1:4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</row>
    <row r="753" spans="1:4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</row>
    <row r="754" spans="1:4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</row>
    <row r="755" spans="1:4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</row>
    <row r="756" spans="1:4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</row>
    <row r="757" spans="1:4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</row>
    <row r="758" spans="1:4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</row>
    <row r="759" spans="1:4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</row>
    <row r="760" spans="1:4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</row>
    <row r="761" spans="1:4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</row>
    <row r="762" spans="1:4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</row>
    <row r="763" spans="1:4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</row>
    <row r="764" spans="1:4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</row>
    <row r="765" spans="1:4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</row>
    <row r="766" spans="1:4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</row>
    <row r="767" spans="1:4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</row>
    <row r="768" spans="1:4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</row>
    <row r="769" spans="1:4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</row>
    <row r="770" spans="1:4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</row>
    <row r="771" spans="1:4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</row>
    <row r="772" spans="1:4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</row>
    <row r="773" spans="1:4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</row>
    <row r="774" spans="1:4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</row>
    <row r="775" spans="1:4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</row>
    <row r="776" spans="1:4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</row>
    <row r="777" spans="1:4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</row>
    <row r="778" spans="1:4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</row>
    <row r="779" spans="1:4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</row>
    <row r="780" spans="1:4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</row>
    <row r="781" spans="1:4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</row>
    <row r="782" spans="1:4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</row>
    <row r="783" spans="1:4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</row>
    <row r="784" spans="1:4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4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</row>
    <row r="786" spans="1:4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</row>
    <row r="787" spans="1:4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</row>
    <row r="788" spans="1:4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</row>
    <row r="789" spans="1:4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</row>
    <row r="790" spans="1:4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</row>
    <row r="791" spans="1:4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</row>
    <row r="792" spans="1:4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</row>
    <row r="793" spans="1:4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</row>
    <row r="794" spans="1:4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</row>
    <row r="795" spans="1:4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</row>
    <row r="796" spans="1:4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</row>
    <row r="797" spans="1:4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</row>
    <row r="798" spans="1:4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</row>
    <row r="799" spans="1:4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</row>
    <row r="800" spans="1:4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</row>
    <row r="801" spans="1:4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</row>
    <row r="802" spans="1:4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</row>
    <row r="803" spans="1:4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</row>
    <row r="804" spans="1:4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</row>
    <row r="805" spans="1:4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</row>
    <row r="806" spans="1:4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</row>
    <row r="807" spans="1:4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</row>
    <row r="808" spans="1:4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</row>
    <row r="809" spans="1:4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</row>
    <row r="810" spans="1:4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</row>
    <row r="811" spans="1:4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</row>
    <row r="812" spans="1:4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</row>
    <row r="813" spans="1:4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</row>
    <row r="814" spans="1:4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</row>
    <row r="815" spans="1:4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</row>
    <row r="816" spans="1:4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</row>
    <row r="817" spans="1:4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</row>
    <row r="818" spans="1:4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</row>
    <row r="819" spans="1:4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</row>
    <row r="820" spans="1:4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</row>
    <row r="821" spans="1:4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</row>
    <row r="822" spans="1:4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</row>
    <row r="823" spans="1:4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</row>
    <row r="824" spans="1:4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</row>
    <row r="825" spans="1:4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</row>
    <row r="826" spans="1:4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</row>
    <row r="827" spans="1:4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</row>
    <row r="828" spans="1:4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</row>
    <row r="829" spans="1:4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</row>
    <row r="830" spans="1:4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</row>
    <row r="831" spans="1:4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</row>
    <row r="832" spans="1:4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</row>
    <row r="833" spans="1:4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</row>
    <row r="834" spans="1:4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</row>
    <row r="835" spans="1:4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</row>
    <row r="836" spans="1:4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</row>
    <row r="837" spans="1:4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</row>
    <row r="838" spans="1:4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</row>
    <row r="839" spans="1:4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</row>
    <row r="840" spans="1:4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</row>
    <row r="841" spans="1:4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</row>
    <row r="842" spans="1:4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</row>
    <row r="843" spans="1:4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</row>
    <row r="844" spans="1:4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</row>
    <row r="845" spans="1:4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</row>
    <row r="846" spans="1:4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</row>
    <row r="847" spans="1:4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</row>
    <row r="848" spans="1:4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</row>
    <row r="849" spans="1:4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</row>
    <row r="850" spans="1:4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</row>
    <row r="851" spans="1:4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4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</row>
    <row r="853" spans="1:4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</row>
    <row r="854" spans="1:4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</row>
    <row r="855" spans="1:4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</row>
    <row r="856" spans="1:4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</row>
    <row r="857" spans="1:4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</row>
    <row r="858" spans="1:4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</row>
    <row r="859" spans="1:4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</row>
    <row r="860" spans="1:4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</row>
    <row r="861" spans="1:4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</row>
    <row r="862" spans="1:4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</row>
    <row r="863" spans="1:4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</row>
    <row r="864" spans="1:4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</row>
    <row r="865" spans="1:4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</row>
    <row r="866" spans="1:4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</row>
    <row r="867" spans="1:4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</row>
    <row r="868" spans="1:4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</row>
    <row r="869" spans="1:4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</row>
    <row r="870" spans="1:4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</row>
    <row r="871" spans="1:4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</row>
    <row r="872" spans="1:4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</row>
    <row r="873" spans="1:4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</row>
    <row r="874" spans="1:4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</row>
    <row r="875" spans="1:4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</row>
    <row r="876" spans="1:4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</row>
    <row r="877" spans="1:4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</row>
    <row r="878" spans="1:4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</row>
    <row r="879" spans="1:4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</row>
    <row r="880" spans="1:4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</row>
    <row r="881" spans="1:4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</row>
    <row r="882" spans="1:4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</row>
    <row r="883" spans="1:4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</row>
    <row r="884" spans="1:4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</row>
    <row r="885" spans="1:4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</row>
    <row r="886" spans="1:4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</row>
    <row r="887" spans="1:4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</row>
    <row r="888" spans="1:4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</row>
    <row r="889" spans="1:4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</row>
    <row r="890" spans="1:4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</row>
    <row r="891" spans="1:4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</row>
    <row r="892" spans="1:4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</row>
    <row r="893" spans="1:4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</row>
    <row r="894" spans="1:4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</row>
    <row r="895" spans="1:4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</row>
    <row r="896" spans="1:4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</row>
    <row r="897" spans="1:4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</row>
    <row r="898" spans="1:4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</row>
    <row r="899" spans="1:4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</row>
    <row r="900" spans="1:4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</row>
    <row r="901" spans="1:4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</row>
    <row r="902" spans="1:4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</row>
    <row r="903" spans="1:4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</row>
    <row r="904" spans="1:4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</row>
    <row r="905" spans="1:4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</row>
    <row r="906" spans="1:4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</row>
    <row r="907" spans="1:4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</row>
    <row r="908" spans="1:4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</row>
    <row r="909" spans="1:4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</row>
    <row r="910" spans="1:4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</row>
    <row r="911" spans="1:4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</row>
    <row r="912" spans="1:4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</row>
    <row r="913" spans="1:4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</row>
    <row r="914" spans="1:4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</row>
    <row r="915" spans="1:4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</row>
    <row r="916" spans="1:4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</row>
    <row r="917" spans="1:4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</row>
    <row r="918" spans="1:4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</row>
    <row r="919" spans="1:4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</row>
    <row r="920" spans="1:4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</row>
    <row r="921" spans="1:4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</row>
    <row r="922" spans="1:4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</row>
    <row r="923" spans="1:4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</row>
    <row r="924" spans="1:4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</row>
    <row r="925" spans="1:4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</row>
    <row r="926" spans="1:4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</row>
    <row r="927" spans="1:4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</row>
    <row r="928" spans="1:4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</row>
    <row r="929" spans="1:4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</row>
    <row r="930" spans="1:4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</row>
    <row r="931" spans="1:4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</row>
    <row r="932" spans="1:4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</row>
    <row r="933" spans="1:4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</row>
    <row r="934" spans="1:4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</row>
    <row r="935" spans="1:4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</row>
    <row r="936" spans="1:4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</row>
    <row r="937" spans="1:4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</row>
    <row r="938" spans="1:4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</row>
    <row r="939" spans="1:4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</row>
    <row r="940" spans="1:4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</row>
    <row r="941" spans="1:4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</row>
    <row r="942" spans="1:4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</row>
    <row r="943" spans="1:4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</row>
    <row r="944" spans="1:4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</row>
    <row r="945" spans="1:4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</row>
    <row r="946" spans="1:4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</row>
    <row r="947" spans="1:4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</row>
    <row r="948" spans="1:4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</row>
    <row r="949" spans="1:4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</row>
    <row r="950" spans="1:4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</row>
    <row r="951" spans="1:4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</row>
    <row r="952" spans="1:4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</row>
    <row r="953" spans="1:4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</row>
    <row r="954" spans="1:4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</row>
    <row r="955" spans="1:4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</row>
    <row r="956" spans="1:4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</row>
    <row r="957" spans="1:4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</row>
    <row r="958" spans="1:4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</row>
    <row r="959" spans="1:4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</row>
    <row r="960" spans="1:4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</row>
    <row r="961" spans="1:4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</row>
    <row r="962" spans="1:4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</row>
    <row r="963" spans="1:4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</row>
    <row r="964" spans="1:4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</row>
    <row r="965" spans="1:4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</row>
    <row r="966" spans="1:4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</row>
    <row r="967" spans="1:4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</row>
    <row r="968" spans="1:4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</row>
    <row r="969" spans="1:4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</row>
    <row r="970" spans="1:4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</row>
    <row r="971" spans="1:4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</row>
    <row r="972" spans="1:4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</row>
    <row r="973" spans="1:4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</row>
    <row r="974" spans="1:4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</row>
    <row r="975" spans="1:4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</row>
    <row r="976" spans="1:4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</row>
    <row r="977" spans="1:4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</row>
    <row r="978" spans="1:4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</row>
    <row r="979" spans="1:4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</row>
    <row r="980" spans="1:4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</row>
    <row r="981" spans="1:4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</row>
    <row r="982" spans="1:4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</row>
    <row r="983" spans="1:4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</row>
    <row r="984" spans="1:4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</row>
    <row r="985" spans="1:4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</row>
    <row r="986" spans="1:4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</row>
    <row r="987" spans="1:4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</row>
    <row r="988" spans="1:4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</row>
    <row r="989" spans="1:4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</row>
    <row r="990" spans="1:4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</row>
    <row r="991" spans="1:4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</row>
    <row r="992" spans="1:4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</row>
    <row r="993" spans="1:4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</row>
    <row r="994" spans="1:4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</row>
    <row r="995" spans="1:4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</row>
    <row r="996" spans="1:4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</row>
    <row r="997" spans="1:4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</row>
    <row r="998" spans="1:4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</row>
    <row r="999" spans="1:4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</row>
    <row r="1000" spans="1:4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</row>
    <row r="1001" spans="1:4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</row>
    <row r="1002" spans="1:4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</row>
    <row r="1003" spans="1:4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</row>
    <row r="1004" spans="1:4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</row>
    <row r="1005" spans="1:4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</row>
    <row r="1006" spans="1:4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</row>
    <row r="1007" spans="1:4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</row>
    <row r="1008" spans="1:4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</row>
    <row r="1009" spans="1:4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</row>
    <row r="1010" spans="1:4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</row>
    <row r="1011" spans="1:4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</row>
    <row r="1012" spans="1:4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</row>
    <row r="1013" spans="1:4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</row>
    <row r="1014" spans="1:4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</row>
    <row r="1015" spans="1:4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</row>
    <row r="1016" spans="1:4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</row>
    <row r="1017" spans="1:4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</row>
    <row r="1018" spans="1:4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</row>
    <row r="1019" spans="1:4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</row>
    <row r="1020" spans="1:4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</row>
    <row r="1021" spans="1:4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</row>
    <row r="1022" spans="1:4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</row>
    <row r="1023" spans="1:4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</row>
    <row r="1024" spans="1:4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</row>
    <row r="1025" spans="1:4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</row>
    <row r="1026" spans="1:4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</row>
    <row r="1027" spans="1:4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</row>
    <row r="1028" spans="1:4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</row>
    <row r="1029" spans="1:4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</row>
    <row r="1030" spans="1:4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</row>
    <row r="1031" spans="1:4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</row>
    <row r="1032" spans="1:4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</row>
    <row r="1033" spans="1:4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</row>
    <row r="1034" spans="1:4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</row>
    <row r="1035" spans="1:4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</row>
    <row r="1036" spans="1:4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</row>
    <row r="1037" spans="1:4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</row>
    <row r="1038" spans="1:4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</row>
    <row r="1039" spans="1:4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</row>
    <row r="1040" spans="1:4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</row>
    <row r="1041" spans="1:4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</row>
    <row r="1042" spans="1:4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</row>
    <row r="1043" spans="1:4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</row>
    <row r="1044" spans="1:4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</row>
    <row r="1045" spans="1:4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</row>
    <row r="1046" spans="1:4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</row>
    <row r="1047" spans="1:4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</row>
    <row r="1048" spans="1:4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</row>
    <row r="1049" spans="1:4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</row>
    <row r="1050" spans="1:4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</row>
    <row r="1051" spans="1:4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</row>
    <row r="1052" spans="1:4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</row>
    <row r="1053" spans="1:4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</row>
    <row r="1054" spans="1:4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</row>
    <row r="1055" spans="1:4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</row>
    <row r="1056" spans="1:4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</row>
    <row r="1057" spans="1:4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</row>
    <row r="1058" spans="1:4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</row>
    <row r="1059" spans="1:4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</row>
    <row r="1060" spans="1:4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</row>
    <row r="1061" spans="1:4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</row>
    <row r="1062" spans="1:4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</row>
    <row r="1063" spans="1:4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</row>
    <row r="1064" spans="1:4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</row>
    <row r="1065" spans="1:4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</row>
    <row r="1066" spans="1:4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</row>
    <row r="1067" spans="1:4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</row>
    <row r="1068" spans="1:4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</row>
    <row r="1069" spans="1:4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</row>
    <row r="1070" spans="1:4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</row>
    <row r="1071" spans="1:4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</row>
    <row r="1072" spans="1:4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</row>
    <row r="1073" spans="1:4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</row>
    <row r="1074" spans="1:4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</row>
    <row r="1075" spans="1:4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</row>
    <row r="1076" spans="1:4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</row>
    <row r="1077" spans="1:4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</row>
    <row r="1078" spans="1:4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</row>
    <row r="1079" spans="1:4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</row>
    <row r="1080" spans="1:4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</row>
    <row r="1081" spans="1:4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</row>
    <row r="1082" spans="1:4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</row>
    <row r="1083" spans="1:4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</row>
    <row r="1084" spans="1:4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</row>
    <row r="1085" spans="1:4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</row>
    <row r="1086" spans="1:4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</row>
    <row r="1087" spans="1:4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</row>
    <row r="1088" spans="1:4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</row>
    <row r="1089" spans="1:4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</row>
    <row r="1090" spans="1:4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</row>
    <row r="1091" spans="1:4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</row>
    <row r="1092" spans="1:4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</row>
    <row r="1093" spans="1:4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</row>
    <row r="1094" spans="1:4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</row>
    <row r="1095" spans="1:4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</row>
    <row r="1096" spans="1:4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</row>
    <row r="1097" spans="1:4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</row>
    <row r="1098" spans="1:4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</row>
    <row r="1099" spans="1:4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</row>
    <row r="1100" spans="1:4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</row>
    <row r="1101" spans="1:4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</row>
    <row r="1102" spans="1:4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</row>
    <row r="1103" spans="1:4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</row>
    <row r="1104" spans="1:4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</row>
    <row r="1105" spans="1:4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</row>
    <row r="1106" spans="1:4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</row>
    <row r="1107" spans="1:4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</row>
    <row r="1108" spans="1:4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</row>
    <row r="1109" spans="1:4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</row>
    <row r="1110" spans="1:4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</row>
    <row r="1111" spans="1:4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</row>
    <row r="1112" spans="1:4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</row>
    <row r="1113" spans="1:4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</row>
    <row r="1114" spans="1:4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</row>
    <row r="1115" spans="1:4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</row>
    <row r="1116" spans="1:4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</row>
    <row r="1117" spans="1:4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</row>
    <row r="1118" spans="1:4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</row>
    <row r="1119" spans="1:4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</row>
    <row r="1120" spans="1:4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</row>
    <row r="1121" spans="1:4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</row>
    <row r="1122" spans="1:4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</row>
    <row r="1123" spans="1:4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</row>
    <row r="1124" spans="1:4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</row>
    <row r="1125" spans="1:4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</row>
    <row r="1126" spans="1:4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</row>
    <row r="1127" spans="1:4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</row>
    <row r="1128" spans="1:4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</row>
    <row r="1129" spans="1:4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</row>
    <row r="1130" spans="1:4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</row>
    <row r="1131" spans="1:4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</row>
    <row r="1132" spans="1:4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</row>
    <row r="1133" spans="1:4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</row>
    <row r="1134" spans="1:4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</row>
    <row r="1135" spans="1:4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</row>
    <row r="1136" spans="1:4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</row>
    <row r="1137" spans="1:4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</row>
    <row r="1138" spans="1:4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</row>
    <row r="1139" spans="1:4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</row>
    <row r="1140" spans="1:4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</row>
    <row r="1141" spans="1:4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</row>
    <row r="1142" spans="1:4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</row>
    <row r="1143" spans="1:4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</row>
    <row r="1144" spans="1:4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</row>
    <row r="1145" spans="1:4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</row>
    <row r="1146" spans="1:4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</row>
    <row r="1147" spans="1:4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</row>
    <row r="1148" spans="1:4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</row>
    <row r="1149" spans="1:4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</row>
    <row r="1150" spans="1:4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</row>
    <row r="1151" spans="1:4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</row>
    <row r="1152" spans="1:4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</row>
    <row r="1153" spans="3:4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</row>
    <row r="1154" spans="3:4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</row>
  </sheetData>
  <mergeCells count="1">
    <mergeCell ref="A1:A2"/>
  </mergeCells>
  <conditionalFormatting sqref="J7:R7">
    <cfRule type="expression" dxfId="618" priority="2">
      <formula>$AX7=0</formula>
    </cfRule>
  </conditionalFormatting>
  <conditionalFormatting sqref="S7:AW7">
    <cfRule type="expression" dxfId="617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zoomScale="85" zoomScaleNormal="85" workbookViewId="0">
      <pane ySplit="4" topLeftCell="A5" activePane="bottomLeft" state="frozen"/>
      <selection pane="bottomLeft" activeCell="J7" sqref="J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71"/>
      <c r="C1" s="135" t="s">
        <v>28</v>
      </c>
      <c r="D1" s="2"/>
      <c r="J1" s="113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18" t="s">
        <v>1634</v>
      </c>
      <c r="AA1" s="118" t="s">
        <v>1176</v>
      </c>
      <c r="AB1" s="53" t="s">
        <v>1175</v>
      </c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</row>
    <row r="2" spans="1:43" s="2" customFormat="1" x14ac:dyDescent="0.25">
      <c r="A2" s="17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157" t="s">
        <v>1632</v>
      </c>
      <c r="AA3" s="61" t="s">
        <v>745</v>
      </c>
      <c r="AB3" s="119" t="s">
        <v>5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1"/>
    </row>
    <row r="4" spans="1:43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208</v>
      </c>
      <c r="K4" s="13" t="s">
        <v>209</v>
      </c>
      <c r="L4" s="13" t="s">
        <v>274</v>
      </c>
      <c r="M4" s="13" t="s">
        <v>308</v>
      </c>
      <c r="N4" s="13" t="s">
        <v>275</v>
      </c>
      <c r="O4" s="13" t="s">
        <v>309</v>
      </c>
      <c r="P4" s="13" t="s">
        <v>276</v>
      </c>
      <c r="Q4" s="13" t="s">
        <v>310</v>
      </c>
      <c r="R4" s="13" t="s">
        <v>277</v>
      </c>
      <c r="S4" s="13" t="s">
        <v>311</v>
      </c>
      <c r="T4" s="13" t="s">
        <v>278</v>
      </c>
      <c r="U4" s="13" t="s">
        <v>312</v>
      </c>
      <c r="V4" s="13" t="s">
        <v>279</v>
      </c>
      <c r="W4" s="13" t="s">
        <v>313</v>
      </c>
      <c r="X4" s="13" t="s">
        <v>280</v>
      </c>
      <c r="Y4" s="13" t="s">
        <v>314</v>
      </c>
      <c r="Z4" s="158" t="s">
        <v>5</v>
      </c>
      <c r="AA4" s="10" t="s">
        <v>28</v>
      </c>
      <c r="AB4" s="122" t="s">
        <v>208</v>
      </c>
      <c r="AC4" s="123" t="s">
        <v>209</v>
      </c>
      <c r="AD4" s="123" t="s">
        <v>274</v>
      </c>
      <c r="AE4" s="123" t="s">
        <v>308</v>
      </c>
      <c r="AF4" s="123" t="s">
        <v>275</v>
      </c>
      <c r="AG4" s="123" t="s">
        <v>309</v>
      </c>
      <c r="AH4" s="123" t="s">
        <v>276</v>
      </c>
      <c r="AI4" s="123" t="s">
        <v>310</v>
      </c>
      <c r="AJ4" s="123" t="s">
        <v>277</v>
      </c>
      <c r="AK4" s="123" t="s">
        <v>311</v>
      </c>
      <c r="AL4" s="123" t="s">
        <v>278</v>
      </c>
      <c r="AM4" s="123" t="s">
        <v>312</v>
      </c>
      <c r="AN4" s="123" t="s">
        <v>279</v>
      </c>
      <c r="AO4" s="123" t="s">
        <v>313</v>
      </c>
      <c r="AP4" s="123" t="s">
        <v>280</v>
      </c>
      <c r="AQ4" s="124" t="s">
        <v>314</v>
      </c>
    </row>
    <row r="5" spans="1:43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1370</v>
      </c>
      <c r="K6" s="26" t="s">
        <v>1355</v>
      </c>
      <c r="L6" s="26" t="s">
        <v>1356</v>
      </c>
      <c r="M6" s="26" t="s">
        <v>1357</v>
      </c>
      <c r="N6" s="26" t="s">
        <v>1358</v>
      </c>
      <c r="O6" s="26" t="s">
        <v>1359</v>
      </c>
      <c r="P6" s="26" t="s">
        <v>1360</v>
      </c>
      <c r="Q6" s="26" t="s">
        <v>1361</v>
      </c>
      <c r="R6" s="26" t="s">
        <v>1362</v>
      </c>
      <c r="S6" s="26" t="s">
        <v>1363</v>
      </c>
      <c r="T6" s="26" t="s">
        <v>1364</v>
      </c>
      <c r="U6" s="26" t="s">
        <v>1365</v>
      </c>
      <c r="V6" s="26" t="s">
        <v>1366</v>
      </c>
      <c r="W6" s="26" t="s">
        <v>1367</v>
      </c>
      <c r="X6" s="26" t="s">
        <v>1368</v>
      </c>
      <c r="Y6" s="26" t="s">
        <v>1369</v>
      </c>
      <c r="Z6" s="26" t="s">
        <v>1630</v>
      </c>
      <c r="AA6" s="26" t="s">
        <v>1001</v>
      </c>
      <c r="AB6" s="26" t="s">
        <v>585</v>
      </c>
      <c r="AC6" s="26" t="s">
        <v>586</v>
      </c>
      <c r="AD6" s="26" t="s">
        <v>587</v>
      </c>
      <c r="AE6" s="26" t="s">
        <v>588</v>
      </c>
      <c r="AF6" s="26" t="s">
        <v>589</v>
      </c>
      <c r="AG6" s="26" t="s">
        <v>590</v>
      </c>
      <c r="AH6" s="26" t="s">
        <v>591</v>
      </c>
      <c r="AI6" s="26" t="s">
        <v>592</v>
      </c>
      <c r="AJ6" s="26" t="s">
        <v>593</v>
      </c>
      <c r="AK6" s="26" t="s">
        <v>594</v>
      </c>
      <c r="AL6" s="26" t="s">
        <v>595</v>
      </c>
      <c r="AM6" s="26" t="s">
        <v>596</v>
      </c>
      <c r="AN6" s="26" t="s">
        <v>597</v>
      </c>
      <c r="AO6" s="26" t="s">
        <v>598</v>
      </c>
      <c r="AP6" s="26" t="s">
        <v>599</v>
      </c>
      <c r="AQ6" s="26" t="s">
        <v>600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/>
    </row>
    <row r="13" spans="1:43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/>
    </row>
    <row r="14" spans="1:43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/>
    </row>
    <row r="15" spans="1:43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/>
    </row>
    <row r="16" spans="1:43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/>
    </row>
  </sheetData>
  <mergeCells count="1">
    <mergeCell ref="A1:A2"/>
  </mergeCells>
  <conditionalFormatting sqref="J7:Z7">
    <cfRule type="expression" dxfId="1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zoomScale="85" zoomScaleNormal="85" workbookViewId="0">
      <pane ySplit="4" topLeftCell="A5" activePane="bottomLeft" state="frozen"/>
      <selection pane="bottomLeft" activeCell="AC7" sqref="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71"/>
      <c r="C1" s="135" t="s">
        <v>315</v>
      </c>
      <c r="D1" s="2"/>
      <c r="J1" s="113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42" t="s">
        <v>1634</v>
      </c>
      <c r="AC1" s="128"/>
      <c r="AD1" s="52" t="s">
        <v>1176</v>
      </c>
      <c r="AE1" s="113" t="s">
        <v>1175</v>
      </c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</row>
    <row r="2" spans="1:48" s="2" customFormat="1" x14ac:dyDescent="0.25">
      <c r="A2" s="17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6" t="s">
        <v>1662</v>
      </c>
      <c r="Y3" s="48"/>
      <c r="Z3" s="48"/>
      <c r="AA3" s="48"/>
      <c r="AB3" s="149" t="s">
        <v>1632</v>
      </c>
      <c r="AC3" s="155"/>
      <c r="AD3" s="61" t="s">
        <v>745</v>
      </c>
      <c r="AE3" s="119" t="s">
        <v>5</v>
      </c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19" t="s">
        <v>197</v>
      </c>
      <c r="AT3" s="120"/>
      <c r="AU3" s="120"/>
      <c r="AV3" s="121"/>
    </row>
    <row r="4" spans="1:48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274</v>
      </c>
      <c r="K4" s="13" t="s">
        <v>308</v>
      </c>
      <c r="L4" s="13" t="s">
        <v>275</v>
      </c>
      <c r="M4" s="13" t="s">
        <v>309</v>
      </c>
      <c r="N4" s="13" t="s">
        <v>276</v>
      </c>
      <c r="O4" s="13" t="s">
        <v>310</v>
      </c>
      <c r="P4" s="13" t="s">
        <v>277</v>
      </c>
      <c r="Q4" s="13" t="s">
        <v>311</v>
      </c>
      <c r="R4" s="13" t="s">
        <v>278</v>
      </c>
      <c r="S4" s="13" t="s">
        <v>312</v>
      </c>
      <c r="T4" s="13" t="s">
        <v>279</v>
      </c>
      <c r="U4" s="13" t="s">
        <v>313</v>
      </c>
      <c r="V4" s="13" t="s">
        <v>280</v>
      </c>
      <c r="W4" s="13" t="s">
        <v>314</v>
      </c>
      <c r="X4" s="8" t="s">
        <v>199</v>
      </c>
      <c r="Y4" s="13" t="s">
        <v>317</v>
      </c>
      <c r="Z4" s="13" t="s">
        <v>318</v>
      </c>
      <c r="AA4" s="13" t="s">
        <v>319</v>
      </c>
      <c r="AB4" s="150" t="s">
        <v>5</v>
      </c>
      <c r="AC4" s="156" t="s">
        <v>1662</v>
      </c>
      <c r="AD4" s="10" t="s">
        <v>315</v>
      </c>
      <c r="AE4" s="122" t="s">
        <v>274</v>
      </c>
      <c r="AF4" s="123" t="s">
        <v>308</v>
      </c>
      <c r="AG4" s="123" t="s">
        <v>275</v>
      </c>
      <c r="AH4" s="123" t="s">
        <v>309</v>
      </c>
      <c r="AI4" s="123" t="s">
        <v>276</v>
      </c>
      <c r="AJ4" s="123" t="s">
        <v>310</v>
      </c>
      <c r="AK4" s="123" t="s">
        <v>277</v>
      </c>
      <c r="AL4" s="123" t="s">
        <v>311</v>
      </c>
      <c r="AM4" s="123" t="s">
        <v>278</v>
      </c>
      <c r="AN4" s="123" t="s">
        <v>312</v>
      </c>
      <c r="AO4" s="123" t="s">
        <v>279</v>
      </c>
      <c r="AP4" s="123" t="s">
        <v>313</v>
      </c>
      <c r="AQ4" s="123" t="s">
        <v>280</v>
      </c>
      <c r="AR4" s="123" t="s">
        <v>314</v>
      </c>
      <c r="AS4" s="122" t="s">
        <v>199</v>
      </c>
      <c r="AT4" s="123" t="s">
        <v>317</v>
      </c>
      <c r="AU4" s="123" t="s">
        <v>318</v>
      </c>
      <c r="AV4" s="124" t="s">
        <v>319</v>
      </c>
    </row>
    <row r="5" spans="1:48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1372</v>
      </c>
      <c r="K6" s="26" t="s">
        <v>1373</v>
      </c>
      <c r="L6" s="26" t="s">
        <v>1374</v>
      </c>
      <c r="M6" s="26" t="s">
        <v>1375</v>
      </c>
      <c r="N6" s="26" t="s">
        <v>1376</v>
      </c>
      <c r="O6" s="26" t="s">
        <v>1377</v>
      </c>
      <c r="P6" s="26" t="s">
        <v>1378</v>
      </c>
      <c r="Q6" s="26" t="s">
        <v>1379</v>
      </c>
      <c r="R6" s="26" t="s">
        <v>1380</v>
      </c>
      <c r="S6" s="26" t="s">
        <v>1381</v>
      </c>
      <c r="T6" s="26" t="s">
        <v>1382</v>
      </c>
      <c r="U6" s="26" t="s">
        <v>1383</v>
      </c>
      <c r="V6" s="26" t="s">
        <v>1384</v>
      </c>
      <c r="W6" s="26" t="s">
        <v>1385</v>
      </c>
      <c r="X6" s="26" t="s">
        <v>1386</v>
      </c>
      <c r="Y6" s="26" t="s">
        <v>1387</v>
      </c>
      <c r="Z6" s="26" t="s">
        <v>1388</v>
      </c>
      <c r="AA6" s="26" t="s">
        <v>1389</v>
      </c>
      <c r="AB6" s="26" t="s">
        <v>1630</v>
      </c>
      <c r="AC6" s="26" t="s">
        <v>1631</v>
      </c>
      <c r="AD6" s="26" t="s">
        <v>1004</v>
      </c>
      <c r="AE6" s="26" t="s">
        <v>601</v>
      </c>
      <c r="AF6" s="26" t="s">
        <v>602</v>
      </c>
      <c r="AG6" s="26" t="s">
        <v>603</v>
      </c>
      <c r="AH6" s="26" t="s">
        <v>604</v>
      </c>
      <c r="AI6" s="26" t="s">
        <v>605</v>
      </c>
      <c r="AJ6" s="26" t="s">
        <v>606</v>
      </c>
      <c r="AK6" s="26" t="s">
        <v>607</v>
      </c>
      <c r="AL6" s="26" t="s">
        <v>608</v>
      </c>
      <c r="AM6" s="26" t="s">
        <v>609</v>
      </c>
      <c r="AN6" s="26" t="s">
        <v>610</v>
      </c>
      <c r="AO6" s="26" t="s">
        <v>611</v>
      </c>
      <c r="AP6" s="26" t="s">
        <v>612</v>
      </c>
      <c r="AQ6" s="26" t="s">
        <v>613</v>
      </c>
      <c r="AR6" s="26" t="s">
        <v>614</v>
      </c>
      <c r="AS6" s="26" t="s">
        <v>615</v>
      </c>
      <c r="AT6" s="26" t="s">
        <v>616</v>
      </c>
      <c r="AU6" s="26" t="s">
        <v>617</v>
      </c>
      <c r="AV6" s="26" t="s">
        <v>618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SUM(prep_new_T[[#This Row],[A_prep_new_1519_f]:[A_prep_new_o50_m]])</f>
        <v>0</v>
      </c>
      <c r="AC7" s="164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474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pane ySplit="4" topLeftCell="A5" activePane="bottomLeft" state="frozen"/>
      <selection pane="bottomLeft" activeCell="G4" sqref="G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4" customWidth="1"/>
  </cols>
  <sheetData>
    <row r="1" spans="1:29" s="1" customFormat="1" ht="23.25" x14ac:dyDescent="0.35">
      <c r="A1" s="171"/>
      <c r="C1" s="135" t="s">
        <v>16</v>
      </c>
      <c r="D1" s="2"/>
      <c r="J1" s="113" t="s">
        <v>1174</v>
      </c>
      <c r="K1" s="114"/>
      <c r="L1" s="114"/>
      <c r="M1" s="114"/>
      <c r="N1" s="114"/>
      <c r="O1" s="114"/>
      <c r="P1" s="114"/>
      <c r="Q1" s="114"/>
      <c r="R1" s="142" t="s">
        <v>1634</v>
      </c>
      <c r="S1" s="144"/>
      <c r="T1" s="52" t="s">
        <v>1176</v>
      </c>
      <c r="U1" s="53"/>
      <c r="V1" s="52" t="s">
        <v>1175</v>
      </c>
      <c r="W1" s="53"/>
      <c r="X1" s="53"/>
      <c r="Y1" s="53"/>
      <c r="Z1" s="71"/>
      <c r="AA1" s="71"/>
      <c r="AB1" s="71"/>
      <c r="AC1" s="71"/>
    </row>
    <row r="2" spans="1:29" s="2" customFormat="1" x14ac:dyDescent="0.25">
      <c r="A2" s="17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360</v>
      </c>
      <c r="K3" s="48"/>
      <c r="L3" s="48"/>
      <c r="M3" s="48"/>
      <c r="N3" s="46" t="s">
        <v>1615</v>
      </c>
      <c r="O3" s="48"/>
      <c r="P3" s="48"/>
      <c r="Q3" s="47"/>
      <c r="R3" s="154" t="s">
        <v>1632</v>
      </c>
      <c r="S3" s="154"/>
      <c r="T3" s="61" t="s">
        <v>91</v>
      </c>
      <c r="U3" s="63"/>
      <c r="V3" s="119" t="s">
        <v>360</v>
      </c>
      <c r="W3" s="120"/>
      <c r="X3" s="120"/>
      <c r="Y3" s="120"/>
      <c r="Z3" s="119" t="s">
        <v>1615</v>
      </c>
      <c r="AA3" s="120"/>
      <c r="AB3" s="120"/>
      <c r="AC3" s="121"/>
    </row>
    <row r="4" spans="1:29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1620</v>
      </c>
      <c r="K4" s="13" t="s">
        <v>1621</v>
      </c>
      <c r="L4" s="13" t="s">
        <v>1622</v>
      </c>
      <c r="M4" s="13" t="s">
        <v>1623</v>
      </c>
      <c r="N4" s="8" t="s">
        <v>1620</v>
      </c>
      <c r="O4" s="13" t="s">
        <v>1621</v>
      </c>
      <c r="P4" s="13" t="s">
        <v>1622</v>
      </c>
      <c r="Q4" s="9" t="s">
        <v>1623</v>
      </c>
      <c r="R4" s="152" t="s">
        <v>360</v>
      </c>
      <c r="S4" s="152" t="s">
        <v>1615</v>
      </c>
      <c r="T4" s="10" t="s">
        <v>1163</v>
      </c>
      <c r="U4" s="11" t="s">
        <v>92</v>
      </c>
      <c r="V4" s="122" t="s">
        <v>1620</v>
      </c>
      <c r="W4" s="123" t="s">
        <v>1621</v>
      </c>
      <c r="X4" s="123" t="s">
        <v>1622</v>
      </c>
      <c r="Y4" s="123" t="s">
        <v>1623</v>
      </c>
      <c r="Z4" s="122" t="s">
        <v>1620</v>
      </c>
      <c r="AA4" s="123" t="s">
        <v>1621</v>
      </c>
      <c r="AB4" s="123" t="s">
        <v>1622</v>
      </c>
      <c r="AC4" s="124" t="s">
        <v>1623</v>
      </c>
    </row>
    <row r="5" spans="1:29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0">
        <f>SUBTOTAL(109,tb_stat_T[D_tb_stat_D_fy19])</f>
        <v>0</v>
      </c>
      <c r="U5" s="60">
        <f>SUBTOTAL(109,tb_stat_T[D_tb_stat_fy19])</f>
        <v>0</v>
      </c>
      <c r="V5" s="60">
        <f>SUBTOTAL(109,tb_stat_T[tb_stat_D_u15_f])</f>
        <v>0</v>
      </c>
      <c r="W5" s="60">
        <f>SUBTOTAL(109,tb_stat_T[tb_stat_D_u15_m])</f>
        <v>0</v>
      </c>
      <c r="X5" s="60">
        <f>SUBTOTAL(109,tb_stat_T[tb_stat_D_o15_f])</f>
        <v>0</v>
      </c>
      <c r="Y5" s="60">
        <f>SUBTOTAL(109,tb_stat_T[tb_stat_D_o15_m])</f>
        <v>0</v>
      </c>
      <c r="Z5" s="60">
        <f>SUBTOTAL(109,tb_stat_T[tb_stat_u15_f_newneg])</f>
        <v>0</v>
      </c>
      <c r="AA5" s="60">
        <f>SUBTOTAL(109,tb_stat_T[tb_stat_u15_m_newneg])</f>
        <v>0</v>
      </c>
      <c r="AB5" s="60">
        <f>SUBTOTAL(109,tb_stat_T[tb_stat_o15_f_newneg])</f>
        <v>0</v>
      </c>
      <c r="AC5" s="60">
        <f>SUBTOTAL(109,tb_stat_T[tb_stat_o15_m_newneg])</f>
        <v>0</v>
      </c>
    </row>
    <row r="6" spans="1:29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1390</v>
      </c>
      <c r="K6" s="26" t="s">
        <v>1391</v>
      </c>
      <c r="L6" s="26" t="s">
        <v>1392</v>
      </c>
      <c r="M6" s="26" t="s">
        <v>1393</v>
      </c>
      <c r="N6" s="26" t="s">
        <v>1616</v>
      </c>
      <c r="O6" s="26" t="s">
        <v>1617</v>
      </c>
      <c r="P6" s="26" t="s">
        <v>1618</v>
      </c>
      <c r="Q6" s="26" t="s">
        <v>1619</v>
      </c>
      <c r="R6" s="26" t="s">
        <v>1630</v>
      </c>
      <c r="S6" s="26" t="s">
        <v>1631</v>
      </c>
      <c r="T6" s="26" t="s">
        <v>1131</v>
      </c>
      <c r="U6" s="26" t="s">
        <v>922</v>
      </c>
      <c r="V6" s="26" t="s">
        <v>639</v>
      </c>
      <c r="W6" s="26" t="s">
        <v>640</v>
      </c>
      <c r="X6" s="26" t="s">
        <v>641</v>
      </c>
      <c r="Y6" s="26" t="s">
        <v>642</v>
      </c>
      <c r="Z6" s="26" t="s">
        <v>817</v>
      </c>
      <c r="AA6" s="26" t="s">
        <v>818</v>
      </c>
      <c r="AB6" s="26" t="s">
        <v>819</v>
      </c>
      <c r="AC6" s="26" t="s">
        <v>820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1">
        <f>SUM(tb_stat_T[[#This Row],[A_tb_stat_D_u15_f]:[A_tb_stat_D_o15_m]])</f>
        <v>0</v>
      </c>
      <c r="S7" s="161">
        <f>SUM(tb_stat_T[[#This Row],[A_tb_stat_u15_f]:[A_tb_stat_o15_m]])</f>
        <v>0</v>
      </c>
      <c r="T7" s="42"/>
      <c r="U7" s="42"/>
      <c r="V7" s="64">
        <f>tb_stat_T[[D_tb_stat_D_fy19]:[D_tb_stat_D_fy19]]*tb_stat_T[A_tb_stat_D_u15_f]</f>
        <v>0</v>
      </c>
      <c r="W7" s="64">
        <f>tb_stat_T[[D_tb_stat_D_fy19]:[D_tb_stat_D_fy19]]*tb_stat_T[A_tb_stat_D_u15_m]</f>
        <v>0</v>
      </c>
      <c r="X7" s="64">
        <f>tb_stat_T[[D_tb_stat_D_fy19]:[D_tb_stat_D_fy19]]*tb_stat_T[A_tb_stat_D_o15_f]</f>
        <v>0</v>
      </c>
      <c r="Y7" s="64">
        <f>tb_stat_T[[D_tb_stat_D_fy19]:[D_tb_stat_D_fy19]]*tb_stat_T[A_tb_stat_D_o15_m]</f>
        <v>0</v>
      </c>
      <c r="Z7" s="64">
        <f>tb_stat_T[[D_tb_stat_fy19]:[D_tb_stat_fy19]]*tb_stat_T[A_tb_stat_u15_f]</f>
        <v>0</v>
      </c>
      <c r="AA7" s="64">
        <f>tb_stat_T[[D_tb_stat_fy19]:[D_tb_stat_fy19]]*tb_stat_T[A_tb_stat_u15_m]</f>
        <v>0</v>
      </c>
      <c r="AB7" s="64">
        <f>tb_stat_T[[D_tb_stat_fy19]:[D_tb_stat_fy19]]*tb_stat_T[A_tb_stat_o15_f]</f>
        <v>0</v>
      </c>
      <c r="AC7" s="64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</row>
    <row r="13" spans="1:2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2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</row>
    <row r="15" spans="1:2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2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</row>
    <row r="17" spans="1:1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</row>
    <row r="18" spans="1:1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</row>
    <row r="19" spans="1:1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</row>
    <row r="20" spans="1:1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</row>
    <row r="21" spans="1:1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</row>
    <row r="22" spans="1:1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</row>
    <row r="23" spans="1:1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</row>
    <row r="24" spans="1:1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</row>
    <row r="25" spans="1:1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1:1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1:1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1:1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</row>
    <row r="29" spans="1:1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</row>
    <row r="30" spans="1:1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</row>
    <row r="31" spans="1:1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</row>
    <row r="32" spans="1:1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</row>
    <row r="33" spans="1:1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</row>
    <row r="34" spans="1:1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</row>
    <row r="35" spans="1:1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</row>
    <row r="36" spans="1:1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</row>
    <row r="37" spans="1:1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1:1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1:1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</row>
    <row r="40" spans="1:1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</row>
    <row r="41" spans="1:1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</row>
    <row r="42" spans="1:1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</row>
    <row r="43" spans="1:1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</row>
    <row r="44" spans="1:1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</row>
    <row r="45" spans="1:1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</row>
    <row r="46" spans="1:1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</row>
    <row r="47" spans="1:1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</row>
    <row r="48" spans="1:1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</row>
    <row r="49" spans="1:1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</row>
    <row r="50" spans="1:1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</row>
    <row r="51" spans="1:1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</row>
    <row r="52" spans="1:1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</row>
    <row r="53" spans="1:1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</row>
    <row r="54" spans="1:1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</row>
    <row r="55" spans="1:1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</row>
    <row r="56" spans="1:1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</row>
    <row r="57" spans="1:1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</row>
    <row r="58" spans="1:1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</row>
    <row r="59" spans="1:1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</row>
    <row r="60" spans="1:1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</row>
    <row r="61" spans="1:1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</row>
    <row r="62" spans="1:1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</row>
    <row r="63" spans="1:1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</row>
    <row r="64" spans="1:1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</row>
    <row r="65" spans="1:1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</row>
    <row r="66" spans="1:1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</row>
    <row r="67" spans="1:1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</row>
    <row r="68" spans="1:1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</row>
    <row r="69" spans="1:1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</row>
    <row r="70" spans="1:1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</row>
    <row r="71" spans="1:1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</row>
    <row r="72" spans="1:1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</row>
    <row r="73" spans="1:1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</row>
    <row r="74" spans="1:1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</row>
    <row r="75" spans="1:1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</row>
    <row r="76" spans="1:1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</row>
    <row r="77" spans="1:1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</row>
    <row r="78" spans="1:1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</row>
    <row r="79" spans="1:1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</row>
    <row r="80" spans="1:1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</row>
    <row r="81" spans="1:1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</row>
    <row r="82" spans="1:1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</row>
    <row r="83" spans="1:1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</row>
    <row r="84" spans="1:1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</row>
    <row r="85" spans="1:1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</row>
    <row r="86" spans="1:1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</row>
    <row r="87" spans="1:1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</row>
    <row r="88" spans="1:1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</row>
    <row r="89" spans="1:1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</row>
    <row r="90" spans="1:1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</row>
    <row r="91" spans="1:1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</row>
    <row r="92" spans="1:1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</row>
    <row r="93" spans="1:1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</row>
    <row r="94" spans="1:1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</row>
    <row r="95" spans="1:1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</row>
    <row r="96" spans="1:1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</row>
    <row r="97" spans="1:1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</row>
    <row r="98" spans="1:1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</row>
    <row r="99" spans="1:1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</row>
    <row r="100" spans="1:1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</row>
    <row r="101" spans="1:1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</row>
    <row r="102" spans="1:1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</row>
    <row r="103" spans="1:1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</row>
    <row r="104" spans="1:1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</row>
    <row r="105" spans="1:1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</row>
    <row r="106" spans="1:1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</row>
    <row r="107" spans="1:1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</row>
    <row r="108" spans="1:1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</row>
    <row r="109" spans="1:1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</row>
    <row r="110" spans="1:1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</row>
    <row r="111" spans="1:1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</row>
    <row r="112" spans="1:1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</row>
    <row r="113" spans="1:1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</row>
    <row r="114" spans="1:1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</row>
    <row r="115" spans="1:1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</row>
    <row r="116" spans="1:1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</row>
    <row r="117" spans="1:1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</row>
    <row r="118" spans="1:1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</row>
    <row r="119" spans="1:1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</row>
    <row r="120" spans="1:1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</row>
    <row r="121" spans="1:1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</row>
    <row r="122" spans="1:1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</row>
    <row r="123" spans="1:1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</row>
    <row r="124" spans="1:1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</row>
    <row r="125" spans="1:1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</row>
    <row r="126" spans="1:1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</row>
    <row r="127" spans="1:1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</row>
    <row r="128" spans="1:1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</row>
    <row r="129" spans="1:1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</row>
    <row r="130" spans="1:1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</row>
    <row r="131" spans="1:1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</row>
    <row r="132" spans="1:1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</row>
    <row r="133" spans="1:1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</row>
    <row r="134" spans="1:1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</row>
    <row r="135" spans="1:1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</row>
    <row r="136" spans="1:1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</row>
    <row r="137" spans="1:1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</row>
    <row r="138" spans="1:1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</row>
    <row r="139" spans="1:1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</row>
    <row r="140" spans="1:1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</row>
    <row r="141" spans="1:1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</row>
    <row r="142" spans="1:1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</row>
    <row r="143" spans="1:1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</row>
    <row r="144" spans="1:1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</row>
    <row r="145" spans="1:1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</row>
    <row r="146" spans="1:1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</row>
    <row r="147" spans="1:1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</row>
    <row r="148" spans="1:1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</row>
    <row r="149" spans="1:1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</row>
    <row r="150" spans="1:1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</row>
    <row r="151" spans="1:1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</row>
    <row r="152" spans="1:1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</row>
    <row r="153" spans="1:1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</row>
    <row r="154" spans="1:1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</row>
    <row r="155" spans="1:1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</row>
    <row r="156" spans="1:1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</row>
    <row r="157" spans="1:1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</row>
    <row r="158" spans="1:1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</row>
    <row r="159" spans="1:1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</row>
    <row r="160" spans="1:1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</row>
    <row r="161" spans="1:1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</row>
    <row r="162" spans="1:1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</row>
    <row r="163" spans="1:1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</row>
    <row r="164" spans="1:1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</row>
    <row r="165" spans="1:1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</row>
    <row r="166" spans="1:1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</row>
    <row r="167" spans="1:1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</row>
    <row r="168" spans="1:1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</row>
    <row r="169" spans="1:1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</row>
    <row r="170" spans="1:1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</row>
    <row r="171" spans="1:1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</row>
    <row r="172" spans="1:1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</row>
    <row r="173" spans="1:1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</row>
    <row r="174" spans="1:1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</row>
    <row r="175" spans="1:1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</row>
    <row r="176" spans="1:1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</row>
    <row r="177" spans="1:1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</row>
    <row r="178" spans="1:1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</row>
    <row r="179" spans="1:1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</row>
    <row r="180" spans="1:1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</row>
    <row r="181" spans="1:1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</row>
    <row r="182" spans="1:1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</row>
    <row r="183" spans="1:1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</row>
    <row r="184" spans="1:1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</row>
    <row r="185" spans="1:1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</row>
    <row r="186" spans="1:1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</row>
    <row r="187" spans="1:1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</row>
    <row r="188" spans="1:1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</row>
    <row r="189" spans="1:1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</row>
    <row r="190" spans="1:1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</row>
    <row r="191" spans="1:1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</row>
    <row r="192" spans="1:1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</row>
    <row r="193" spans="1:1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</row>
    <row r="194" spans="1:1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</row>
    <row r="195" spans="1:1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</row>
    <row r="196" spans="1:1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</row>
    <row r="197" spans="1:1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</row>
    <row r="198" spans="1:1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</row>
    <row r="199" spans="1:1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</row>
    <row r="200" spans="1:1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</row>
    <row r="201" spans="1:1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</row>
    <row r="202" spans="1:1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</row>
    <row r="203" spans="1:1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</row>
    <row r="204" spans="1:1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</row>
    <row r="205" spans="1:1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</row>
    <row r="206" spans="1:1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</row>
    <row r="207" spans="1:1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</row>
    <row r="208" spans="1:1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</row>
    <row r="209" spans="1:1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</row>
    <row r="210" spans="1:1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</row>
    <row r="211" spans="1:1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</row>
    <row r="212" spans="1:1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</row>
    <row r="213" spans="1:1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</row>
    <row r="214" spans="1:1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</row>
    <row r="215" spans="1:1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</row>
    <row r="216" spans="1:1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</row>
    <row r="217" spans="1:1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</row>
    <row r="218" spans="1:1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</row>
    <row r="219" spans="1:1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</row>
    <row r="220" spans="1:1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</row>
    <row r="221" spans="1:1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</row>
    <row r="222" spans="1:1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</row>
    <row r="223" spans="1:1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</row>
    <row r="224" spans="1:1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</row>
    <row r="225" spans="1:1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</row>
    <row r="226" spans="1:1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</row>
    <row r="227" spans="1:1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</row>
    <row r="228" spans="1:1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</row>
    <row r="229" spans="1:1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</row>
    <row r="230" spans="1:1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</row>
    <row r="231" spans="1:1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</row>
    <row r="232" spans="1:1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</row>
    <row r="233" spans="1:1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</row>
    <row r="234" spans="1:1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</row>
    <row r="235" spans="1:1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</row>
    <row r="236" spans="1:1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</row>
    <row r="237" spans="1:1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</row>
    <row r="238" spans="1:1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</row>
    <row r="239" spans="1:1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</row>
    <row r="240" spans="1:1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</row>
    <row r="241" spans="1:1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</row>
    <row r="242" spans="1:1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</row>
    <row r="243" spans="1:1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</row>
    <row r="244" spans="1:1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</row>
    <row r="245" spans="1:1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</row>
    <row r="246" spans="1:1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</row>
    <row r="247" spans="1:1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</row>
    <row r="248" spans="1:1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</row>
    <row r="249" spans="1:1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</row>
    <row r="250" spans="1:1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</row>
    <row r="251" spans="1:1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</row>
    <row r="252" spans="1:1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</row>
    <row r="253" spans="1:1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</row>
    <row r="254" spans="1:1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</row>
    <row r="255" spans="1:1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</row>
    <row r="256" spans="1:1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</row>
    <row r="257" spans="1:1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</row>
    <row r="258" spans="1:1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</row>
    <row r="259" spans="1:1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</row>
    <row r="260" spans="1:1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</row>
    <row r="261" spans="1:1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</row>
    <row r="262" spans="1:1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</row>
    <row r="263" spans="1:1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</row>
    <row r="264" spans="1:1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</row>
    <row r="265" spans="1:1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</row>
    <row r="266" spans="1:1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</row>
    <row r="267" spans="1:1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</row>
    <row r="268" spans="1:1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</row>
    <row r="269" spans="1:1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</row>
    <row r="270" spans="1:1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</row>
    <row r="271" spans="1:1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</row>
    <row r="272" spans="1:1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</row>
    <row r="273" spans="1:1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</row>
    <row r="274" spans="1:1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</row>
    <row r="275" spans="1:1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</row>
    <row r="276" spans="1:1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</row>
    <row r="277" spans="1:1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</row>
    <row r="278" spans="1:1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</row>
    <row r="279" spans="1:1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</row>
    <row r="280" spans="1:1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</row>
    <row r="281" spans="1:1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</row>
    <row r="282" spans="1:1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</row>
    <row r="283" spans="1:1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</row>
    <row r="284" spans="1:1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</row>
    <row r="285" spans="1:1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</row>
    <row r="286" spans="1:1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</row>
    <row r="287" spans="1:1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</row>
    <row r="288" spans="1:1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</row>
    <row r="289" spans="1:1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</row>
    <row r="290" spans="1:1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</row>
    <row r="291" spans="1:1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</row>
    <row r="292" spans="1:1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</row>
    <row r="293" spans="1:1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</row>
    <row r="294" spans="1:1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</row>
    <row r="295" spans="1:1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</row>
    <row r="296" spans="1:1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</row>
    <row r="297" spans="1:1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</row>
    <row r="298" spans="1:1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</row>
    <row r="299" spans="1:1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</row>
    <row r="300" spans="1:1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</row>
    <row r="301" spans="1:1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</row>
    <row r="302" spans="1:1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</row>
    <row r="303" spans="1:1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</row>
    <row r="304" spans="1:1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</row>
    <row r="305" spans="1:1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</row>
    <row r="306" spans="1:1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</row>
    <row r="307" spans="1:1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</row>
    <row r="308" spans="1:1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</row>
    <row r="309" spans="1:1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</row>
    <row r="310" spans="1:1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</row>
    <row r="311" spans="1:1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</row>
    <row r="312" spans="1:1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</row>
    <row r="313" spans="1:1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</row>
    <row r="314" spans="1:1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</row>
    <row r="315" spans="1:1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</row>
    <row r="316" spans="1:1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</row>
    <row r="317" spans="1:1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</row>
    <row r="318" spans="1:1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</row>
    <row r="319" spans="1:1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</row>
    <row r="320" spans="1:1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</row>
    <row r="321" spans="1:1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</row>
    <row r="322" spans="1:1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</row>
    <row r="323" spans="1:1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</row>
    <row r="324" spans="1:1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</row>
    <row r="325" spans="1:1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</row>
    <row r="326" spans="1:1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</row>
    <row r="327" spans="1:1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</row>
    <row r="328" spans="1:1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</row>
    <row r="329" spans="1:1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</row>
    <row r="330" spans="1:1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</row>
    <row r="331" spans="1:1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</row>
    <row r="332" spans="1:1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</row>
    <row r="333" spans="1:1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</row>
    <row r="334" spans="1:1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</row>
    <row r="335" spans="1:1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</row>
    <row r="336" spans="1:1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</row>
    <row r="337" spans="1:1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</row>
    <row r="338" spans="1:1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</row>
    <row r="339" spans="1:1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</row>
    <row r="340" spans="1:1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</row>
    <row r="341" spans="1:1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</row>
    <row r="342" spans="1:1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</row>
    <row r="343" spans="1:1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</row>
    <row r="344" spans="1:1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</row>
    <row r="345" spans="1:1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</row>
    <row r="346" spans="1:1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</row>
    <row r="347" spans="1:1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</row>
    <row r="348" spans="1:1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</row>
    <row r="349" spans="1:1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</row>
    <row r="350" spans="1:1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</row>
    <row r="351" spans="1:1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</row>
    <row r="352" spans="1:1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</row>
    <row r="353" spans="1:1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</row>
    <row r="354" spans="1:1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</row>
    <row r="355" spans="1:1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</row>
    <row r="356" spans="1:1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</row>
    <row r="357" spans="1:1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</row>
    <row r="358" spans="1:1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</row>
    <row r="359" spans="1:1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</row>
    <row r="360" spans="1:1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</row>
    <row r="361" spans="1:1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</row>
    <row r="362" spans="1:1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</row>
    <row r="363" spans="1:1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</row>
    <row r="364" spans="1:1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</row>
    <row r="365" spans="1:1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</row>
    <row r="366" spans="1:1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</row>
    <row r="367" spans="1:1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</row>
    <row r="368" spans="1:1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</row>
    <row r="369" spans="1:1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</row>
    <row r="370" spans="1:1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</row>
    <row r="371" spans="1:1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</row>
    <row r="372" spans="1:1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</row>
    <row r="373" spans="1:1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</row>
    <row r="374" spans="1:1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</row>
    <row r="375" spans="1:1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</row>
    <row r="376" spans="1:1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</row>
    <row r="377" spans="1:1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</row>
    <row r="378" spans="1:1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</row>
    <row r="379" spans="1:1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</row>
    <row r="380" spans="1:1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</row>
    <row r="381" spans="1:1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</row>
    <row r="382" spans="1:1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</row>
    <row r="383" spans="1:1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</row>
    <row r="384" spans="1:1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</row>
    <row r="385" spans="1:1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</row>
    <row r="386" spans="1:1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</row>
    <row r="387" spans="1:1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</row>
    <row r="388" spans="1:1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</row>
    <row r="389" spans="1:1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</row>
    <row r="390" spans="1:1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</row>
    <row r="391" spans="1:1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</row>
    <row r="392" spans="1:1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</row>
    <row r="393" spans="1:1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</row>
    <row r="394" spans="1:1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</row>
    <row r="395" spans="1:1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</row>
    <row r="396" spans="1:1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</row>
    <row r="397" spans="1:1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</row>
    <row r="398" spans="1:1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</row>
    <row r="399" spans="1:1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</row>
    <row r="400" spans="1:1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</row>
    <row r="401" spans="1:1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</row>
    <row r="402" spans="1:1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</row>
    <row r="403" spans="1:1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</row>
    <row r="404" spans="1:1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</row>
    <row r="405" spans="1:1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</row>
    <row r="406" spans="1:1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</row>
    <row r="407" spans="1:1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</row>
    <row r="408" spans="1:1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</row>
    <row r="409" spans="1:1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</row>
    <row r="410" spans="1:1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</row>
    <row r="411" spans="1:1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</row>
    <row r="412" spans="1:1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</row>
    <row r="413" spans="1:1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</row>
    <row r="414" spans="1:1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</row>
    <row r="415" spans="1:1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</row>
    <row r="416" spans="1:1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</row>
    <row r="417" spans="1:1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</row>
    <row r="418" spans="1:1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</row>
    <row r="419" spans="1:1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</row>
    <row r="420" spans="1:1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</row>
    <row r="421" spans="1:1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</row>
    <row r="422" spans="1:1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</row>
    <row r="423" spans="1:1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</row>
    <row r="424" spans="1:1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</row>
    <row r="425" spans="1:1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</row>
    <row r="426" spans="1:1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</row>
    <row r="427" spans="1:1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</row>
    <row r="428" spans="1:1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</row>
    <row r="429" spans="1:1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</row>
    <row r="430" spans="1:1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</row>
    <row r="431" spans="1:1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</row>
    <row r="432" spans="1:1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</row>
    <row r="433" spans="1:1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</row>
    <row r="434" spans="1:1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</row>
    <row r="435" spans="1:1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</row>
    <row r="436" spans="1:1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</row>
    <row r="437" spans="1:1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</row>
    <row r="438" spans="1:1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</row>
    <row r="439" spans="1:1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</row>
    <row r="440" spans="1:1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</row>
    <row r="441" spans="1:1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</row>
    <row r="442" spans="1:1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</row>
    <row r="443" spans="1:1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</row>
    <row r="444" spans="1:1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</row>
    <row r="445" spans="1:1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</row>
    <row r="446" spans="1:1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</row>
    <row r="447" spans="1:1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</row>
    <row r="448" spans="1:1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</row>
    <row r="449" spans="1:1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</row>
    <row r="450" spans="1:1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</row>
    <row r="451" spans="1:1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</row>
    <row r="452" spans="1:1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</row>
    <row r="453" spans="1:1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</row>
    <row r="454" spans="1:1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</row>
    <row r="455" spans="1:1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</row>
    <row r="456" spans="1:1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</row>
    <row r="457" spans="1:1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</row>
    <row r="458" spans="1:1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</row>
    <row r="459" spans="1:1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</row>
    <row r="460" spans="1:1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</row>
    <row r="461" spans="1:1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</row>
    <row r="462" spans="1:1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</row>
    <row r="463" spans="1:1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</row>
    <row r="464" spans="1:1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</row>
    <row r="465" spans="1:1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</row>
    <row r="466" spans="1:1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</row>
    <row r="467" spans="1:1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</row>
    <row r="468" spans="1:1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</row>
    <row r="469" spans="1:1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</row>
    <row r="470" spans="1:1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</row>
    <row r="471" spans="1:1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</row>
    <row r="472" spans="1:1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</row>
    <row r="473" spans="1:1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</row>
    <row r="474" spans="1:1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</row>
    <row r="475" spans="1:1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</row>
    <row r="476" spans="1:1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</row>
    <row r="477" spans="1:1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</row>
    <row r="478" spans="1:1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</row>
    <row r="479" spans="1:1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</row>
    <row r="480" spans="1:1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</row>
    <row r="481" spans="1:1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</row>
    <row r="482" spans="1:1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</row>
    <row r="483" spans="1:1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</row>
    <row r="484" spans="1:1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</row>
    <row r="485" spans="1:1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</row>
    <row r="486" spans="1:1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</row>
    <row r="487" spans="1:1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</row>
    <row r="488" spans="1:1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</row>
    <row r="489" spans="1:1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</row>
    <row r="490" spans="1:1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</row>
    <row r="491" spans="1:1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</row>
    <row r="492" spans="1:1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</row>
    <row r="493" spans="1:1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</row>
    <row r="494" spans="1:1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</row>
    <row r="495" spans="1:1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</row>
    <row r="496" spans="1:1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</row>
    <row r="497" spans="1:1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</row>
    <row r="498" spans="1:1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</row>
    <row r="499" spans="1:1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</row>
    <row r="500" spans="1:1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</row>
    <row r="501" spans="1:1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</row>
    <row r="502" spans="1:1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</row>
    <row r="503" spans="1:1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</row>
    <row r="504" spans="1:1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</row>
    <row r="505" spans="1:1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</row>
    <row r="506" spans="1:1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</row>
    <row r="507" spans="1:1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</row>
    <row r="508" spans="1:1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</row>
    <row r="509" spans="1:1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</row>
    <row r="510" spans="1:1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</row>
    <row r="511" spans="1:1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</row>
    <row r="512" spans="1:1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</row>
    <row r="513" spans="1:1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</row>
    <row r="514" spans="1:1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</row>
    <row r="515" spans="1:1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</row>
    <row r="516" spans="1:1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</row>
    <row r="517" spans="1:1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</row>
    <row r="518" spans="1:1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</row>
    <row r="519" spans="1:1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</row>
    <row r="520" spans="1:1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</row>
    <row r="521" spans="1:1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</row>
    <row r="522" spans="1:1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</row>
    <row r="523" spans="1:1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</row>
    <row r="524" spans="1:1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</row>
    <row r="525" spans="1:1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</row>
    <row r="526" spans="1:1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</row>
    <row r="527" spans="1:1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</row>
    <row r="528" spans="1:1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</row>
    <row r="529" spans="1:1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</row>
    <row r="530" spans="1:1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</row>
    <row r="531" spans="1:1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</row>
    <row r="532" spans="1:1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</row>
    <row r="533" spans="1:1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</row>
    <row r="534" spans="1:1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</row>
    <row r="535" spans="1:1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</row>
    <row r="536" spans="1:1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</row>
    <row r="537" spans="1:1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</row>
    <row r="538" spans="1:1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</row>
    <row r="539" spans="1:1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</row>
    <row r="540" spans="1:1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</row>
    <row r="541" spans="1:1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</row>
    <row r="542" spans="1:1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</row>
    <row r="543" spans="1:1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</row>
    <row r="544" spans="1:1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</row>
    <row r="545" spans="1:1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</row>
    <row r="546" spans="1:1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</row>
    <row r="547" spans="1:1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</row>
    <row r="548" spans="1:1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</row>
    <row r="549" spans="1:1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</row>
    <row r="550" spans="1:1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</row>
    <row r="551" spans="1:1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</row>
    <row r="552" spans="1:1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</row>
    <row r="553" spans="1:1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</row>
    <row r="554" spans="1:1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</row>
    <row r="555" spans="1:1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</row>
    <row r="556" spans="1:1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</row>
    <row r="557" spans="1:1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</row>
    <row r="558" spans="1:1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</row>
    <row r="559" spans="1:1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</row>
    <row r="560" spans="1:1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</row>
    <row r="561" spans="1:1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</row>
    <row r="562" spans="1:1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</row>
    <row r="563" spans="1:1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</row>
    <row r="564" spans="1:1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</row>
    <row r="565" spans="1:1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</row>
    <row r="566" spans="1:1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</row>
    <row r="567" spans="1:1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</row>
    <row r="568" spans="1:1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</row>
    <row r="569" spans="1:1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</row>
    <row r="570" spans="1:1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</row>
    <row r="571" spans="1:1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</row>
    <row r="572" spans="1:1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</row>
    <row r="573" spans="1:1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</row>
    <row r="574" spans="1:1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</row>
    <row r="575" spans="1:1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</row>
    <row r="576" spans="1:1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</row>
    <row r="577" spans="1:1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</row>
    <row r="578" spans="1:1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</row>
    <row r="579" spans="1:1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</row>
    <row r="580" spans="1:1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</row>
    <row r="581" spans="1:1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</row>
    <row r="582" spans="1:1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</row>
    <row r="583" spans="1:1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</row>
    <row r="584" spans="1:1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</row>
    <row r="585" spans="1:1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</row>
    <row r="586" spans="1:1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</row>
    <row r="587" spans="1:1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</row>
    <row r="588" spans="1:1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</row>
    <row r="589" spans="1:1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</row>
    <row r="590" spans="1:1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</row>
    <row r="591" spans="1:1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</row>
    <row r="592" spans="1:1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</row>
    <row r="593" spans="1:1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</row>
    <row r="594" spans="1:1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</row>
    <row r="595" spans="1:1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</row>
    <row r="596" spans="1:1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</row>
    <row r="597" spans="1:1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</row>
    <row r="598" spans="1:1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</row>
    <row r="599" spans="1:1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</row>
    <row r="600" spans="1:1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</row>
    <row r="601" spans="1:1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</row>
    <row r="602" spans="1:1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</row>
    <row r="603" spans="1:1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</row>
    <row r="604" spans="1:1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</row>
    <row r="605" spans="1:1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</row>
    <row r="606" spans="1:1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</row>
    <row r="607" spans="1:1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</row>
    <row r="608" spans="1:1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</row>
    <row r="609" spans="1:1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</row>
    <row r="610" spans="1:1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</row>
    <row r="611" spans="1:1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</row>
    <row r="612" spans="1:1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</row>
    <row r="613" spans="1:1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</row>
    <row r="614" spans="1:1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</row>
    <row r="615" spans="1:1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</row>
    <row r="616" spans="1:1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</row>
    <row r="617" spans="1:1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</row>
    <row r="618" spans="1:1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</row>
    <row r="619" spans="1:1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</row>
    <row r="620" spans="1:1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</row>
    <row r="621" spans="1:1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</row>
    <row r="622" spans="1:1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</row>
    <row r="623" spans="1:1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</row>
    <row r="624" spans="1:1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</row>
    <row r="625" spans="1:1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</row>
    <row r="626" spans="1:1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</row>
    <row r="627" spans="1:1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</row>
    <row r="628" spans="1:1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</row>
    <row r="629" spans="1:1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</row>
    <row r="630" spans="1:1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</row>
    <row r="631" spans="1:1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</row>
    <row r="632" spans="1:1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</row>
    <row r="633" spans="1:1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</row>
    <row r="634" spans="1:1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</row>
    <row r="635" spans="1:1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</row>
    <row r="636" spans="1:1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</row>
    <row r="637" spans="1:1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</row>
    <row r="638" spans="1:1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</row>
    <row r="639" spans="1:1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</row>
    <row r="640" spans="1:1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</row>
    <row r="641" spans="1:1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</row>
    <row r="642" spans="1:1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</row>
    <row r="643" spans="1:1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</row>
    <row r="644" spans="1:1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</row>
    <row r="645" spans="1:1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</row>
    <row r="646" spans="1:1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</row>
    <row r="647" spans="1:1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</row>
    <row r="648" spans="1:1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</row>
    <row r="649" spans="1:1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</row>
    <row r="650" spans="1:1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</row>
    <row r="651" spans="1:1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</row>
    <row r="652" spans="1:1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</row>
    <row r="653" spans="1:1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</row>
    <row r="654" spans="1:1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</row>
    <row r="655" spans="1:1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</row>
    <row r="656" spans="1:1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</row>
    <row r="657" spans="1:1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</row>
    <row r="658" spans="1:1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</row>
    <row r="659" spans="1:1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</row>
    <row r="660" spans="1:1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</row>
    <row r="661" spans="1:1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</row>
    <row r="662" spans="1:1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</row>
    <row r="663" spans="1:1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</row>
    <row r="664" spans="1:1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</row>
    <row r="665" spans="1:1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</row>
    <row r="666" spans="1:1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</row>
    <row r="667" spans="1:1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</row>
    <row r="668" spans="1:1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</row>
    <row r="669" spans="1:1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</row>
    <row r="670" spans="1:1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</row>
    <row r="671" spans="1:1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</row>
    <row r="672" spans="1:1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</row>
    <row r="673" spans="1:1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</row>
    <row r="674" spans="1:1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</row>
    <row r="675" spans="1:1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</row>
    <row r="676" spans="1:1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</row>
    <row r="677" spans="1:1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</row>
    <row r="678" spans="1:1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</row>
    <row r="679" spans="1:1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</row>
    <row r="680" spans="1:1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</row>
    <row r="681" spans="1:1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</row>
    <row r="682" spans="1:1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</row>
    <row r="683" spans="1:1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</row>
    <row r="684" spans="1:1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</row>
    <row r="685" spans="1:1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</row>
    <row r="686" spans="1:1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</row>
    <row r="687" spans="1:1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</row>
    <row r="688" spans="1:1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</row>
    <row r="689" spans="1:1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</row>
    <row r="690" spans="1:1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</row>
    <row r="691" spans="1:1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</row>
    <row r="692" spans="1:1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</row>
    <row r="693" spans="1:1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</row>
    <row r="694" spans="1:1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</row>
    <row r="695" spans="1:1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</row>
    <row r="696" spans="1:1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</row>
    <row r="697" spans="1:1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</row>
    <row r="698" spans="1:1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</row>
    <row r="699" spans="1:1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</row>
    <row r="700" spans="1:1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</row>
    <row r="701" spans="1:1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</row>
    <row r="702" spans="1:1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</row>
    <row r="703" spans="1:1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</row>
    <row r="704" spans="1:1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</row>
    <row r="705" spans="1:1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</row>
    <row r="706" spans="1:1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</row>
    <row r="707" spans="1:1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</row>
    <row r="708" spans="1:1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</row>
    <row r="709" spans="1:1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</row>
    <row r="710" spans="1:1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</row>
    <row r="711" spans="1:1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</row>
    <row r="712" spans="1:1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</row>
    <row r="713" spans="1:1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</row>
    <row r="714" spans="1:1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</row>
    <row r="715" spans="1:1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</row>
    <row r="716" spans="1:1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</row>
    <row r="717" spans="1:1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</row>
    <row r="718" spans="1:1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</row>
    <row r="719" spans="1:1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</row>
    <row r="720" spans="1:1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</row>
    <row r="721" spans="1:1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</row>
    <row r="722" spans="1:1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</row>
    <row r="723" spans="1:1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</row>
    <row r="724" spans="1:1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</row>
    <row r="725" spans="1:1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</row>
    <row r="726" spans="1:1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</row>
    <row r="727" spans="1:1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</row>
    <row r="728" spans="1:1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</row>
    <row r="729" spans="1:1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</row>
    <row r="730" spans="1:1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</row>
    <row r="731" spans="1:1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</row>
    <row r="732" spans="1:1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</row>
    <row r="733" spans="1:1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</row>
    <row r="734" spans="1:1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</row>
    <row r="735" spans="1:1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</row>
    <row r="736" spans="1:1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</row>
    <row r="737" spans="1:1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</row>
    <row r="738" spans="1:1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</row>
    <row r="739" spans="1:1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</row>
    <row r="740" spans="1:1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</row>
    <row r="741" spans="1:1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</row>
    <row r="742" spans="1:1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</row>
    <row r="743" spans="1:1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</row>
    <row r="744" spans="1:1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</row>
    <row r="745" spans="1:1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</row>
    <row r="746" spans="1:1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</row>
    <row r="747" spans="1:1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</row>
    <row r="748" spans="1:1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</row>
    <row r="749" spans="1:1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</row>
    <row r="750" spans="1:1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</row>
    <row r="751" spans="1:1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</row>
    <row r="752" spans="1:1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</row>
    <row r="753" spans="1:1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</row>
    <row r="754" spans="1:1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</row>
    <row r="755" spans="1:1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</row>
    <row r="756" spans="1:1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</row>
    <row r="757" spans="1:1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</row>
    <row r="758" spans="1:1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</row>
    <row r="759" spans="1:1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</row>
    <row r="760" spans="1:1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</row>
    <row r="761" spans="1:1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</row>
    <row r="762" spans="1:1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</row>
    <row r="763" spans="1:1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</row>
    <row r="764" spans="1:1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</row>
    <row r="765" spans="1:1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</row>
    <row r="766" spans="1:1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</row>
    <row r="767" spans="1:1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</row>
    <row r="768" spans="1:1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</row>
    <row r="769" spans="1:1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</row>
    <row r="770" spans="1:1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</row>
    <row r="771" spans="1:1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</row>
    <row r="772" spans="1:1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</row>
    <row r="773" spans="1:1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</row>
    <row r="774" spans="1:1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</row>
    <row r="775" spans="1:1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</row>
    <row r="776" spans="1:1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</row>
    <row r="777" spans="1:1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</row>
    <row r="778" spans="1:1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</row>
    <row r="779" spans="1:1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</row>
    <row r="780" spans="1:1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</row>
    <row r="781" spans="1:1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</row>
    <row r="782" spans="1:1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</row>
    <row r="783" spans="1:1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</row>
    <row r="784" spans="1:1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</row>
    <row r="785" spans="1:1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</row>
    <row r="786" spans="1:1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</row>
    <row r="787" spans="1:1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</row>
    <row r="788" spans="1:1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</row>
    <row r="789" spans="1:1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</row>
    <row r="790" spans="1:1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</row>
    <row r="791" spans="1:1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</row>
    <row r="792" spans="1:1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</row>
    <row r="793" spans="1:1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</row>
    <row r="794" spans="1:1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</row>
    <row r="795" spans="1:1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</row>
    <row r="796" spans="1:1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</row>
    <row r="797" spans="1:1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</row>
    <row r="798" spans="1:1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</row>
    <row r="799" spans="1:1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</row>
    <row r="800" spans="1:1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</row>
    <row r="801" spans="1:1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</row>
    <row r="802" spans="1:1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</row>
    <row r="803" spans="1:1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</row>
    <row r="804" spans="1:1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</row>
    <row r="805" spans="1:1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</row>
    <row r="806" spans="1:1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</row>
    <row r="807" spans="1:1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</row>
    <row r="808" spans="1:1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</row>
    <row r="809" spans="1:1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</row>
    <row r="810" spans="1:1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</row>
    <row r="811" spans="1:1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</row>
    <row r="812" spans="1:1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</row>
    <row r="813" spans="1:1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</row>
    <row r="814" spans="1:1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</row>
    <row r="815" spans="1:1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</row>
    <row r="816" spans="1:1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</row>
    <row r="817" spans="1:1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</row>
    <row r="818" spans="1:1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</row>
    <row r="819" spans="1:1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</row>
    <row r="820" spans="1:1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</row>
    <row r="821" spans="1:1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</row>
    <row r="822" spans="1:1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</row>
    <row r="823" spans="1:1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</row>
    <row r="824" spans="1:1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</row>
    <row r="825" spans="1:1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</row>
    <row r="826" spans="1:1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</row>
    <row r="827" spans="1:1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</row>
    <row r="828" spans="1:1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</row>
    <row r="829" spans="1:1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</row>
    <row r="830" spans="1:1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</row>
    <row r="831" spans="1:1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</row>
    <row r="832" spans="1:1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</row>
    <row r="833" spans="1:1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</row>
    <row r="834" spans="1:1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</row>
    <row r="835" spans="1:1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</row>
    <row r="836" spans="1:1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</row>
    <row r="837" spans="1:1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</row>
    <row r="838" spans="1:1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</row>
    <row r="839" spans="1:1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</row>
    <row r="840" spans="1:1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</row>
    <row r="841" spans="1:1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</row>
    <row r="842" spans="1:1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</row>
    <row r="843" spans="1:1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</row>
    <row r="844" spans="1:1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</row>
    <row r="845" spans="1:1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</row>
    <row r="846" spans="1:1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</row>
    <row r="847" spans="1:1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</row>
    <row r="848" spans="1:1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</row>
    <row r="849" spans="1:1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</row>
    <row r="850" spans="1:1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</row>
    <row r="851" spans="1:1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</row>
    <row r="852" spans="1:1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</row>
    <row r="853" spans="1:1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</row>
    <row r="854" spans="1:1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</row>
    <row r="855" spans="1:1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</row>
    <row r="856" spans="1:1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</row>
    <row r="857" spans="1:1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</row>
    <row r="858" spans="1:1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</row>
    <row r="859" spans="1:1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</row>
    <row r="860" spans="1:1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</row>
    <row r="861" spans="1:1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</row>
    <row r="862" spans="1:1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</row>
    <row r="863" spans="1:1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</row>
    <row r="864" spans="1:1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</row>
    <row r="865" spans="1:1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</row>
    <row r="866" spans="1:1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</row>
    <row r="867" spans="1:1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</row>
    <row r="868" spans="1:1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</row>
    <row r="869" spans="1:1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</row>
    <row r="870" spans="1:1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</row>
    <row r="871" spans="1:1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</row>
    <row r="872" spans="1:1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</row>
    <row r="873" spans="1:1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</row>
    <row r="874" spans="1:1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</row>
    <row r="875" spans="1:1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</row>
    <row r="876" spans="1:1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</row>
    <row r="877" spans="1:1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</row>
    <row r="878" spans="1:1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</row>
    <row r="879" spans="1:1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</row>
    <row r="880" spans="1:1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</row>
    <row r="881" spans="1:1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</row>
    <row r="882" spans="1:1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</row>
    <row r="883" spans="1:1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</row>
    <row r="884" spans="1:1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</row>
    <row r="885" spans="1:1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</row>
    <row r="886" spans="1:1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</row>
    <row r="887" spans="1:1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</row>
    <row r="888" spans="1:1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</row>
    <row r="889" spans="1:1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</row>
    <row r="890" spans="1:1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</row>
    <row r="891" spans="1:1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</row>
    <row r="892" spans="1:1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</row>
    <row r="893" spans="1:1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</row>
    <row r="894" spans="1:1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</row>
    <row r="895" spans="1:1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</row>
    <row r="896" spans="1:1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</row>
    <row r="897" spans="1:1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</row>
    <row r="898" spans="1:1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</row>
    <row r="899" spans="1:1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</row>
    <row r="900" spans="1:1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</row>
    <row r="901" spans="1:1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</row>
    <row r="902" spans="1:1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</row>
    <row r="903" spans="1:1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</row>
    <row r="904" spans="1:1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</row>
    <row r="905" spans="1:1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</row>
    <row r="906" spans="1:1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</row>
    <row r="907" spans="1:1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</row>
    <row r="908" spans="1:1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</row>
    <row r="909" spans="1:1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</row>
    <row r="910" spans="1:1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</row>
    <row r="911" spans="1:1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</row>
    <row r="912" spans="1:1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</row>
    <row r="913" spans="1:1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</row>
    <row r="914" spans="1:1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</row>
    <row r="915" spans="1:1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</row>
    <row r="916" spans="1:1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</row>
    <row r="917" spans="1:1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</row>
    <row r="918" spans="1:1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</row>
    <row r="919" spans="1:1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</row>
    <row r="920" spans="1:1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</row>
    <row r="921" spans="1:1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</row>
    <row r="922" spans="1:1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</row>
    <row r="923" spans="1:1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</row>
    <row r="924" spans="1:1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</row>
    <row r="925" spans="1:1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</row>
    <row r="926" spans="1:1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</row>
    <row r="927" spans="1:1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</row>
    <row r="928" spans="1:1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</row>
    <row r="929" spans="1:1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</row>
    <row r="930" spans="1:1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</row>
    <row r="931" spans="1:1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</row>
    <row r="932" spans="1:1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</row>
    <row r="933" spans="1:1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</row>
    <row r="934" spans="1:1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</row>
    <row r="935" spans="1:1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</row>
    <row r="936" spans="1:1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</row>
    <row r="937" spans="1:1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</row>
    <row r="938" spans="1:1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</row>
    <row r="939" spans="1:1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</row>
    <row r="940" spans="1:1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</row>
    <row r="941" spans="1:1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</row>
    <row r="942" spans="1:1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</row>
    <row r="943" spans="1:1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</row>
    <row r="944" spans="1:1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</row>
    <row r="945" spans="1:1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</row>
    <row r="946" spans="1:1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</row>
    <row r="947" spans="1:1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</row>
    <row r="948" spans="1:1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</row>
    <row r="949" spans="1:1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</row>
    <row r="950" spans="1:1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</row>
    <row r="951" spans="1:1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</row>
    <row r="952" spans="1:1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</row>
    <row r="953" spans="1:1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</row>
    <row r="954" spans="1:1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</row>
    <row r="955" spans="1:1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</row>
    <row r="956" spans="1:1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</row>
    <row r="957" spans="1:1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</row>
    <row r="958" spans="1:1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</row>
    <row r="959" spans="1:1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</row>
    <row r="960" spans="1:1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</row>
    <row r="961" spans="1:1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</row>
    <row r="962" spans="1:1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</row>
    <row r="963" spans="1:1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</row>
    <row r="964" spans="1:1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</row>
    <row r="965" spans="1:1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</row>
    <row r="966" spans="1:1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</row>
    <row r="967" spans="1:1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</row>
    <row r="968" spans="1:1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</row>
    <row r="969" spans="1:1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</row>
    <row r="970" spans="1:1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</row>
    <row r="971" spans="1:1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</row>
    <row r="972" spans="1:1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</row>
    <row r="973" spans="1:1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</row>
    <row r="974" spans="1:1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</row>
    <row r="975" spans="1:1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</row>
    <row r="976" spans="1:1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</row>
    <row r="977" spans="1:1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</row>
    <row r="978" spans="1:1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</row>
    <row r="979" spans="1:1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</row>
    <row r="980" spans="1:1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</row>
    <row r="981" spans="1:1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</row>
    <row r="982" spans="1:1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</row>
    <row r="983" spans="1:1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</row>
    <row r="984" spans="1:1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</row>
    <row r="985" spans="1:1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</row>
    <row r="986" spans="1:1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</row>
    <row r="987" spans="1:1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</row>
    <row r="988" spans="1:1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</row>
    <row r="989" spans="1:1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</row>
    <row r="990" spans="1:1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</row>
    <row r="991" spans="1:1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</row>
    <row r="992" spans="1:1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</row>
    <row r="993" spans="1:1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</row>
    <row r="994" spans="1:1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</row>
    <row r="995" spans="1:1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</row>
    <row r="996" spans="1:1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</row>
    <row r="997" spans="1:1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</row>
    <row r="998" spans="1:1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</row>
    <row r="999" spans="1:1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</row>
    <row r="1000" spans="1:1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</row>
    <row r="1001" spans="1:1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</row>
    <row r="1002" spans="1:1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</row>
    <row r="1003" spans="1:1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</row>
    <row r="1004" spans="1:1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</row>
    <row r="1005" spans="1:1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</row>
    <row r="1006" spans="1:1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</row>
    <row r="1007" spans="1:1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</row>
    <row r="1008" spans="1:1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</row>
    <row r="1009" spans="1:1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</row>
    <row r="1010" spans="1:1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</row>
    <row r="1011" spans="1:1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</row>
    <row r="1012" spans="1:1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</row>
    <row r="1013" spans="1:1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</row>
    <row r="1014" spans="1:1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</row>
    <row r="1015" spans="1:1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</row>
    <row r="1016" spans="1:1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</row>
    <row r="1017" spans="1:1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</row>
    <row r="1018" spans="1:1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</row>
    <row r="1019" spans="1:1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</row>
    <row r="1020" spans="1:1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</row>
    <row r="1021" spans="1:1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</row>
    <row r="1022" spans="1:1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</row>
    <row r="1023" spans="1:1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</row>
    <row r="1024" spans="1:1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</row>
    <row r="1025" spans="1:1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</row>
    <row r="1026" spans="1:1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</row>
    <row r="1027" spans="1:1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</row>
    <row r="1028" spans="1:1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</row>
    <row r="1029" spans="1:1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</row>
    <row r="1030" spans="1:1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</row>
    <row r="1031" spans="1:1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</row>
    <row r="1032" spans="1:1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</row>
    <row r="1033" spans="1:1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</row>
    <row r="1034" spans="1:1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</row>
    <row r="1035" spans="1:1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</row>
    <row r="1036" spans="1:1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</row>
    <row r="1037" spans="1:1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</row>
    <row r="1038" spans="1:1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</row>
    <row r="1039" spans="1:1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</row>
    <row r="1040" spans="1:1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</row>
    <row r="1041" spans="1:1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</row>
    <row r="1042" spans="1:1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</row>
    <row r="1043" spans="1:1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</row>
    <row r="1044" spans="1:1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</row>
    <row r="1045" spans="1:1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</row>
    <row r="1046" spans="1:1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</row>
    <row r="1047" spans="1:1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</row>
    <row r="1048" spans="1:1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</row>
    <row r="1049" spans="1:1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</row>
    <row r="1050" spans="1:1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</row>
    <row r="1051" spans="1:1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</row>
    <row r="1052" spans="1:1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</row>
    <row r="1053" spans="1:1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</row>
    <row r="1054" spans="1:1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</row>
    <row r="1055" spans="1:1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</row>
    <row r="1056" spans="1:1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</row>
    <row r="1057" spans="1:1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</row>
    <row r="1058" spans="1:1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</row>
    <row r="1059" spans="1:1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</row>
    <row r="1060" spans="1:1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</row>
    <row r="1061" spans="1:1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</row>
    <row r="1062" spans="1:1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</row>
    <row r="1063" spans="1:1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</row>
    <row r="1064" spans="1:1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</row>
    <row r="1065" spans="1:1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</row>
    <row r="1066" spans="1:1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</row>
    <row r="1067" spans="1:1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</row>
    <row r="1068" spans="1:1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</row>
    <row r="1069" spans="1:1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</row>
    <row r="1070" spans="1:1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</row>
    <row r="1071" spans="1:1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</row>
    <row r="1072" spans="1:1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</row>
    <row r="1073" spans="1:1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</row>
    <row r="1074" spans="1:1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</row>
    <row r="1075" spans="1:1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</row>
    <row r="1076" spans="1:1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</row>
    <row r="1077" spans="1:1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</row>
    <row r="1078" spans="1:1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</row>
    <row r="1079" spans="1:1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</row>
    <row r="1080" spans="1:1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</row>
    <row r="1081" spans="1:1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</row>
    <row r="1082" spans="1:1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</row>
    <row r="1083" spans="1:1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</row>
    <row r="1084" spans="1:1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</row>
    <row r="1085" spans="1:1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</row>
    <row r="1086" spans="1:1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</row>
    <row r="1087" spans="1:1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</row>
    <row r="1088" spans="1:1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</row>
    <row r="1089" spans="1:1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</row>
    <row r="1090" spans="1:1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</row>
    <row r="1091" spans="1:1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</row>
    <row r="1092" spans="1:1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</row>
    <row r="1093" spans="1:1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</row>
    <row r="1094" spans="1:1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</row>
    <row r="1095" spans="1:1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</row>
    <row r="1096" spans="1:1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</row>
    <row r="1097" spans="1:1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</row>
    <row r="1098" spans="1:1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</row>
    <row r="1099" spans="1:1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</row>
    <row r="1100" spans="1:1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</row>
    <row r="1101" spans="1:1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</row>
    <row r="1102" spans="1:1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</row>
    <row r="1103" spans="1:1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</row>
    <row r="1104" spans="1:1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</row>
    <row r="1105" spans="1:1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</row>
    <row r="1106" spans="1:1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</row>
    <row r="1107" spans="1:1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</row>
    <row r="1108" spans="1:1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</row>
    <row r="1109" spans="1:1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</row>
    <row r="1110" spans="1:1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</row>
    <row r="1111" spans="1:1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</row>
    <row r="1112" spans="1:1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</row>
    <row r="1113" spans="1:1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</row>
    <row r="1114" spans="1:1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</row>
    <row r="1115" spans="1:1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</row>
    <row r="1116" spans="1:1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</row>
    <row r="1117" spans="1:1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</row>
    <row r="1118" spans="1:1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</row>
    <row r="1119" spans="1:1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</row>
    <row r="1120" spans="1:1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</row>
    <row r="1121" spans="1:1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</row>
    <row r="1122" spans="1:1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</row>
    <row r="1123" spans="1:1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</row>
    <row r="1124" spans="1:1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</row>
    <row r="1125" spans="1:1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</row>
    <row r="1126" spans="1:1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</row>
    <row r="1127" spans="1:1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</row>
    <row r="1128" spans="1:1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</row>
    <row r="1129" spans="1:1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</row>
    <row r="1130" spans="1:1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</row>
    <row r="1131" spans="1:1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</row>
    <row r="1132" spans="1:1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</row>
    <row r="1133" spans="1:1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</row>
    <row r="1134" spans="1:1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</row>
    <row r="1135" spans="1:1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</row>
    <row r="1136" spans="1:1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</row>
    <row r="1137" spans="1:1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</row>
    <row r="1138" spans="1:1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</row>
    <row r="1139" spans="1:1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</row>
    <row r="1140" spans="1:1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</row>
    <row r="1141" spans="1:1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</row>
    <row r="1142" spans="1:1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</row>
    <row r="1143" spans="1:1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</row>
    <row r="1144" spans="1:1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</row>
    <row r="1145" spans="1:1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</row>
    <row r="1146" spans="1:1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</row>
    <row r="1147" spans="1:1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</row>
    <row r="1148" spans="1:1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</row>
    <row r="1149" spans="1:1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</row>
    <row r="1150" spans="1:1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</row>
    <row r="1151" spans="1:1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</row>
    <row r="1152" spans="1:1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</row>
    <row r="1153" spans="3:1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</row>
    <row r="1154" spans="3:1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</row>
  </sheetData>
  <mergeCells count="1">
    <mergeCell ref="A1:A2"/>
  </mergeCells>
  <conditionalFormatting sqref="J7:M7">
    <cfRule type="expression" dxfId="425" priority="2">
      <formula>$T7=0</formula>
    </cfRule>
  </conditionalFormatting>
  <conditionalFormatting sqref="N7:S7">
    <cfRule type="expression" dxfId="424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4" customWidth="1"/>
    <col min="19" max="20" width="9.140625" style="104"/>
    <col min="21" max="21" width="11.5703125" style="104" customWidth="1"/>
    <col min="22" max="16384" width="9.140625" style="104"/>
  </cols>
  <sheetData>
    <row r="1" spans="1:21" s="1" customFormat="1" ht="23.25" x14ac:dyDescent="0.35">
      <c r="A1" s="171"/>
      <c r="C1" s="135" t="s">
        <v>17</v>
      </c>
      <c r="D1" s="2"/>
      <c r="J1" s="116" t="s">
        <v>1174</v>
      </c>
      <c r="K1" s="117"/>
      <c r="L1" s="117"/>
      <c r="M1" s="117"/>
      <c r="N1" s="159" t="s">
        <v>1634</v>
      </c>
      <c r="O1" s="116" t="s">
        <v>1176</v>
      </c>
      <c r="P1" s="117"/>
      <c r="Q1" s="117"/>
      <c r="R1" s="116" t="s">
        <v>1175</v>
      </c>
      <c r="S1" s="117"/>
      <c r="T1" s="117"/>
      <c r="U1" s="117"/>
    </row>
    <row r="2" spans="1:21" s="2" customFormat="1" x14ac:dyDescent="0.25">
      <c r="A2" s="17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320</v>
      </c>
      <c r="K3" s="48"/>
      <c r="L3" s="48"/>
      <c r="M3" s="48"/>
      <c r="N3" s="157" t="s">
        <v>1632</v>
      </c>
      <c r="O3" s="63" t="s">
        <v>91</v>
      </c>
      <c r="P3" s="63"/>
      <c r="Q3" s="63"/>
      <c r="R3" s="119" t="s">
        <v>320</v>
      </c>
      <c r="S3" s="120"/>
      <c r="T3" s="120"/>
      <c r="U3" s="121"/>
    </row>
    <row r="4" spans="1:21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13" t="s">
        <v>322</v>
      </c>
      <c r="L4" s="13" t="s">
        <v>323</v>
      </c>
      <c r="M4" s="13" t="s">
        <v>324</v>
      </c>
      <c r="N4" s="158" t="s">
        <v>320</v>
      </c>
      <c r="O4" s="11" t="s">
        <v>93</v>
      </c>
      <c r="P4" s="11" t="s">
        <v>1161</v>
      </c>
      <c r="Q4" s="11" t="s">
        <v>1162</v>
      </c>
      <c r="R4" s="122" t="s">
        <v>321</v>
      </c>
      <c r="S4" s="123" t="s">
        <v>322</v>
      </c>
      <c r="T4" s="123" t="s">
        <v>323</v>
      </c>
      <c r="U4" s="124" t="s">
        <v>324</v>
      </c>
    </row>
    <row r="5" spans="1:21" x14ac:dyDescent="0.25">
      <c r="A5" s="14"/>
      <c r="C5" s="1" t="s">
        <v>1101</v>
      </c>
      <c r="J5" s="62"/>
      <c r="K5" s="62"/>
      <c r="L5" s="62"/>
      <c r="M5" s="62"/>
      <c r="N5" s="62"/>
      <c r="O5" s="60">
        <f>SUBTOTAL(109,tb_art_T[D_tb_art_fy19])</f>
        <v>0</v>
      </c>
      <c r="P5" s="60">
        <f>SUBTOTAL(109,tb_art_T[D_tb_art_new_fy19])</f>
        <v>0</v>
      </c>
      <c r="Q5" s="60">
        <f>SUBTOTAL(109,tb_art_T[D_tb_art_already_fy19])</f>
        <v>0</v>
      </c>
      <c r="R5" s="60">
        <f>SUBTOTAL(109,tb_art_T[tb_art_u15_f_pos])</f>
        <v>0</v>
      </c>
      <c r="S5" s="60">
        <f>SUBTOTAL(109,tb_art_T[tb_art_u15_m_pos])</f>
        <v>0</v>
      </c>
      <c r="T5" s="60">
        <f>SUBTOTAL(109,tb_art_T[tb_art_o15_f_pos])</f>
        <v>0</v>
      </c>
      <c r="U5" s="60">
        <f>SUBTOTAL(109,tb_art_T[tb_art_o15_m_pos])</f>
        <v>0</v>
      </c>
    </row>
    <row r="6" spans="1:21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1394</v>
      </c>
      <c r="K6" s="26" t="s">
        <v>1395</v>
      </c>
      <c r="L6" s="26" t="s">
        <v>1396</v>
      </c>
      <c r="M6" s="26" t="s">
        <v>1397</v>
      </c>
      <c r="N6" s="26" t="s">
        <v>1630</v>
      </c>
      <c r="O6" s="26" t="s">
        <v>923</v>
      </c>
      <c r="P6" s="26" t="s">
        <v>1156</v>
      </c>
      <c r="Q6" s="26" t="s">
        <v>1157</v>
      </c>
      <c r="R6" s="26" t="s">
        <v>619</v>
      </c>
      <c r="S6" s="26" t="s">
        <v>620</v>
      </c>
      <c r="T6" s="26" t="s">
        <v>621</v>
      </c>
      <c r="U6" s="26" t="s">
        <v>622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1">
        <f>SUM(tb_art_T[[#This Row],[A_tb_art_u15_f_pos]:[A_tb_art_o15_m_pos]])</f>
        <v>0</v>
      </c>
      <c r="O7" s="42"/>
      <c r="P7" s="42"/>
      <c r="Q7" s="42"/>
      <c r="R7" s="64">
        <f>tb_art_T[[D_tb_art_fy19]:[D_tb_art_fy19]]*tb_art_T[A_tb_art_u15_f_pos]</f>
        <v>0</v>
      </c>
      <c r="S7" s="64">
        <f>tb_art_T[[D_tb_art_fy19]:[D_tb_art_fy19]]*tb_art_T[A_tb_art_u15_m_pos]</f>
        <v>0</v>
      </c>
      <c r="T7" s="64">
        <f>tb_art_T[[D_tb_art_fy19]:[D_tb_art_fy19]]*tb_art_T[A_tb_art_o15_f_pos]</f>
        <v>0</v>
      </c>
      <c r="U7" s="64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</row>
    <row r="13" spans="1:21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</row>
    <row r="14" spans="1:21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</row>
    <row r="15" spans="1:21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</row>
    <row r="16" spans="1:21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</row>
    <row r="17" spans="1:14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</row>
    <row r="18" spans="1:14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</row>
    <row r="19" spans="1:14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</row>
    <row r="20" spans="1:14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</row>
    <row r="21" spans="1:14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</row>
    <row r="22" spans="1:14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</row>
    <row r="23" spans="1:14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</row>
    <row r="24" spans="1:14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</row>
    <row r="25" spans="1:14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</row>
    <row r="26" spans="1:14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</row>
    <row r="27" spans="1:14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</row>
    <row r="29" spans="1:14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</row>
    <row r="30" spans="1:14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</row>
    <row r="31" spans="1:14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</row>
    <row r="32" spans="1:14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</row>
    <row r="33" spans="1:14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</row>
    <row r="34" spans="1:14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</row>
    <row r="35" spans="1:14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</row>
    <row r="36" spans="1:14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</row>
    <row r="37" spans="1:14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</row>
    <row r="38" spans="1:14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</row>
    <row r="39" spans="1:14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</row>
    <row r="40" spans="1:14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</row>
    <row r="41" spans="1:14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</row>
    <row r="42" spans="1:14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</row>
    <row r="43" spans="1:14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</row>
    <row r="44" spans="1:14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</row>
    <row r="45" spans="1:14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</row>
    <row r="46" spans="1:14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</row>
    <row r="47" spans="1:14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</row>
    <row r="48" spans="1:14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</row>
    <row r="49" spans="1:14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</row>
    <row r="50" spans="1:14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</row>
    <row r="52" spans="1:14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</row>
    <row r="53" spans="1:14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</row>
    <row r="54" spans="1:14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</row>
    <row r="55" spans="1:14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</row>
    <row r="56" spans="1:14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</row>
    <row r="57" spans="1:14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</row>
    <row r="58" spans="1:14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</row>
    <row r="59" spans="1:14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</row>
    <row r="60" spans="1:14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</row>
    <row r="61" spans="1:14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</row>
    <row r="62" spans="1:14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</row>
    <row r="63" spans="1:14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</row>
    <row r="64" spans="1:14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</row>
    <row r="65" spans="1:14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</row>
    <row r="66" spans="1:14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</row>
    <row r="67" spans="1:14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</row>
    <row r="68" spans="1:14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</row>
    <row r="69" spans="1:14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</row>
    <row r="70" spans="1:14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</row>
    <row r="71" spans="1:14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</row>
    <row r="72" spans="1:14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</row>
    <row r="73" spans="1:14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</row>
    <row r="75" spans="1:14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</row>
    <row r="76" spans="1:14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</row>
    <row r="77" spans="1:14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</row>
    <row r="78" spans="1:14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</row>
    <row r="79" spans="1:14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</row>
    <row r="80" spans="1:14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</row>
    <row r="81" spans="1:14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</row>
    <row r="82" spans="1:14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</row>
    <row r="83" spans="1:14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</row>
    <row r="84" spans="1:14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</row>
    <row r="85" spans="1:14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</row>
    <row r="86" spans="1:14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</row>
    <row r="87" spans="1:14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</row>
    <row r="88" spans="1:14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</row>
    <row r="89" spans="1:14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</row>
    <row r="90" spans="1:14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</row>
    <row r="91" spans="1:14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</row>
    <row r="92" spans="1:14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</row>
    <row r="93" spans="1:14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</row>
    <row r="94" spans="1:14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</row>
    <row r="95" spans="1:14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</row>
    <row r="96" spans="1:14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</row>
    <row r="98" spans="1:14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</row>
    <row r="99" spans="1:14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</row>
    <row r="100" spans="1:14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</row>
    <row r="101" spans="1:14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</row>
    <row r="102" spans="1:14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</row>
    <row r="103" spans="1:14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</row>
    <row r="104" spans="1:14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</row>
    <row r="105" spans="1:14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</row>
    <row r="106" spans="1:14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</row>
    <row r="107" spans="1:14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</row>
    <row r="108" spans="1:14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</row>
    <row r="109" spans="1:14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</row>
    <row r="110" spans="1:14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</row>
    <row r="111" spans="1:14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</row>
    <row r="112" spans="1:14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</row>
    <row r="113" spans="1:14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</row>
    <row r="114" spans="1:14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</row>
    <row r="115" spans="1:14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</row>
    <row r="116" spans="1:14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</row>
    <row r="117" spans="1:14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</row>
    <row r="118" spans="1:14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</row>
    <row r="119" spans="1:14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</row>
    <row r="121" spans="1:14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</row>
    <row r="122" spans="1:14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</row>
    <row r="123" spans="1:14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</row>
    <row r="124" spans="1:14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</row>
    <row r="125" spans="1:14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</row>
    <row r="126" spans="1:14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</row>
    <row r="127" spans="1:14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</row>
    <row r="128" spans="1:14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</row>
    <row r="129" spans="1:14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</row>
    <row r="130" spans="1:14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</row>
    <row r="131" spans="1:14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</row>
    <row r="132" spans="1:14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</row>
    <row r="133" spans="1:14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</row>
    <row r="134" spans="1:14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</row>
    <row r="135" spans="1:14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</row>
    <row r="136" spans="1:14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</row>
    <row r="137" spans="1:14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</row>
    <row r="138" spans="1:14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</row>
    <row r="139" spans="1:14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</row>
    <row r="140" spans="1:14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</row>
    <row r="141" spans="1:14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</row>
    <row r="142" spans="1:14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</row>
    <row r="144" spans="1:14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</row>
    <row r="145" spans="1:14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</row>
    <row r="146" spans="1:14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</row>
    <row r="147" spans="1:14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</row>
    <row r="148" spans="1:14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</row>
    <row r="149" spans="1:14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</row>
    <row r="150" spans="1:14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</row>
    <row r="151" spans="1:14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</row>
    <row r="152" spans="1:14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</row>
    <row r="153" spans="1:14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</row>
    <row r="154" spans="1:14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</row>
    <row r="155" spans="1:14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</row>
    <row r="156" spans="1:14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</row>
    <row r="157" spans="1:14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</row>
    <row r="158" spans="1:14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</row>
    <row r="159" spans="1:14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</row>
    <row r="160" spans="1:14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</row>
    <row r="161" spans="1:14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</row>
    <row r="162" spans="1:14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</row>
    <row r="163" spans="1:14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</row>
    <row r="164" spans="1:14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</row>
    <row r="165" spans="1:14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</row>
    <row r="167" spans="1:14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</row>
    <row r="168" spans="1:14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</row>
    <row r="169" spans="1:14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</row>
    <row r="170" spans="1:14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</row>
    <row r="171" spans="1:14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</row>
    <row r="172" spans="1:14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</row>
    <row r="173" spans="1:14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</row>
    <row r="174" spans="1:14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</row>
    <row r="175" spans="1:14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</row>
    <row r="176" spans="1:14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</row>
    <row r="177" spans="1:14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</row>
    <row r="178" spans="1:14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</row>
    <row r="179" spans="1:14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</row>
    <row r="180" spans="1:14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</row>
    <row r="181" spans="1:14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</row>
    <row r="182" spans="1:14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</row>
    <row r="183" spans="1:14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</row>
    <row r="184" spans="1:14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</row>
    <row r="185" spans="1:14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</row>
    <row r="186" spans="1:14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</row>
    <row r="187" spans="1:14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</row>
    <row r="188" spans="1:14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</row>
    <row r="190" spans="1:14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</row>
    <row r="191" spans="1:14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</row>
    <row r="192" spans="1:14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</row>
    <row r="193" spans="1:14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</row>
    <row r="194" spans="1:14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</row>
    <row r="195" spans="1:14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</row>
    <row r="196" spans="1:14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</row>
    <row r="197" spans="1:14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</row>
    <row r="198" spans="1:14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</row>
    <row r="199" spans="1:14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</row>
    <row r="200" spans="1:14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</row>
    <row r="201" spans="1:14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</row>
    <row r="202" spans="1:14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</row>
    <row r="203" spans="1:14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</row>
    <row r="204" spans="1:14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</row>
    <row r="205" spans="1:14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</row>
    <row r="206" spans="1:14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</row>
    <row r="207" spans="1:14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</row>
    <row r="208" spans="1:14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</row>
    <row r="209" spans="1:14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</row>
    <row r="210" spans="1:14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</row>
    <row r="211" spans="1:14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</row>
    <row r="213" spans="1:14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</row>
    <row r="214" spans="1:14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</row>
    <row r="215" spans="1:14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</row>
    <row r="216" spans="1:14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</row>
    <row r="217" spans="1:14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</row>
    <row r="218" spans="1:14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</row>
    <row r="219" spans="1:14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</row>
    <row r="220" spans="1:14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</row>
    <row r="221" spans="1:14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</row>
    <row r="222" spans="1:14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</row>
    <row r="223" spans="1:14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</row>
    <row r="224" spans="1:14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</row>
    <row r="225" spans="1:14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</row>
    <row r="226" spans="1:14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</row>
    <row r="227" spans="1:14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</row>
    <row r="228" spans="1:14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</row>
    <row r="229" spans="1:14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</row>
    <row r="230" spans="1:14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</row>
    <row r="231" spans="1:14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</row>
    <row r="232" spans="1:14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</row>
    <row r="233" spans="1:14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</row>
    <row r="234" spans="1:14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</row>
    <row r="235" spans="1:14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</row>
    <row r="236" spans="1:14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</row>
    <row r="237" spans="1:14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</row>
    <row r="238" spans="1:14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</row>
    <row r="239" spans="1:14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</row>
    <row r="240" spans="1:14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</row>
    <row r="241" spans="1:14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</row>
    <row r="242" spans="1:14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</row>
    <row r="243" spans="1:14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</row>
    <row r="244" spans="1:14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</row>
    <row r="245" spans="1:14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</row>
    <row r="246" spans="1:14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</row>
    <row r="247" spans="1:14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</row>
    <row r="248" spans="1:14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</row>
    <row r="249" spans="1:14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</row>
    <row r="250" spans="1:14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</row>
    <row r="251" spans="1:14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</row>
    <row r="252" spans="1:14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</row>
    <row r="253" spans="1:14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</row>
    <row r="254" spans="1:14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</row>
    <row r="255" spans="1:14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</row>
    <row r="256" spans="1:14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</row>
    <row r="257" spans="1:14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</row>
    <row r="258" spans="1:14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</row>
    <row r="259" spans="1:14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</row>
    <row r="260" spans="1:14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</row>
    <row r="261" spans="1:14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</row>
    <row r="262" spans="1:14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</row>
    <row r="263" spans="1:14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</row>
    <row r="264" spans="1:14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</row>
    <row r="265" spans="1:14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</row>
    <row r="266" spans="1:14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</row>
    <row r="267" spans="1:14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</row>
    <row r="268" spans="1:14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</row>
    <row r="269" spans="1:14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</row>
    <row r="270" spans="1:14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</row>
    <row r="271" spans="1:14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</row>
    <row r="272" spans="1:14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</row>
    <row r="273" spans="1:14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</row>
    <row r="274" spans="1:14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</row>
    <row r="275" spans="1:14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</row>
    <row r="276" spans="1:14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</row>
    <row r="277" spans="1:14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</row>
    <row r="278" spans="1:14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</row>
    <row r="279" spans="1:14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</row>
    <row r="280" spans="1:14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</row>
    <row r="281" spans="1:14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</row>
    <row r="282" spans="1:14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</row>
    <row r="283" spans="1:14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</row>
    <row r="284" spans="1:14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</row>
    <row r="285" spans="1:14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</row>
    <row r="286" spans="1:14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</row>
    <row r="287" spans="1:14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</row>
    <row r="288" spans="1:14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</row>
    <row r="289" spans="1:14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</row>
    <row r="290" spans="1:14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</row>
    <row r="291" spans="1:14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</row>
    <row r="292" spans="1:14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</row>
    <row r="293" spans="1:14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</row>
    <row r="294" spans="1:14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</row>
    <row r="295" spans="1:14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</row>
    <row r="296" spans="1:14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</row>
    <row r="297" spans="1:14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</row>
    <row r="298" spans="1:14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</row>
    <row r="299" spans="1:14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</row>
    <row r="300" spans="1:14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</row>
    <row r="301" spans="1:14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</row>
    <row r="302" spans="1:14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</row>
    <row r="303" spans="1:14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</row>
    <row r="304" spans="1:14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</row>
    <row r="305" spans="1:14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</row>
    <row r="306" spans="1:14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</row>
    <row r="307" spans="1:14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</row>
    <row r="308" spans="1:14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</row>
    <row r="309" spans="1:14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</row>
    <row r="310" spans="1:14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</row>
    <row r="311" spans="1:14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</row>
    <row r="312" spans="1:14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</row>
    <row r="313" spans="1:14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</row>
    <row r="314" spans="1:14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</row>
    <row r="315" spans="1:14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</row>
    <row r="316" spans="1:14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</row>
    <row r="317" spans="1:14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</row>
    <row r="318" spans="1:14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</row>
    <row r="319" spans="1:14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</row>
    <row r="320" spans="1:14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</row>
    <row r="321" spans="1:14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</row>
    <row r="322" spans="1:14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</row>
    <row r="323" spans="1:14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</row>
    <row r="324" spans="1:14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</row>
    <row r="325" spans="1:14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</row>
    <row r="326" spans="1:14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</row>
    <row r="327" spans="1:14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</row>
    <row r="328" spans="1:14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</row>
    <row r="329" spans="1:14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</row>
    <row r="330" spans="1:14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</row>
    <row r="331" spans="1:14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</row>
    <row r="332" spans="1:14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</row>
    <row r="333" spans="1:14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</row>
    <row r="334" spans="1:14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</row>
    <row r="335" spans="1:14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</row>
    <row r="336" spans="1:14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</row>
    <row r="337" spans="1:14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</row>
    <row r="338" spans="1:14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</row>
    <row r="339" spans="1:14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</row>
    <row r="340" spans="1:14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</row>
    <row r="341" spans="1:14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</row>
    <row r="342" spans="1:14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</row>
    <row r="343" spans="1:14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</row>
    <row r="344" spans="1:14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</row>
    <row r="345" spans="1:14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</row>
    <row r="346" spans="1:14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</row>
    <row r="347" spans="1:14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</row>
    <row r="348" spans="1:14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</row>
    <row r="349" spans="1:14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</row>
    <row r="350" spans="1:14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</row>
    <row r="351" spans="1:14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</row>
    <row r="352" spans="1:14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</row>
    <row r="353" spans="1:14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</row>
    <row r="354" spans="1:14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</row>
    <row r="355" spans="1:14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</row>
    <row r="356" spans="1:14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</row>
    <row r="357" spans="1:14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</row>
    <row r="358" spans="1:14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</row>
    <row r="359" spans="1:14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</row>
    <row r="360" spans="1:14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</row>
    <row r="361" spans="1:14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</row>
    <row r="362" spans="1:14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</row>
    <row r="363" spans="1:14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</row>
    <row r="364" spans="1:14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</row>
    <row r="365" spans="1:14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</row>
    <row r="366" spans="1:14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</row>
    <row r="367" spans="1:14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</row>
    <row r="368" spans="1:14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</row>
    <row r="369" spans="1:14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</row>
    <row r="370" spans="1:14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</row>
    <row r="371" spans="1:14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</row>
    <row r="372" spans="1:14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</row>
    <row r="373" spans="1:14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</row>
    <row r="374" spans="1:14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</row>
    <row r="375" spans="1:14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</row>
    <row r="376" spans="1:14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</row>
    <row r="377" spans="1:14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</row>
    <row r="378" spans="1:14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</row>
    <row r="379" spans="1:14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</row>
    <row r="380" spans="1:14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</row>
    <row r="381" spans="1:14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</row>
    <row r="382" spans="1:14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</row>
    <row r="383" spans="1:14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</row>
    <row r="384" spans="1:14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</row>
    <row r="385" spans="1:14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</row>
    <row r="386" spans="1:14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</row>
    <row r="387" spans="1:14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</row>
    <row r="388" spans="1:14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</row>
    <row r="389" spans="1:14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</row>
    <row r="390" spans="1:14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</row>
    <row r="391" spans="1:14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</row>
    <row r="392" spans="1:14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</row>
    <row r="393" spans="1:14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</row>
    <row r="394" spans="1:14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</row>
    <row r="395" spans="1:14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</row>
    <row r="396" spans="1:14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</row>
    <row r="397" spans="1:14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</row>
    <row r="398" spans="1:14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</row>
    <row r="399" spans="1:14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</row>
    <row r="400" spans="1:14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</row>
    <row r="401" spans="1:14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</row>
    <row r="402" spans="1:14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</row>
    <row r="403" spans="1:14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</row>
    <row r="404" spans="1:14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</row>
    <row r="405" spans="1:14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</row>
    <row r="406" spans="1:14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</row>
    <row r="407" spans="1:14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</row>
    <row r="408" spans="1:14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</row>
    <row r="409" spans="1:14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</row>
    <row r="410" spans="1:14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</row>
    <row r="411" spans="1:14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</row>
    <row r="412" spans="1:14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</row>
    <row r="413" spans="1:14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</row>
    <row r="414" spans="1:14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</row>
    <row r="415" spans="1:14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</row>
    <row r="416" spans="1:14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</row>
    <row r="417" spans="1:14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</row>
    <row r="418" spans="1:14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</row>
    <row r="419" spans="1:14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</row>
    <row r="420" spans="1:14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</row>
    <row r="421" spans="1:14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</row>
    <row r="422" spans="1:14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</row>
    <row r="423" spans="1:14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</row>
    <row r="424" spans="1:14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</row>
    <row r="425" spans="1:14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</row>
    <row r="426" spans="1:14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</row>
    <row r="427" spans="1:14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</row>
    <row r="428" spans="1:14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</row>
    <row r="429" spans="1:14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</row>
    <row r="430" spans="1:14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</row>
    <row r="431" spans="1:14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</row>
    <row r="432" spans="1:14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</row>
    <row r="433" spans="1:14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</row>
    <row r="434" spans="1:14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</row>
    <row r="435" spans="1:14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</row>
    <row r="436" spans="1:14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</row>
    <row r="437" spans="1:14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</row>
    <row r="438" spans="1:14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</row>
    <row r="439" spans="1:14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</row>
    <row r="440" spans="1:14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</row>
    <row r="441" spans="1:14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</row>
    <row r="442" spans="1:14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</row>
    <row r="443" spans="1:14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</row>
    <row r="444" spans="1:14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</row>
    <row r="445" spans="1:14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</row>
    <row r="446" spans="1:14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</row>
    <row r="447" spans="1:14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</row>
    <row r="448" spans="1:14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</row>
    <row r="449" spans="1:14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</row>
    <row r="450" spans="1:14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</row>
    <row r="451" spans="1:14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</row>
    <row r="452" spans="1:14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</row>
    <row r="453" spans="1:14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</row>
    <row r="454" spans="1:14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</row>
    <row r="455" spans="1:14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</row>
    <row r="456" spans="1:14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</row>
    <row r="457" spans="1:14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</row>
    <row r="458" spans="1:14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</row>
    <row r="459" spans="1:14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</row>
    <row r="460" spans="1:14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</row>
    <row r="461" spans="1:14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</row>
    <row r="462" spans="1:14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</row>
    <row r="463" spans="1:14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</row>
    <row r="464" spans="1:14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</row>
    <row r="465" spans="1:14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</row>
    <row r="466" spans="1:14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</row>
    <row r="467" spans="1:14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</row>
    <row r="468" spans="1:14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</row>
    <row r="469" spans="1:14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</row>
    <row r="470" spans="1:14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</row>
    <row r="471" spans="1:14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</row>
    <row r="472" spans="1:14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</row>
    <row r="473" spans="1:14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</row>
    <row r="474" spans="1:14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</row>
    <row r="475" spans="1:14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</row>
    <row r="476" spans="1:14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</row>
    <row r="477" spans="1:14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</row>
    <row r="478" spans="1:14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</row>
    <row r="479" spans="1:14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</row>
    <row r="480" spans="1:14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</row>
    <row r="481" spans="1:14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</row>
    <row r="482" spans="1:14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</row>
    <row r="483" spans="1:14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</row>
    <row r="484" spans="1:14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</row>
    <row r="485" spans="1:14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</row>
    <row r="486" spans="1:14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</row>
    <row r="487" spans="1:14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</row>
    <row r="488" spans="1:14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</row>
    <row r="489" spans="1:14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</row>
    <row r="490" spans="1:14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</row>
    <row r="491" spans="1:14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</row>
    <row r="492" spans="1:14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</row>
    <row r="493" spans="1:14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</row>
    <row r="494" spans="1:14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</row>
    <row r="495" spans="1:14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</row>
    <row r="496" spans="1:14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</row>
    <row r="497" spans="1:14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</row>
    <row r="498" spans="1:14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</row>
    <row r="499" spans="1:14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</row>
    <row r="500" spans="1:14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</row>
    <row r="501" spans="1:14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</row>
    <row r="502" spans="1:14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</row>
    <row r="503" spans="1:14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</row>
    <row r="504" spans="1:14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</row>
    <row r="505" spans="1:14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</row>
    <row r="506" spans="1:14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</row>
    <row r="507" spans="1:14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</row>
    <row r="508" spans="1:14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</row>
    <row r="509" spans="1:14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</row>
    <row r="510" spans="1:14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</row>
    <row r="511" spans="1:14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</row>
    <row r="512" spans="1:14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</row>
    <row r="513" spans="1:14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</row>
    <row r="514" spans="1:14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</row>
    <row r="515" spans="1:14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</row>
    <row r="516" spans="1:14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</row>
    <row r="517" spans="1:14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</row>
    <row r="518" spans="1:14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</row>
    <row r="519" spans="1:14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</row>
    <row r="520" spans="1:14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</row>
    <row r="521" spans="1:14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</row>
    <row r="522" spans="1:14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</row>
    <row r="523" spans="1:14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</row>
    <row r="524" spans="1:14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</row>
    <row r="525" spans="1:14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</row>
    <row r="526" spans="1:14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</row>
    <row r="527" spans="1:14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</row>
    <row r="528" spans="1:14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</row>
    <row r="529" spans="1:14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</row>
    <row r="530" spans="1:14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</row>
    <row r="531" spans="1:14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</row>
    <row r="532" spans="1:14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</row>
    <row r="533" spans="1:14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</row>
    <row r="534" spans="1:14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</row>
    <row r="535" spans="1:14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</row>
    <row r="536" spans="1:14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</row>
    <row r="537" spans="1:14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</row>
    <row r="538" spans="1:14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</row>
    <row r="539" spans="1:14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</row>
    <row r="540" spans="1:14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</row>
    <row r="541" spans="1:14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</row>
    <row r="542" spans="1:14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</row>
    <row r="543" spans="1:14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</row>
    <row r="544" spans="1:14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</row>
    <row r="545" spans="1:14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</row>
    <row r="546" spans="1:14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</row>
    <row r="547" spans="1:14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</row>
    <row r="548" spans="1:14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</row>
    <row r="549" spans="1:14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</row>
    <row r="550" spans="1:14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</row>
    <row r="551" spans="1:14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</row>
    <row r="552" spans="1:14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</row>
    <row r="553" spans="1:14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</row>
    <row r="554" spans="1:14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</row>
    <row r="555" spans="1:14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</row>
    <row r="556" spans="1:14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</row>
    <row r="557" spans="1:14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</row>
    <row r="558" spans="1:14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</row>
    <row r="559" spans="1:14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</row>
    <row r="560" spans="1:14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</row>
    <row r="561" spans="1:14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</row>
    <row r="562" spans="1:14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</row>
    <row r="563" spans="1:14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</row>
    <row r="564" spans="1:14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</row>
    <row r="565" spans="1:14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</row>
    <row r="566" spans="1:14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</row>
    <row r="567" spans="1:14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</row>
    <row r="568" spans="1:14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</row>
    <row r="569" spans="1:14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</row>
    <row r="570" spans="1:14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</row>
    <row r="571" spans="1:14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</row>
    <row r="572" spans="1:14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</row>
    <row r="573" spans="1:14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</row>
    <row r="574" spans="1:14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</row>
    <row r="575" spans="1:14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</row>
    <row r="576" spans="1:14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</row>
    <row r="577" spans="1:14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</row>
    <row r="578" spans="1:14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</row>
    <row r="579" spans="1:14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</row>
    <row r="580" spans="1:14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</row>
    <row r="581" spans="1:14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</row>
    <row r="582" spans="1:14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</row>
    <row r="583" spans="1:14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</row>
    <row r="584" spans="1:14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</row>
    <row r="585" spans="1:14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</row>
    <row r="586" spans="1:14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</row>
    <row r="587" spans="1:14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</row>
    <row r="588" spans="1:14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</row>
    <row r="589" spans="1:14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</row>
    <row r="590" spans="1:14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</row>
    <row r="591" spans="1:14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</row>
    <row r="592" spans="1:14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</row>
    <row r="593" spans="1:14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</row>
    <row r="594" spans="1:14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</row>
    <row r="595" spans="1:14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</row>
    <row r="596" spans="1:14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</row>
    <row r="597" spans="1:14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</row>
    <row r="598" spans="1:14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</row>
    <row r="599" spans="1:14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</row>
    <row r="600" spans="1:14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</row>
    <row r="601" spans="1:14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</row>
    <row r="602" spans="1:14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</row>
    <row r="603" spans="1:14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</row>
    <row r="604" spans="1:14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</row>
    <row r="605" spans="1:14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</row>
    <row r="606" spans="1:14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</row>
    <row r="607" spans="1:14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</row>
    <row r="608" spans="1:14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</row>
    <row r="609" spans="1:14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</row>
    <row r="610" spans="1:14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</row>
    <row r="611" spans="1:14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</row>
    <row r="612" spans="1:14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</row>
    <row r="613" spans="1:14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</row>
    <row r="614" spans="1:14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</row>
    <row r="615" spans="1:14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</row>
    <row r="616" spans="1:14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</row>
    <row r="617" spans="1:14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</row>
    <row r="618" spans="1:14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</row>
    <row r="619" spans="1:14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</row>
    <row r="620" spans="1:14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</row>
    <row r="621" spans="1:14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</row>
    <row r="622" spans="1:14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</row>
    <row r="623" spans="1:14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</row>
    <row r="624" spans="1:14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</row>
    <row r="625" spans="1:14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</row>
    <row r="626" spans="1:14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</row>
    <row r="627" spans="1:14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</row>
    <row r="628" spans="1:14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</row>
    <row r="629" spans="1:14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</row>
    <row r="630" spans="1:14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</row>
    <row r="631" spans="1:14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</row>
    <row r="632" spans="1:14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</row>
    <row r="633" spans="1:14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</row>
    <row r="634" spans="1:14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</row>
    <row r="635" spans="1:14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</row>
    <row r="636" spans="1:14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</row>
    <row r="637" spans="1:14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</row>
    <row r="638" spans="1:14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</row>
    <row r="639" spans="1:14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</row>
    <row r="640" spans="1:14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</row>
    <row r="641" spans="1:14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</row>
    <row r="642" spans="1:14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</row>
    <row r="643" spans="1:14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</row>
    <row r="644" spans="1:14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</row>
    <row r="645" spans="1:14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</row>
    <row r="646" spans="1:14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</row>
    <row r="647" spans="1:14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</row>
    <row r="648" spans="1:14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</row>
    <row r="649" spans="1:14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</row>
    <row r="650" spans="1:14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</row>
    <row r="651" spans="1:14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</row>
    <row r="652" spans="1:14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</row>
    <row r="653" spans="1:14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</row>
    <row r="654" spans="1:14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</row>
    <row r="655" spans="1:14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</row>
    <row r="656" spans="1:14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</row>
    <row r="657" spans="1:14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</row>
    <row r="658" spans="1:14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</row>
    <row r="659" spans="1:14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</row>
    <row r="660" spans="1:14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</row>
    <row r="661" spans="1:14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</row>
    <row r="662" spans="1:14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</row>
    <row r="663" spans="1:14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</row>
    <row r="664" spans="1:14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</row>
    <row r="665" spans="1:14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</row>
    <row r="666" spans="1:14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</row>
    <row r="667" spans="1:14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</row>
    <row r="668" spans="1:14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</row>
    <row r="669" spans="1:14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</row>
    <row r="670" spans="1:14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</row>
    <row r="671" spans="1:14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</row>
    <row r="672" spans="1:14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</row>
    <row r="673" spans="1:14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</row>
    <row r="674" spans="1:14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</row>
    <row r="675" spans="1:14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</row>
    <row r="676" spans="1:14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</row>
    <row r="677" spans="1:14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</row>
    <row r="678" spans="1:14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</row>
    <row r="679" spans="1:14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</row>
    <row r="680" spans="1:14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</row>
    <row r="681" spans="1:14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</row>
    <row r="682" spans="1:14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</row>
    <row r="683" spans="1:14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</row>
    <row r="684" spans="1:14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</row>
    <row r="685" spans="1:14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</row>
    <row r="686" spans="1:14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</row>
    <row r="687" spans="1:14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</row>
    <row r="688" spans="1:14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</row>
    <row r="689" spans="1:14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</row>
    <row r="690" spans="1:14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</row>
    <row r="691" spans="1:14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</row>
    <row r="692" spans="1:14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</row>
    <row r="693" spans="1:14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</row>
    <row r="694" spans="1:14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</row>
    <row r="695" spans="1:14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</row>
    <row r="696" spans="1:14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</row>
    <row r="697" spans="1:14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</row>
    <row r="698" spans="1:14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</row>
    <row r="699" spans="1:14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</row>
    <row r="700" spans="1:14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</row>
    <row r="701" spans="1:14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</row>
    <row r="702" spans="1:14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</row>
    <row r="703" spans="1:14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</row>
    <row r="704" spans="1:14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</row>
    <row r="705" spans="1:14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</row>
    <row r="706" spans="1:14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</row>
    <row r="707" spans="1:14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</row>
    <row r="708" spans="1:14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</row>
    <row r="709" spans="1:14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</row>
    <row r="710" spans="1:14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</row>
    <row r="711" spans="1:14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</row>
    <row r="712" spans="1:14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</row>
    <row r="713" spans="1:14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</row>
    <row r="714" spans="1:14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</row>
    <row r="715" spans="1:14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</row>
    <row r="716" spans="1:14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</row>
    <row r="717" spans="1:14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</row>
    <row r="718" spans="1:14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</row>
    <row r="719" spans="1:14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</row>
    <row r="720" spans="1:14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</row>
    <row r="721" spans="1:14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</row>
    <row r="722" spans="1:14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</row>
    <row r="723" spans="1:14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</row>
    <row r="724" spans="1:14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</row>
    <row r="725" spans="1:14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</row>
    <row r="726" spans="1:14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</row>
    <row r="727" spans="1:14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</row>
    <row r="728" spans="1:14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</row>
    <row r="729" spans="1:14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</row>
    <row r="730" spans="1:14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</row>
    <row r="731" spans="1:14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</row>
    <row r="732" spans="1:14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</row>
    <row r="733" spans="1:14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</row>
    <row r="734" spans="1:14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</row>
    <row r="735" spans="1:14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</row>
    <row r="736" spans="1:14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</row>
    <row r="737" spans="1:14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</row>
    <row r="738" spans="1:14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</row>
    <row r="739" spans="1:14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</row>
    <row r="740" spans="1:14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</row>
    <row r="741" spans="1:14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</row>
    <row r="742" spans="1:14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</row>
    <row r="743" spans="1:14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</row>
    <row r="744" spans="1:14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</row>
    <row r="745" spans="1:14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</row>
    <row r="746" spans="1:14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</row>
    <row r="747" spans="1:14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</row>
    <row r="748" spans="1:14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</row>
    <row r="749" spans="1:14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</row>
    <row r="750" spans="1:14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</row>
    <row r="751" spans="1:14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</row>
    <row r="752" spans="1:14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</row>
    <row r="753" spans="1:14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</row>
    <row r="754" spans="1:14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</row>
    <row r="755" spans="1:14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</row>
    <row r="756" spans="1:14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</row>
    <row r="757" spans="1:14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</row>
    <row r="758" spans="1:14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</row>
    <row r="759" spans="1:14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</row>
    <row r="760" spans="1:14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</row>
    <row r="761" spans="1:14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</row>
    <row r="762" spans="1:14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</row>
    <row r="763" spans="1:14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</row>
    <row r="764" spans="1:14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</row>
    <row r="765" spans="1:14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</row>
    <row r="766" spans="1:14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</row>
    <row r="767" spans="1:14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</row>
    <row r="768" spans="1:14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</row>
    <row r="769" spans="1:14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</row>
    <row r="770" spans="1:14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</row>
    <row r="771" spans="1:14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</row>
    <row r="772" spans="1:14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</row>
    <row r="773" spans="1:14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</row>
    <row r="774" spans="1:14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</row>
    <row r="775" spans="1:14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</row>
    <row r="776" spans="1:14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</row>
    <row r="777" spans="1:14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</row>
    <row r="778" spans="1:14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</row>
    <row r="779" spans="1:14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</row>
    <row r="780" spans="1:14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</row>
    <row r="781" spans="1:14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</row>
    <row r="782" spans="1:14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</row>
    <row r="783" spans="1:14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</row>
    <row r="784" spans="1:14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</row>
    <row r="785" spans="1:14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</row>
    <row r="786" spans="1:14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</row>
    <row r="787" spans="1:14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</row>
    <row r="788" spans="1:14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</row>
    <row r="789" spans="1:14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</row>
    <row r="790" spans="1:14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</row>
    <row r="791" spans="1:14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</row>
    <row r="792" spans="1:14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</row>
    <row r="793" spans="1:14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</row>
    <row r="794" spans="1:14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</row>
    <row r="795" spans="1:14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</row>
    <row r="796" spans="1:14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</row>
    <row r="797" spans="1:14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</row>
    <row r="798" spans="1:14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</row>
    <row r="799" spans="1:14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</row>
    <row r="800" spans="1:14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</row>
    <row r="801" spans="1:14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</row>
    <row r="802" spans="1:14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</row>
    <row r="803" spans="1:14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</row>
    <row r="804" spans="1:14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</row>
    <row r="805" spans="1:14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</row>
    <row r="806" spans="1:14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</row>
    <row r="807" spans="1:14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</row>
    <row r="808" spans="1:14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</row>
    <row r="809" spans="1:14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</row>
    <row r="810" spans="1:14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</row>
    <row r="811" spans="1:14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</row>
    <row r="812" spans="1:14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</row>
    <row r="813" spans="1:14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</row>
    <row r="814" spans="1:14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</row>
    <row r="815" spans="1:14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</row>
    <row r="816" spans="1:14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</row>
    <row r="817" spans="1:14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</row>
    <row r="818" spans="1:14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</row>
    <row r="819" spans="1:14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</row>
    <row r="820" spans="1:14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</row>
    <row r="821" spans="1:14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</row>
    <row r="822" spans="1:14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</row>
    <row r="823" spans="1:14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</row>
    <row r="824" spans="1:14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</row>
    <row r="825" spans="1:14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</row>
    <row r="826" spans="1:14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</row>
    <row r="827" spans="1:14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</row>
    <row r="828" spans="1:14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</row>
    <row r="829" spans="1:14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</row>
    <row r="830" spans="1:14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</row>
    <row r="831" spans="1:14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</row>
    <row r="832" spans="1:14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</row>
    <row r="833" spans="1:14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</row>
    <row r="834" spans="1:14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</row>
    <row r="835" spans="1:14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</row>
    <row r="836" spans="1:14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</row>
    <row r="837" spans="1:14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</row>
    <row r="838" spans="1:14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</row>
    <row r="839" spans="1:14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</row>
    <row r="840" spans="1:14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</row>
    <row r="841" spans="1:14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</row>
    <row r="842" spans="1:14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</row>
    <row r="843" spans="1:14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</row>
    <row r="844" spans="1:14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</row>
    <row r="845" spans="1:14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</row>
    <row r="846" spans="1:14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</row>
    <row r="847" spans="1:14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</row>
    <row r="848" spans="1:14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</row>
    <row r="849" spans="1:14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</row>
    <row r="850" spans="1:14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</row>
    <row r="851" spans="1:14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</row>
    <row r="852" spans="1:14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</row>
    <row r="853" spans="1:14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</row>
    <row r="854" spans="1:14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</row>
    <row r="855" spans="1:14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</row>
    <row r="856" spans="1:14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</row>
    <row r="857" spans="1:14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</row>
    <row r="858" spans="1:14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</row>
    <row r="859" spans="1:14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</row>
    <row r="860" spans="1:14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</row>
    <row r="861" spans="1:14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</row>
    <row r="862" spans="1:14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</row>
    <row r="863" spans="1:14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</row>
    <row r="864" spans="1:14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</row>
    <row r="865" spans="1:14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</row>
    <row r="866" spans="1:14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</row>
    <row r="867" spans="1:14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</row>
    <row r="868" spans="1:14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</row>
    <row r="869" spans="1:14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</row>
    <row r="870" spans="1:14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</row>
    <row r="871" spans="1:14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</row>
    <row r="872" spans="1:14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</row>
    <row r="873" spans="1:14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</row>
    <row r="874" spans="1:14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</row>
    <row r="875" spans="1:14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</row>
    <row r="876" spans="1:14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</row>
    <row r="877" spans="1:14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</row>
    <row r="878" spans="1:14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</row>
    <row r="879" spans="1:14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</row>
    <row r="880" spans="1:14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</row>
    <row r="881" spans="1:14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</row>
    <row r="882" spans="1:14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</row>
    <row r="883" spans="1:14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</row>
    <row r="884" spans="1:14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</row>
    <row r="885" spans="1:14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</row>
    <row r="886" spans="1:14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</row>
    <row r="887" spans="1:14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</row>
    <row r="888" spans="1:14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</row>
    <row r="889" spans="1:14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</row>
    <row r="890" spans="1:14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</row>
    <row r="891" spans="1:14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</row>
    <row r="892" spans="1:14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</row>
    <row r="893" spans="1:14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</row>
    <row r="894" spans="1:14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</row>
    <row r="895" spans="1:14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</row>
    <row r="896" spans="1:14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</row>
    <row r="897" spans="1:14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</row>
    <row r="898" spans="1:14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</row>
    <row r="899" spans="1:14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</row>
    <row r="900" spans="1:14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</row>
    <row r="901" spans="1:14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</row>
    <row r="902" spans="1:14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</row>
    <row r="903" spans="1:14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</row>
    <row r="904" spans="1:14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</row>
    <row r="905" spans="1:14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</row>
    <row r="906" spans="1:14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</row>
    <row r="907" spans="1:14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</row>
    <row r="908" spans="1:14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</row>
    <row r="909" spans="1:14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</row>
    <row r="910" spans="1:14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</row>
    <row r="911" spans="1:14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</row>
    <row r="912" spans="1:14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</row>
    <row r="913" spans="1:14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</row>
    <row r="914" spans="1:14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</row>
    <row r="915" spans="1:14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</row>
    <row r="916" spans="1:14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</row>
    <row r="917" spans="1:14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</row>
    <row r="918" spans="1:14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</row>
    <row r="919" spans="1:14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</row>
    <row r="920" spans="1:14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</row>
    <row r="921" spans="1:14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</row>
    <row r="922" spans="1:14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</row>
    <row r="923" spans="1:14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</row>
    <row r="924" spans="1:14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</row>
    <row r="925" spans="1:14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</row>
    <row r="926" spans="1:14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</row>
    <row r="927" spans="1:14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</row>
    <row r="928" spans="1:14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</row>
    <row r="929" spans="1:14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</row>
    <row r="930" spans="1:14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</row>
    <row r="931" spans="1:14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</row>
    <row r="932" spans="1:14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</row>
    <row r="933" spans="1:14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</row>
    <row r="934" spans="1:14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</row>
    <row r="935" spans="1:14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</row>
    <row r="936" spans="1:14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</row>
    <row r="937" spans="1:14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</row>
    <row r="938" spans="1:14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</row>
    <row r="939" spans="1:14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</row>
    <row r="940" spans="1:14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</row>
    <row r="941" spans="1:14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</row>
    <row r="942" spans="1:14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</row>
    <row r="943" spans="1:14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</row>
    <row r="944" spans="1:14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</row>
    <row r="945" spans="1:14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</row>
    <row r="946" spans="1:14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</row>
    <row r="947" spans="1:14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</row>
    <row r="948" spans="1:14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</row>
    <row r="949" spans="1:14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</row>
    <row r="950" spans="1:14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</row>
    <row r="951" spans="1:14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</row>
    <row r="952" spans="1:14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</row>
    <row r="953" spans="1:14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</row>
    <row r="954" spans="1:14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</row>
    <row r="955" spans="1:14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</row>
    <row r="956" spans="1:14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</row>
    <row r="957" spans="1:14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</row>
    <row r="958" spans="1:14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</row>
    <row r="959" spans="1:14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</row>
    <row r="960" spans="1:14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</row>
    <row r="961" spans="1:14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</row>
    <row r="962" spans="1:14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</row>
    <row r="963" spans="1:14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</row>
    <row r="964" spans="1:14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</row>
    <row r="965" spans="1:14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</row>
    <row r="966" spans="1:14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</row>
    <row r="967" spans="1:14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</row>
    <row r="968" spans="1:14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</row>
    <row r="969" spans="1:14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</row>
    <row r="970" spans="1:14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</row>
    <row r="971" spans="1:14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</row>
    <row r="972" spans="1:14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</row>
    <row r="973" spans="1:14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</row>
    <row r="974" spans="1:14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</row>
    <row r="975" spans="1:14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</row>
    <row r="976" spans="1:14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</row>
    <row r="977" spans="1:14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</row>
    <row r="978" spans="1:14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</row>
    <row r="979" spans="1:14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</row>
    <row r="980" spans="1:14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</row>
    <row r="981" spans="1:14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</row>
    <row r="982" spans="1:14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</row>
    <row r="983" spans="1:14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</row>
    <row r="984" spans="1:14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</row>
    <row r="985" spans="1:14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</row>
    <row r="986" spans="1:14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</row>
    <row r="987" spans="1:14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</row>
    <row r="988" spans="1:14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</row>
    <row r="989" spans="1:14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</row>
    <row r="990" spans="1:14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</row>
    <row r="991" spans="1:14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</row>
    <row r="992" spans="1:14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</row>
    <row r="993" spans="1:14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</row>
    <row r="994" spans="1:14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</row>
    <row r="995" spans="1:14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</row>
    <row r="996" spans="1:14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</row>
    <row r="997" spans="1:14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</row>
    <row r="998" spans="1:14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</row>
    <row r="999" spans="1:14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</row>
    <row r="1000" spans="1:14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</row>
    <row r="1001" spans="1:14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</row>
    <row r="1002" spans="1:14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</row>
    <row r="1003" spans="1:14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</row>
    <row r="1004" spans="1:14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</row>
    <row r="1005" spans="1:14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</row>
    <row r="1006" spans="1:14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</row>
    <row r="1007" spans="1:14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</row>
    <row r="1008" spans="1:14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</row>
    <row r="1009" spans="1:14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</row>
    <row r="1010" spans="1:14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</row>
    <row r="1011" spans="1:14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</row>
    <row r="1012" spans="1:14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</row>
    <row r="1013" spans="1:14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</row>
    <row r="1014" spans="1:14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</row>
    <row r="1015" spans="1:14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</row>
    <row r="1016" spans="1:14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</row>
    <row r="1017" spans="1:14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</row>
    <row r="1018" spans="1:14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</row>
    <row r="1019" spans="1:14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</row>
    <row r="1020" spans="1:14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</row>
    <row r="1021" spans="1:14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</row>
    <row r="1022" spans="1:14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</row>
    <row r="1023" spans="1:14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</row>
    <row r="1024" spans="1:14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</row>
    <row r="1025" spans="1:14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</row>
    <row r="1026" spans="1:14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</row>
    <row r="1027" spans="1:14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</row>
    <row r="1028" spans="1:14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</row>
    <row r="1029" spans="1:14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</row>
    <row r="1030" spans="1:14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</row>
    <row r="1031" spans="1:14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</row>
    <row r="1032" spans="1:14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</row>
    <row r="1033" spans="1:14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</row>
    <row r="1034" spans="1:14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</row>
    <row r="1035" spans="1:14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</row>
    <row r="1036" spans="1:14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</row>
    <row r="1037" spans="1:14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</row>
    <row r="1038" spans="1:14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</row>
    <row r="1039" spans="1:14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</row>
    <row r="1040" spans="1:14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</row>
    <row r="1041" spans="1:14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</row>
    <row r="1042" spans="1:14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</row>
    <row r="1043" spans="1:14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</row>
    <row r="1044" spans="1:14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</row>
    <row r="1045" spans="1:14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</row>
    <row r="1046" spans="1:14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</row>
    <row r="1047" spans="1:14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</row>
    <row r="1048" spans="1:14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</row>
    <row r="1049" spans="1:14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</row>
    <row r="1050" spans="1:14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</row>
    <row r="1051" spans="1:14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</row>
    <row r="1052" spans="1:14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</row>
    <row r="1053" spans="1:14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</row>
    <row r="1054" spans="1:14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</row>
    <row r="1055" spans="1:14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</row>
    <row r="1056" spans="1:14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</row>
    <row r="1057" spans="1:14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</row>
    <row r="1058" spans="1:14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</row>
    <row r="1059" spans="1:14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</row>
    <row r="1060" spans="1:14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</row>
    <row r="1061" spans="1:14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</row>
    <row r="1062" spans="1:14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</row>
    <row r="1063" spans="1:14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</row>
    <row r="1064" spans="1:14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</row>
    <row r="1065" spans="1:14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</row>
    <row r="1066" spans="1:14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</row>
    <row r="1067" spans="1:14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</row>
    <row r="1068" spans="1:14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</row>
    <row r="1069" spans="1:14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</row>
    <row r="1070" spans="1:14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</row>
    <row r="1071" spans="1:14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</row>
    <row r="1072" spans="1:14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</row>
    <row r="1073" spans="1:14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</row>
    <row r="1074" spans="1:14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</row>
    <row r="1075" spans="1:14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</row>
    <row r="1076" spans="1:14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</row>
    <row r="1077" spans="1:14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</row>
    <row r="1078" spans="1:14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</row>
    <row r="1079" spans="1:14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</row>
    <row r="1080" spans="1:14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</row>
    <row r="1081" spans="1:14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</row>
    <row r="1082" spans="1:14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</row>
    <row r="1083" spans="1:14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</row>
    <row r="1084" spans="1:14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</row>
    <row r="1085" spans="1:14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</row>
    <row r="1086" spans="1:14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</row>
    <row r="1087" spans="1:14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</row>
    <row r="1088" spans="1:14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</row>
    <row r="1089" spans="1:14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</row>
    <row r="1090" spans="1:14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</row>
    <row r="1091" spans="1:14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</row>
    <row r="1092" spans="1:14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</row>
    <row r="1093" spans="1:14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</row>
    <row r="1094" spans="1:14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</row>
    <row r="1095" spans="1:14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</row>
    <row r="1096" spans="1:14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</row>
    <row r="1097" spans="1:14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</row>
    <row r="1098" spans="1:14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</row>
    <row r="1099" spans="1:14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</row>
    <row r="1100" spans="1:14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</row>
    <row r="1101" spans="1:14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</row>
    <row r="1102" spans="1:14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</row>
    <row r="1103" spans="1:14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</row>
    <row r="1104" spans="1:14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</row>
    <row r="1105" spans="1:14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</row>
    <row r="1106" spans="1:14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</row>
    <row r="1107" spans="1:14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</row>
    <row r="1108" spans="1:14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</row>
    <row r="1109" spans="1:14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</row>
    <row r="1110" spans="1:14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</row>
    <row r="1111" spans="1:14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</row>
    <row r="1112" spans="1:14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</row>
    <row r="1113" spans="1:14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</row>
    <row r="1114" spans="1:14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</row>
    <row r="1115" spans="1:14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</row>
    <row r="1116" spans="1:14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</row>
    <row r="1117" spans="1:14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</row>
    <row r="1118" spans="1:14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</row>
    <row r="1119" spans="1:14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</row>
    <row r="1120" spans="1:14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</row>
    <row r="1121" spans="1:14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</row>
    <row r="1122" spans="1:14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</row>
    <row r="1123" spans="1:14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</row>
    <row r="1124" spans="1:14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</row>
    <row r="1125" spans="1:14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</row>
    <row r="1126" spans="1:14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</row>
    <row r="1127" spans="1:14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</row>
    <row r="1128" spans="1:14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</row>
    <row r="1129" spans="1:14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</row>
    <row r="1130" spans="1:14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</row>
    <row r="1131" spans="1:14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</row>
    <row r="1132" spans="1:14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</row>
    <row r="1133" spans="1:14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</row>
    <row r="1134" spans="1:14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</row>
    <row r="1135" spans="1:14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</row>
    <row r="1136" spans="1:14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</row>
    <row r="1137" spans="1:14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</row>
    <row r="1138" spans="1:14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</row>
    <row r="1139" spans="1:14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</row>
    <row r="1140" spans="1:14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</row>
    <row r="1141" spans="1:14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</row>
    <row r="1142" spans="1:14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</row>
    <row r="1143" spans="1:14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</row>
    <row r="1144" spans="1:14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</row>
    <row r="1145" spans="1:14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</row>
    <row r="1146" spans="1:14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</row>
    <row r="1147" spans="1:14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</row>
    <row r="1148" spans="1:14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</row>
    <row r="1149" spans="1:14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</row>
    <row r="1150" spans="1:14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</row>
    <row r="1151" spans="1:14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</row>
    <row r="1152" spans="1:14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</row>
    <row r="1153" spans="3:14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</row>
    <row r="1154" spans="3:14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</row>
  </sheetData>
  <mergeCells count="1">
    <mergeCell ref="A1:A2"/>
  </mergeCells>
  <conditionalFormatting sqref="J7:N7">
    <cfRule type="expression" dxfId="394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4" customWidth="1"/>
    <col min="32" max="32" width="12.42578125" style="104" customWidth="1"/>
    <col min="33" max="33" width="12.5703125" style="104" customWidth="1"/>
    <col min="34" max="34" width="12.140625" style="104" customWidth="1"/>
    <col min="35" max="16384" width="9.140625" style="104"/>
  </cols>
  <sheetData>
    <row r="1" spans="1:47" s="1" customFormat="1" ht="23.25" x14ac:dyDescent="0.35">
      <c r="A1" s="171"/>
      <c r="C1" s="135" t="s">
        <v>326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42" t="s">
        <v>1634</v>
      </c>
      <c r="AA1" s="143"/>
      <c r="AB1" s="143"/>
      <c r="AC1" s="143"/>
      <c r="AD1" s="116" t="s">
        <v>1176</v>
      </c>
      <c r="AE1" s="117"/>
      <c r="AF1" s="116" t="s">
        <v>1175</v>
      </c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</row>
    <row r="2" spans="1:47" s="2" customFormat="1" x14ac:dyDescent="0.25">
      <c r="A2" s="17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359</v>
      </c>
      <c r="K3" s="48"/>
      <c r="L3" s="48"/>
      <c r="M3" s="48"/>
      <c r="N3" s="46" t="s">
        <v>1624</v>
      </c>
      <c r="O3" s="48"/>
      <c r="P3" s="48"/>
      <c r="Q3" s="47"/>
      <c r="R3" s="46" t="s">
        <v>320</v>
      </c>
      <c r="S3" s="48"/>
      <c r="T3" s="48"/>
      <c r="U3" s="48"/>
      <c r="V3" s="46" t="s">
        <v>1166</v>
      </c>
      <c r="W3" s="48"/>
      <c r="X3" s="48"/>
      <c r="Y3" s="47"/>
      <c r="Z3" s="149" t="s">
        <v>1632</v>
      </c>
      <c r="AA3" s="154"/>
      <c r="AB3" s="154"/>
      <c r="AC3" s="155"/>
      <c r="AD3" s="63" t="s">
        <v>91</v>
      </c>
      <c r="AE3" s="63"/>
      <c r="AF3" s="119" t="s">
        <v>359</v>
      </c>
      <c r="AG3" s="120"/>
      <c r="AH3" s="120"/>
      <c r="AI3" s="120"/>
      <c r="AJ3" s="119" t="s">
        <v>1164</v>
      </c>
      <c r="AK3" s="120"/>
      <c r="AL3" s="120"/>
      <c r="AM3" s="120"/>
      <c r="AN3" s="119" t="s">
        <v>320</v>
      </c>
      <c r="AO3" s="120"/>
      <c r="AP3" s="120"/>
      <c r="AQ3" s="120"/>
      <c r="AR3" s="119" t="s">
        <v>1165</v>
      </c>
      <c r="AS3" s="120"/>
      <c r="AT3" s="120"/>
      <c r="AU3" s="121"/>
    </row>
    <row r="4" spans="1:47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13" t="s">
        <v>322</v>
      </c>
      <c r="L4" s="13" t="s">
        <v>323</v>
      </c>
      <c r="M4" s="13" t="s">
        <v>324</v>
      </c>
      <c r="N4" s="8" t="s">
        <v>327</v>
      </c>
      <c r="O4" s="13" t="s">
        <v>329</v>
      </c>
      <c r="P4" s="13" t="s">
        <v>328</v>
      </c>
      <c r="Q4" s="9" t="s">
        <v>330</v>
      </c>
      <c r="R4" s="8" t="s">
        <v>321</v>
      </c>
      <c r="S4" s="13" t="s">
        <v>322</v>
      </c>
      <c r="T4" s="13" t="s">
        <v>323</v>
      </c>
      <c r="U4" s="13" t="s">
        <v>324</v>
      </c>
      <c r="V4" s="8" t="s">
        <v>327</v>
      </c>
      <c r="W4" s="13" t="s">
        <v>329</v>
      </c>
      <c r="X4" s="13" t="s">
        <v>328</v>
      </c>
      <c r="Y4" s="9" t="s">
        <v>330</v>
      </c>
      <c r="Z4" s="150" t="s">
        <v>359</v>
      </c>
      <c r="AA4" s="152" t="s">
        <v>1624</v>
      </c>
      <c r="AB4" s="152" t="s">
        <v>320</v>
      </c>
      <c r="AC4" s="156" t="s">
        <v>1166</v>
      </c>
      <c r="AD4" s="11" t="s">
        <v>772</v>
      </c>
      <c r="AE4" s="11" t="s">
        <v>773</v>
      </c>
      <c r="AF4" s="122" t="s">
        <v>321</v>
      </c>
      <c r="AG4" s="123" t="s">
        <v>322</v>
      </c>
      <c r="AH4" s="123" t="s">
        <v>323</v>
      </c>
      <c r="AI4" s="123" t="s">
        <v>324</v>
      </c>
      <c r="AJ4" s="122" t="s">
        <v>327</v>
      </c>
      <c r="AK4" s="123" t="s">
        <v>329</v>
      </c>
      <c r="AL4" s="123" t="s">
        <v>328</v>
      </c>
      <c r="AM4" s="123" t="s">
        <v>330</v>
      </c>
      <c r="AN4" s="122" t="s">
        <v>321</v>
      </c>
      <c r="AO4" s="123" t="s">
        <v>322</v>
      </c>
      <c r="AP4" s="123" t="s">
        <v>323</v>
      </c>
      <c r="AQ4" s="123" t="s">
        <v>324</v>
      </c>
      <c r="AR4" s="122" t="s">
        <v>327</v>
      </c>
      <c r="AS4" s="123" t="s">
        <v>329</v>
      </c>
      <c r="AT4" s="123" t="s">
        <v>328</v>
      </c>
      <c r="AU4" s="124" t="s">
        <v>330</v>
      </c>
    </row>
    <row r="5" spans="1:47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SUBTOTAL(109,tb_prev_T[D_tb_prev_D_fy19])</f>
        <v>0</v>
      </c>
      <c r="AE5" s="60">
        <f>SUBTOTAL(109,tb_prev_T[D_tb_prev_fy19])</f>
        <v>0</v>
      </c>
      <c r="AF5" s="60">
        <f>SUBTOTAL(109,tb_prev_T[tb_prev_D_u15_f_pos])</f>
        <v>0</v>
      </c>
      <c r="AG5" s="60">
        <f>SUBTOTAL(109,tb_prev_T[tb_prev_D_u15_m_pos])</f>
        <v>0</v>
      </c>
      <c r="AH5" s="60">
        <f>SUBTOTAL(109,tb_prev_T[tb_prev_D_o15_f_pos])</f>
        <v>0</v>
      </c>
      <c r="AI5" s="60">
        <f>SUBTOTAL(109,tb_prev_T[tb_prev_D_o15_m_pos])</f>
        <v>0</v>
      </c>
      <c r="AJ5" s="60">
        <f>SUBTOTAL(109,tb_prev_T[tb_prev_D_alt_tpt_life_already_pos])</f>
        <v>0</v>
      </c>
      <c r="AK5" s="60">
        <f>SUBTOTAL(109,tb_prev_T[tb_prev_D_ipt_life_already_pos])</f>
        <v>0</v>
      </c>
      <c r="AL5" s="60">
        <f>SUBTOTAL(109,tb_prev_T[tb_prev_D_alt_tpt_life_new_pos])</f>
        <v>0</v>
      </c>
      <c r="AM5" s="60">
        <f>SUBTOTAL(109,tb_prev_T[tb_prev_D_ipt_life_new_pos])</f>
        <v>0</v>
      </c>
      <c r="AN5" s="60">
        <f>SUBTOTAL(109,tb_prev_T[tb_prev_u15_f_pos])</f>
        <v>0</v>
      </c>
      <c r="AO5" s="60">
        <f>SUBTOTAL(109,tb_prev_T[tb_prev_u15_m_pos])</f>
        <v>0</v>
      </c>
      <c r="AP5" s="60">
        <f>SUBTOTAL(109,tb_prev_T[tb_prev_o15_f_pos])</f>
        <v>0</v>
      </c>
      <c r="AQ5" s="60">
        <f>SUBTOTAL(109,tb_prev_T[tb_prev_o15_m_pos])</f>
        <v>0</v>
      </c>
      <c r="AR5" s="60">
        <f>SUBTOTAL(109,tb_prev_T[tb_prev_alt_tpt_life_already_pos])</f>
        <v>0</v>
      </c>
      <c r="AS5" s="60">
        <f>SUBTOTAL(109,tb_prev_T[tb_prev_ipt_life_already_pos])</f>
        <v>0</v>
      </c>
      <c r="AT5" s="60">
        <f>SUBTOTAL(109,tb_prev_T[tb_prev_alt_tpt_life_new_pos])</f>
        <v>0</v>
      </c>
      <c r="AU5" s="60">
        <f>SUBTOTAL(109,tb_prev_T[tb_prev_ipt_life_new_pos])</f>
        <v>0</v>
      </c>
    </row>
    <row r="6" spans="1:47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1400</v>
      </c>
      <c r="K6" s="26" t="s">
        <v>1401</v>
      </c>
      <c r="L6" s="26" t="s">
        <v>1402</v>
      </c>
      <c r="M6" s="26" t="s">
        <v>1403</v>
      </c>
      <c r="N6" s="26" t="s">
        <v>1404</v>
      </c>
      <c r="O6" s="26" t="s">
        <v>1405</v>
      </c>
      <c r="P6" s="26" t="s">
        <v>1406</v>
      </c>
      <c r="Q6" s="26" t="s">
        <v>1407</v>
      </c>
      <c r="R6" s="26" t="s">
        <v>1408</v>
      </c>
      <c r="S6" s="26" t="s">
        <v>1409</v>
      </c>
      <c r="T6" s="26" t="s">
        <v>1410</v>
      </c>
      <c r="U6" s="26" t="s">
        <v>1411</v>
      </c>
      <c r="V6" s="26" t="s">
        <v>1412</v>
      </c>
      <c r="W6" s="26" t="s">
        <v>1413</v>
      </c>
      <c r="X6" s="26" t="s">
        <v>1414</v>
      </c>
      <c r="Y6" s="26" t="s">
        <v>1415</v>
      </c>
      <c r="Z6" s="26" t="s">
        <v>1630</v>
      </c>
      <c r="AA6" s="26" t="s">
        <v>1631</v>
      </c>
      <c r="AB6" s="26" t="s">
        <v>1633</v>
      </c>
      <c r="AC6" s="26" t="s">
        <v>1635</v>
      </c>
      <c r="AD6" s="26" t="s">
        <v>924</v>
      </c>
      <c r="AE6" s="26" t="s">
        <v>925</v>
      </c>
      <c r="AF6" s="26" t="s">
        <v>623</v>
      </c>
      <c r="AG6" s="26" t="s">
        <v>624</v>
      </c>
      <c r="AH6" s="26" t="s">
        <v>625</v>
      </c>
      <c r="AI6" s="26" t="s">
        <v>626</v>
      </c>
      <c r="AJ6" s="26" t="s">
        <v>627</v>
      </c>
      <c r="AK6" s="26" t="s">
        <v>629</v>
      </c>
      <c r="AL6" s="26" t="s">
        <v>628</v>
      </c>
      <c r="AM6" s="26" t="s">
        <v>630</v>
      </c>
      <c r="AN6" s="26" t="s">
        <v>631</v>
      </c>
      <c r="AO6" s="26" t="s">
        <v>632</v>
      </c>
      <c r="AP6" s="26" t="s">
        <v>633</v>
      </c>
      <c r="AQ6" s="26" t="s">
        <v>634</v>
      </c>
      <c r="AR6" s="26" t="s">
        <v>635</v>
      </c>
      <c r="AS6" s="26" t="s">
        <v>637</v>
      </c>
      <c r="AT6" s="26" t="s">
        <v>636</v>
      </c>
      <c r="AU6" s="26" t="s">
        <v>638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SUM(tb_prev_T[[#This Row],[A_tb_prev_D_u15_f_pos]:[A_tb_prev_D_o15_m_pos]])</f>
        <v>0</v>
      </c>
      <c r="AA7" s="161">
        <f>SUM(tb_prev_T[[#This Row],[A_tb_prev_D_alt_tpt_life_already_pos]:[A_tb_prev_D_ipt_life_new_pos]])</f>
        <v>0</v>
      </c>
      <c r="AB7" s="161">
        <f>SUM(tb_prev_T[[#This Row],[A_tb_prev_u15_f_pos]:[A_tb_prev_o15_m_pos]])</f>
        <v>0</v>
      </c>
      <c r="AC7" s="161">
        <f>SUM(tb_prev_T[[#This Row],[A_tb_prev_alt_tpt_life_already_pos]:[A_tb_prev_ipt_life_new_pos]])</f>
        <v>0</v>
      </c>
      <c r="AD7" s="42"/>
      <c r="AE7" s="42"/>
      <c r="AF7" s="64">
        <f>tb_prev_T[[D_tb_prev_D_fy19]:[D_tb_prev_D_fy19]]*tb_prev_T[A_tb_prev_D_u15_f_pos]</f>
        <v>0</v>
      </c>
      <c r="AG7" s="64">
        <f>tb_prev_T[[D_tb_prev_D_fy19]:[D_tb_prev_D_fy19]]*tb_prev_T[A_tb_prev_D_u15_m_pos]</f>
        <v>0</v>
      </c>
      <c r="AH7" s="64">
        <f>tb_prev_T[[D_tb_prev_D_fy19]:[D_tb_prev_D_fy19]]*tb_prev_T[A_tb_prev_D_o15_f_pos]</f>
        <v>0</v>
      </c>
      <c r="AI7" s="64">
        <f>tb_prev_T[[D_tb_prev_D_fy19]:[D_tb_prev_D_fy19]]*tb_prev_T[A_tb_prev_D_o15_m_pos]</f>
        <v>0</v>
      </c>
      <c r="AJ7" s="64">
        <f>tb_prev_T[[D_tb_prev_D_fy19]:[D_tb_prev_D_fy19]]*tb_prev_T[A_tb_prev_D_alt_tpt_life_already_pos]</f>
        <v>0</v>
      </c>
      <c r="AK7" s="64">
        <f>tb_prev_T[[D_tb_prev_D_fy19]:[D_tb_prev_D_fy19]]*tb_prev_T[A_tb_prev_D_ipt_life_already_pos]</f>
        <v>0</v>
      </c>
      <c r="AL7" s="64">
        <f>tb_prev_T[[D_tb_prev_D_fy19]:[D_tb_prev_D_fy19]]*tb_prev_T[A_tb_prev_D_alt_tpt_life_new_pos]</f>
        <v>0</v>
      </c>
      <c r="AM7" s="64">
        <f>tb_prev_T[[D_tb_prev_D_fy19]:[D_tb_prev_D_fy19]]*tb_prev_T[A_tb_prev_D_ipt_life_new_pos]</f>
        <v>0</v>
      </c>
      <c r="AN7" s="64">
        <f>tb_prev_T[[D_tb_prev_fy19]:[D_tb_prev_fy19]]*tb_prev_T[A_tb_prev_u15_f_pos]</f>
        <v>0</v>
      </c>
      <c r="AO7" s="64">
        <f>tb_prev_T[[D_tb_prev_fy19]:[D_tb_prev_fy19]]*tb_prev_T[A_tb_prev_u15_m_pos]</f>
        <v>0</v>
      </c>
      <c r="AP7" s="64">
        <f>tb_prev_T[[D_tb_prev_fy19]:[D_tb_prev_fy19]]*tb_prev_T[A_tb_prev_o15_f_pos]</f>
        <v>0</v>
      </c>
      <c r="AQ7" s="64">
        <f>tb_prev_T[[D_tb_prev_fy19]:[D_tb_prev_fy19]]*tb_prev_T[A_tb_prev_o15_m_pos]</f>
        <v>0</v>
      </c>
      <c r="AR7" s="64">
        <f>tb_prev_T[[D_tb_prev_fy19]:[D_tb_prev_fy19]]*tb_prev_T[A_tb_prev_alt_tpt_life_already_pos]</f>
        <v>0</v>
      </c>
      <c r="AS7" s="64">
        <f>tb_prev_T[[D_tb_prev_fy19]:[D_tb_prev_fy19]]*tb_prev_T[A_tb_prev_ipt_life_already_pos]</f>
        <v>0</v>
      </c>
      <c r="AT7" s="64">
        <f>tb_prev_T[[D_tb_prev_fy19]:[D_tb_prev_fy19]]*tb_prev_T[A_tb_prev_alt_tpt_life_new_pos]</f>
        <v>0</v>
      </c>
      <c r="AU7" s="64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7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7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7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7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Q7">
    <cfRule type="expression" dxfId="372" priority="2">
      <formula>$AD7=0</formula>
    </cfRule>
  </conditionalFormatting>
  <conditionalFormatting sqref="R7:AC7">
    <cfRule type="expression" dxfId="371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zoomScale="85" zoomScaleNormal="85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71"/>
      <c r="C1" s="135" t="s">
        <v>10</v>
      </c>
      <c r="D1" s="2"/>
      <c r="J1" s="113" t="s">
        <v>1174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45" t="s">
        <v>1634</v>
      </c>
      <c r="AC1" s="146"/>
      <c r="AD1" s="52" t="s">
        <v>1176</v>
      </c>
      <c r="AE1" s="59"/>
      <c r="AF1" s="59"/>
      <c r="AG1" s="113" t="s">
        <v>1175</v>
      </c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1:50" s="2" customFormat="1" x14ac:dyDescent="0.25">
      <c r="A2" s="171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777</v>
      </c>
      <c r="K3" s="48"/>
      <c r="L3" s="48"/>
      <c r="M3" s="47"/>
      <c r="N3" s="46" t="s">
        <v>778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7"/>
      <c r="AB3" s="154" t="s">
        <v>1632</v>
      </c>
      <c r="AC3" s="154"/>
      <c r="AD3" s="61" t="s">
        <v>91</v>
      </c>
      <c r="AE3" s="63"/>
      <c r="AF3" s="65"/>
      <c r="AG3" s="119" t="s">
        <v>777</v>
      </c>
      <c r="AH3" s="120"/>
      <c r="AI3" s="120"/>
      <c r="AJ3" s="121"/>
      <c r="AK3" s="119" t="s">
        <v>778</v>
      </c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1"/>
    </row>
    <row r="4" spans="1:50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332</v>
      </c>
      <c r="K4" s="13" t="s">
        <v>337</v>
      </c>
      <c r="L4" s="13" t="s">
        <v>333</v>
      </c>
      <c r="M4" s="9" t="s">
        <v>334</v>
      </c>
      <c r="N4" s="13" t="s">
        <v>335</v>
      </c>
      <c r="O4" s="13" t="s">
        <v>336</v>
      </c>
      <c r="P4" s="13" t="s">
        <v>338</v>
      </c>
      <c r="Q4" s="13" t="s">
        <v>339</v>
      </c>
      <c r="R4" s="13" t="s">
        <v>340</v>
      </c>
      <c r="S4" s="13" t="s">
        <v>341</v>
      </c>
      <c r="T4" s="13" t="s">
        <v>342</v>
      </c>
      <c r="U4" s="13" t="s">
        <v>343</v>
      </c>
      <c r="V4" s="13" t="s">
        <v>344</v>
      </c>
      <c r="W4" s="13" t="s">
        <v>345</v>
      </c>
      <c r="X4" s="13" t="s">
        <v>346</v>
      </c>
      <c r="Y4" s="13" t="s">
        <v>347</v>
      </c>
      <c r="Z4" s="13" t="s">
        <v>348</v>
      </c>
      <c r="AA4" s="9" t="s">
        <v>349</v>
      </c>
      <c r="AB4" s="152" t="s">
        <v>777</v>
      </c>
      <c r="AC4" s="152" t="s">
        <v>778</v>
      </c>
      <c r="AD4" s="10" t="s">
        <v>10</v>
      </c>
      <c r="AE4" s="11" t="s">
        <v>779</v>
      </c>
      <c r="AF4" s="12" t="s">
        <v>780</v>
      </c>
      <c r="AG4" s="122" t="s">
        <v>332</v>
      </c>
      <c r="AH4" s="123" t="s">
        <v>337</v>
      </c>
      <c r="AI4" s="123" t="s">
        <v>333</v>
      </c>
      <c r="AJ4" s="124" t="s">
        <v>334</v>
      </c>
      <c r="AK4" s="123" t="s">
        <v>335</v>
      </c>
      <c r="AL4" s="123" t="s">
        <v>336</v>
      </c>
      <c r="AM4" s="123" t="s">
        <v>338</v>
      </c>
      <c r="AN4" s="123" t="s">
        <v>339</v>
      </c>
      <c r="AO4" s="123" t="s">
        <v>340</v>
      </c>
      <c r="AP4" s="123" t="s">
        <v>341</v>
      </c>
      <c r="AQ4" s="123" t="s">
        <v>342</v>
      </c>
      <c r="AR4" s="123" t="s">
        <v>343</v>
      </c>
      <c r="AS4" s="123" t="s">
        <v>344</v>
      </c>
      <c r="AT4" s="123" t="s">
        <v>345</v>
      </c>
      <c r="AU4" s="123" t="s">
        <v>346</v>
      </c>
      <c r="AV4" s="123" t="s">
        <v>347</v>
      </c>
      <c r="AW4" s="123" t="s">
        <v>348</v>
      </c>
      <c r="AX4" s="124" t="s">
        <v>349</v>
      </c>
    </row>
    <row r="5" spans="1:50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SUBTOTAL(109,tx_curr_T[D_tx_curr_fy19])</f>
        <v>0</v>
      </c>
      <c r="AE5" s="60">
        <f>SUBTOTAL(109,tx_curr_T[D_tx_curr_u15_fy19])</f>
        <v>0</v>
      </c>
      <c r="AF5" s="60">
        <f>SUBTOTAL(109,tx_curr_T[D_tx_curr_o15_fy19])</f>
        <v>0</v>
      </c>
      <c r="AG5" s="60">
        <f>SUBTOTAL(109,tx_curr_T[tx_curr_u1_unk_pos])</f>
        <v>0</v>
      </c>
      <c r="AH5" s="60">
        <f>SUBTOTAL(109,tx_curr_T[tx_curr_0109_unk_pos])</f>
        <v>0</v>
      </c>
      <c r="AI5" s="60">
        <f>SUBTOTAL(109,tx_curr_T[tx_curr_1014_f_pos])</f>
        <v>0</v>
      </c>
      <c r="AJ5" s="60">
        <f>SUBTOTAL(109,tx_curr_T[tx_curr_1014_m_pos])</f>
        <v>0</v>
      </c>
      <c r="AK5" s="60">
        <f>SUBTOTAL(109,tx_curr_T[tx_curr_1519_f_pos])</f>
        <v>0</v>
      </c>
      <c r="AL5" s="60">
        <f>SUBTOTAL(109,tx_curr_T[tx_curr_1519_m_pos])</f>
        <v>0</v>
      </c>
      <c r="AM5" s="60">
        <f>SUBTOTAL(109,tx_curr_T[tx_curr_2024_f_pos])</f>
        <v>0</v>
      </c>
      <c r="AN5" s="60">
        <f>SUBTOTAL(109,tx_curr_T[tx_curr_2024_m_pos])</f>
        <v>0</v>
      </c>
      <c r="AO5" s="60">
        <f>SUBTOTAL(109,tx_curr_T[tx_curr_2529_f_pos])</f>
        <v>0</v>
      </c>
      <c r="AP5" s="60">
        <f>SUBTOTAL(109,tx_curr_T[tx_curr_2529_m_pos])</f>
        <v>0</v>
      </c>
      <c r="AQ5" s="60">
        <f>SUBTOTAL(109,tx_curr_T[tx_curr_3034_f_pos])</f>
        <v>0</v>
      </c>
      <c r="AR5" s="60">
        <f>SUBTOTAL(109,tx_curr_T[tx_curr_3034_m_pos])</f>
        <v>0</v>
      </c>
      <c r="AS5" s="60">
        <f>SUBTOTAL(109,tx_curr_T[tx_curr_3539_f_pos])</f>
        <v>0</v>
      </c>
      <c r="AT5" s="60">
        <f>SUBTOTAL(109,tx_curr_T[tx_curr_3539_m_pos])</f>
        <v>0</v>
      </c>
      <c r="AU5" s="60">
        <f>SUBTOTAL(109,tx_curr_T[tx_curr_4049_f_pos])</f>
        <v>0</v>
      </c>
      <c r="AV5" s="60">
        <f>SUBTOTAL(109,tx_curr_T[tx_curr_4049_m_pos])</f>
        <v>0</v>
      </c>
      <c r="AW5" s="60">
        <f>SUBTOTAL(109,tx_curr_T[tx_curr_o50_f_pos])</f>
        <v>0</v>
      </c>
      <c r="AX5" s="60">
        <f>SUBTOTAL(109,tx_curr_T[tx_curr_o50_m_pos])</f>
        <v>0</v>
      </c>
    </row>
    <row r="6" spans="1:50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1416</v>
      </c>
      <c r="K6" s="26" t="s">
        <v>1417</v>
      </c>
      <c r="L6" s="26" t="s">
        <v>1418</v>
      </c>
      <c r="M6" s="26" t="s">
        <v>1419</v>
      </c>
      <c r="N6" s="26" t="s">
        <v>1420</v>
      </c>
      <c r="O6" s="26" t="s">
        <v>1421</v>
      </c>
      <c r="P6" s="26" t="s">
        <v>1422</v>
      </c>
      <c r="Q6" s="26" t="s">
        <v>1423</v>
      </c>
      <c r="R6" s="26" t="s">
        <v>1424</v>
      </c>
      <c r="S6" s="26" t="s">
        <v>1425</v>
      </c>
      <c r="T6" s="26" t="s">
        <v>1426</v>
      </c>
      <c r="U6" s="26" t="s">
        <v>1427</v>
      </c>
      <c r="V6" s="26" t="s">
        <v>1428</v>
      </c>
      <c r="W6" s="26" t="s">
        <v>1429</v>
      </c>
      <c r="X6" s="26" t="s">
        <v>1430</v>
      </c>
      <c r="Y6" s="26" t="s">
        <v>1431</v>
      </c>
      <c r="Z6" s="26" t="s">
        <v>1432</v>
      </c>
      <c r="AA6" s="26" t="s">
        <v>1433</v>
      </c>
      <c r="AB6" s="26" t="s">
        <v>1630</v>
      </c>
      <c r="AC6" s="26" t="s">
        <v>1631</v>
      </c>
      <c r="AD6" s="26" t="s">
        <v>911</v>
      </c>
      <c r="AE6" s="26" t="s">
        <v>1103</v>
      </c>
      <c r="AF6" s="26" t="s">
        <v>1111</v>
      </c>
      <c r="AG6" s="26" t="s">
        <v>742</v>
      </c>
      <c r="AH6" s="26" t="s">
        <v>743</v>
      </c>
      <c r="AI6" s="26" t="s">
        <v>643</v>
      </c>
      <c r="AJ6" s="26" t="s">
        <v>644</v>
      </c>
      <c r="AK6" s="26" t="s">
        <v>645</v>
      </c>
      <c r="AL6" s="26" t="s">
        <v>646</v>
      </c>
      <c r="AM6" s="26" t="s">
        <v>647</v>
      </c>
      <c r="AN6" s="26" t="s">
        <v>648</v>
      </c>
      <c r="AO6" s="26" t="s">
        <v>649</v>
      </c>
      <c r="AP6" s="26" t="s">
        <v>650</v>
      </c>
      <c r="AQ6" s="26" t="s">
        <v>651</v>
      </c>
      <c r="AR6" s="26" t="s">
        <v>652</v>
      </c>
      <c r="AS6" s="26" t="s">
        <v>653</v>
      </c>
      <c r="AT6" s="26" t="s">
        <v>654</v>
      </c>
      <c r="AU6" s="26" t="s">
        <v>655</v>
      </c>
      <c r="AV6" s="26" t="s">
        <v>656</v>
      </c>
      <c r="AW6" s="26" t="s">
        <v>657</v>
      </c>
      <c r="AX6" s="26" t="s">
        <v>658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SUM(tx_curr_T[[#This Row],[A_tx_curr_u1_unk_pos]:[A_tx_curr_1014_m_pos]])</f>
        <v>0</v>
      </c>
      <c r="AC7" s="161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tx_curr_T[[D_tx_curr_o15_fy19]:[D_tx_curr_o15_fy19]]*tx_curr_T[A_tx_curr_o50_m_pos]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50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50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50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50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323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topLeftCell="AI1" zoomScale="85" zoomScaleNormal="85" workbookViewId="0">
      <pane ySplit="4" topLeftCell="A5" activePane="bottomLeft" state="frozen"/>
      <selection pane="bottomLeft" activeCell="AU7" sqref="AU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71"/>
      <c r="C1" s="135" t="s">
        <v>4</v>
      </c>
      <c r="D1" s="2"/>
      <c r="J1" s="113" t="s">
        <v>1174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42" t="s">
        <v>1634</v>
      </c>
      <c r="AJ1" s="143"/>
      <c r="AK1" s="143"/>
      <c r="AL1" s="144"/>
      <c r="AM1" s="58" t="s">
        <v>1176</v>
      </c>
      <c r="AN1" s="59"/>
      <c r="AO1" s="59"/>
      <c r="AP1" s="113" t="s">
        <v>1175</v>
      </c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</row>
    <row r="2" spans="1:66" s="2" customFormat="1" x14ac:dyDescent="0.25">
      <c r="A2" s="17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777</v>
      </c>
      <c r="K3" s="48"/>
      <c r="L3" s="48"/>
      <c r="M3" s="47"/>
      <c r="N3" s="48" t="s">
        <v>778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55" t="s">
        <v>1663</v>
      </c>
      <c r="AC3" s="56"/>
      <c r="AD3" s="56"/>
      <c r="AE3" s="56"/>
      <c r="AF3" s="57"/>
      <c r="AG3" s="55" t="s">
        <v>1664</v>
      </c>
      <c r="AH3" s="57"/>
      <c r="AI3" s="153" t="s">
        <v>1632</v>
      </c>
      <c r="AJ3" s="153"/>
      <c r="AK3" s="153"/>
      <c r="AL3" s="153"/>
      <c r="AM3" s="61" t="s">
        <v>745</v>
      </c>
      <c r="AN3" s="63"/>
      <c r="AO3" s="65"/>
      <c r="AP3" s="119" t="s">
        <v>777</v>
      </c>
      <c r="AQ3" s="120"/>
      <c r="AR3" s="120"/>
      <c r="AS3" s="121"/>
      <c r="AT3" s="119" t="s">
        <v>778</v>
      </c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32" t="s">
        <v>1650</v>
      </c>
      <c r="BI3" s="133"/>
      <c r="BJ3" s="133"/>
      <c r="BK3" s="133"/>
      <c r="BL3" s="134"/>
      <c r="BM3" s="132" t="s">
        <v>358</v>
      </c>
      <c r="BN3" s="134"/>
    </row>
    <row r="4" spans="1:66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332</v>
      </c>
      <c r="K4" s="13" t="s">
        <v>337</v>
      </c>
      <c r="L4" s="13" t="s">
        <v>333</v>
      </c>
      <c r="M4" s="9" t="s">
        <v>334</v>
      </c>
      <c r="N4" s="13" t="s">
        <v>335</v>
      </c>
      <c r="O4" s="13" t="s">
        <v>336</v>
      </c>
      <c r="P4" s="13" t="s">
        <v>338</v>
      </c>
      <c r="Q4" s="13" t="s">
        <v>339</v>
      </c>
      <c r="R4" s="13" t="s">
        <v>340</v>
      </c>
      <c r="S4" s="13" t="s">
        <v>341</v>
      </c>
      <c r="T4" s="13" t="s">
        <v>342</v>
      </c>
      <c r="U4" s="13" t="s">
        <v>343</v>
      </c>
      <c r="V4" s="13" t="s">
        <v>344</v>
      </c>
      <c r="W4" s="13" t="s">
        <v>345</v>
      </c>
      <c r="X4" s="13" t="s">
        <v>346</v>
      </c>
      <c r="Y4" s="13" t="s">
        <v>347</v>
      </c>
      <c r="Z4" s="13" t="s">
        <v>348</v>
      </c>
      <c r="AA4" s="13" t="s">
        <v>349</v>
      </c>
      <c r="AB4" s="8" t="s">
        <v>350</v>
      </c>
      <c r="AC4" s="13" t="s">
        <v>351</v>
      </c>
      <c r="AD4" s="13" t="s">
        <v>352</v>
      </c>
      <c r="AE4" s="13" t="s">
        <v>353</v>
      </c>
      <c r="AF4" s="9" t="s">
        <v>354</v>
      </c>
      <c r="AG4" s="8" t="s">
        <v>355</v>
      </c>
      <c r="AH4" s="9" t="s">
        <v>356</v>
      </c>
      <c r="AI4" s="152" t="s">
        <v>777</v>
      </c>
      <c r="AJ4" s="152" t="s">
        <v>778</v>
      </c>
      <c r="AK4" s="152" t="s">
        <v>1665</v>
      </c>
      <c r="AL4" s="152" t="s">
        <v>1666</v>
      </c>
      <c r="AM4" s="10" t="s">
        <v>4</v>
      </c>
      <c r="AN4" s="11" t="s">
        <v>775</v>
      </c>
      <c r="AO4" s="11" t="s">
        <v>776</v>
      </c>
      <c r="AP4" s="122" t="s">
        <v>332</v>
      </c>
      <c r="AQ4" s="123" t="s">
        <v>337</v>
      </c>
      <c r="AR4" s="123" t="s">
        <v>333</v>
      </c>
      <c r="AS4" s="124" t="s">
        <v>334</v>
      </c>
      <c r="AT4" s="123" t="s">
        <v>335</v>
      </c>
      <c r="AU4" s="123" t="s">
        <v>336</v>
      </c>
      <c r="AV4" s="123" t="s">
        <v>338</v>
      </c>
      <c r="AW4" s="123" t="s">
        <v>339</v>
      </c>
      <c r="AX4" s="123" t="s">
        <v>340</v>
      </c>
      <c r="AY4" s="123" t="s">
        <v>341</v>
      </c>
      <c r="AZ4" s="123" t="s">
        <v>342</v>
      </c>
      <c r="BA4" s="123" t="s">
        <v>343</v>
      </c>
      <c r="BB4" s="123" t="s">
        <v>344</v>
      </c>
      <c r="BC4" s="123" t="s">
        <v>345</v>
      </c>
      <c r="BD4" s="123" t="s">
        <v>346</v>
      </c>
      <c r="BE4" s="123" t="s">
        <v>347</v>
      </c>
      <c r="BF4" s="123" t="s">
        <v>348</v>
      </c>
      <c r="BG4" s="123" t="s">
        <v>349</v>
      </c>
      <c r="BH4" s="122" t="s">
        <v>350</v>
      </c>
      <c r="BI4" s="123" t="s">
        <v>351</v>
      </c>
      <c r="BJ4" s="123" t="s">
        <v>352</v>
      </c>
      <c r="BK4" s="123" t="s">
        <v>353</v>
      </c>
      <c r="BL4" s="124" t="s">
        <v>354</v>
      </c>
      <c r="BM4" s="122" t="s">
        <v>355</v>
      </c>
      <c r="BN4" s="124" t="s">
        <v>356</v>
      </c>
    </row>
    <row r="5" spans="1:66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1434</v>
      </c>
      <c r="K6" s="26" t="s">
        <v>1435</v>
      </c>
      <c r="L6" s="26" t="s">
        <v>1436</v>
      </c>
      <c r="M6" s="26" t="s">
        <v>1437</v>
      </c>
      <c r="N6" s="26" t="s">
        <v>1438</v>
      </c>
      <c r="O6" s="26" t="s">
        <v>1439</v>
      </c>
      <c r="P6" s="26" t="s">
        <v>1440</v>
      </c>
      <c r="Q6" s="26" t="s">
        <v>1441</v>
      </c>
      <c r="R6" s="26" t="s">
        <v>1442</v>
      </c>
      <c r="S6" s="26" t="s">
        <v>1443</v>
      </c>
      <c r="T6" s="26" t="s">
        <v>1444</v>
      </c>
      <c r="U6" s="26" t="s">
        <v>1445</v>
      </c>
      <c r="V6" s="26" t="s">
        <v>1446</v>
      </c>
      <c r="W6" s="26" t="s">
        <v>1447</v>
      </c>
      <c r="X6" s="26" t="s">
        <v>1448</v>
      </c>
      <c r="Y6" s="26" t="s">
        <v>1449</v>
      </c>
      <c r="Z6" s="26" t="s">
        <v>1450</v>
      </c>
      <c r="AA6" s="26" t="s">
        <v>1451</v>
      </c>
      <c r="AB6" s="26" t="s">
        <v>1452</v>
      </c>
      <c r="AC6" s="26" t="s">
        <v>1453</v>
      </c>
      <c r="AD6" s="26" t="s">
        <v>1454</v>
      </c>
      <c r="AE6" s="26" t="s">
        <v>1455</v>
      </c>
      <c r="AF6" s="26" t="s">
        <v>1456</v>
      </c>
      <c r="AG6" s="26" t="s">
        <v>1457</v>
      </c>
      <c r="AH6" s="26" t="s">
        <v>1458</v>
      </c>
      <c r="AI6" s="26" t="s">
        <v>1630</v>
      </c>
      <c r="AJ6" s="26" t="s">
        <v>1631</v>
      </c>
      <c r="AK6" s="26" t="s">
        <v>1633</v>
      </c>
      <c r="AL6" s="26" t="s">
        <v>1635</v>
      </c>
      <c r="AM6" s="26" t="s">
        <v>910</v>
      </c>
      <c r="AN6" s="26" t="s">
        <v>1105</v>
      </c>
      <c r="AO6" s="26" t="s">
        <v>1112</v>
      </c>
      <c r="AP6" s="26" t="s">
        <v>774</v>
      </c>
      <c r="AQ6" s="26" t="s">
        <v>744</v>
      </c>
      <c r="AR6" s="26" t="s">
        <v>659</v>
      </c>
      <c r="AS6" s="26" t="s">
        <v>660</v>
      </c>
      <c r="AT6" s="26" t="s">
        <v>661</v>
      </c>
      <c r="AU6" s="26" t="s">
        <v>662</v>
      </c>
      <c r="AV6" s="26" t="s">
        <v>663</v>
      </c>
      <c r="AW6" s="26" t="s">
        <v>664</v>
      </c>
      <c r="AX6" s="26" t="s">
        <v>665</v>
      </c>
      <c r="AY6" s="26" t="s">
        <v>666</v>
      </c>
      <c r="AZ6" s="26" t="s">
        <v>667</v>
      </c>
      <c r="BA6" s="26" t="s">
        <v>668</v>
      </c>
      <c r="BB6" s="26" t="s">
        <v>669</v>
      </c>
      <c r="BC6" s="26" t="s">
        <v>670</v>
      </c>
      <c r="BD6" s="26" t="s">
        <v>671</v>
      </c>
      <c r="BE6" s="26" t="s">
        <v>672</v>
      </c>
      <c r="BF6" s="26" t="s">
        <v>673</v>
      </c>
      <c r="BG6" s="26" t="s">
        <v>674</v>
      </c>
      <c r="BH6" s="26" t="s">
        <v>675</v>
      </c>
      <c r="BI6" s="26" t="s">
        <v>676</v>
      </c>
      <c r="BJ6" s="26" t="s">
        <v>677</v>
      </c>
      <c r="BK6" s="26" t="s">
        <v>678</v>
      </c>
      <c r="BL6" s="26" t="s">
        <v>679</v>
      </c>
      <c r="BM6" s="26" t="s">
        <v>680</v>
      </c>
      <c r="BN6" s="26" t="s">
        <v>681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1">
        <f>SUM(tx_new_T[[#This Row],[A_tx_new_u01_unk_pos]:[A_tx_new_1014_m_pos]])</f>
        <v>0</v>
      </c>
      <c r="AJ7" s="161">
        <f>SUM(tx_new_T[[#This Row],[A_tx_new_1519_f_pos]:[A_tx_new_o50_m_pos]])</f>
        <v>0</v>
      </c>
      <c r="AK7" s="164">
        <f>SUM(tx_new_T[[#This Row],[A_tx_new_fsw_pos]:[A_tx_new_tg_pos]])</f>
        <v>0</v>
      </c>
      <c r="AL7" s="164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42">
        <f>tx_new_T[[D_tx_new_o15_fy19]:[D_tx_new_o15_fy19]]*tx_new_T[A_tx_new_fsw_pos]</f>
        <v>0</v>
      </c>
      <c r="BI7" s="42">
        <f>tx_new_T[[D_tx_new_o15_fy19]:[D_tx_new_o15_fy19]]*tx_new_T[A_tx_new_msm_pos]</f>
        <v>0</v>
      </c>
      <c r="BJ7" s="42">
        <f>tx_new_T[[D_tx_new_o15_fy19]:[D_tx_new_o15_fy19]]*tx_new_T[A_tx_new_prison_pos]</f>
        <v>0</v>
      </c>
      <c r="BK7" s="42">
        <f>tx_new_T[[D_tx_new_o15_fy19]:[D_tx_new_o15_fy19]]*tx_new_T[A_tx_new_pwid_pos]</f>
        <v>0</v>
      </c>
      <c r="BL7" s="42">
        <f>tx_new_T[[D_tx_new_o15_fy19]:[D_tx_new_o15_fy19]]*tx_new_T[A_tx_new_tg_pos]</f>
        <v>0</v>
      </c>
      <c r="BM7" s="42">
        <f>tx_new_T[[D_tx_new_o15_fy19]:[D_tx_new_o15_fy19]]*tx_new_T[A_tx_new_bf_pos]</f>
        <v>0</v>
      </c>
      <c r="BN7" s="42">
        <f>tx_new_T[[D_tx_new_o15_fy19]:[D_tx_new_o15_fy19]]*tx_new_T[A_tx_new_preg_pos]</f>
        <v>0</v>
      </c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</row>
    <row r="13" spans="1:66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</row>
    <row r="14" spans="1:66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</row>
    <row r="15" spans="1:66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</row>
    <row r="16" spans="1:66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</row>
    <row r="17" spans="1:3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</row>
    <row r="18" spans="1:3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</row>
    <row r="19" spans="1:3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</row>
    <row r="20" spans="1:3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</row>
    <row r="21" spans="1:3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</row>
    <row r="22" spans="1:3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</row>
    <row r="23" spans="1:3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</row>
    <row r="24" spans="1:3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</row>
    <row r="25" spans="1:3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</row>
    <row r="26" spans="1:3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</row>
    <row r="27" spans="1:3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</row>
    <row r="28" spans="1:3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</row>
    <row r="29" spans="1:3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</row>
    <row r="30" spans="1:3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</row>
    <row r="31" spans="1:3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</row>
    <row r="32" spans="1:3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</row>
    <row r="33" spans="1:3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</row>
    <row r="34" spans="1:3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</row>
    <row r="35" spans="1:3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</row>
    <row r="36" spans="1:3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</row>
    <row r="37" spans="1:3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</row>
    <row r="38" spans="1:3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</row>
    <row r="39" spans="1:3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</row>
    <row r="40" spans="1:3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</row>
    <row r="41" spans="1:3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</row>
    <row r="42" spans="1:3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</row>
    <row r="43" spans="1:3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</row>
    <row r="44" spans="1:3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</row>
    <row r="45" spans="1:3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</row>
    <row r="46" spans="1:3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</row>
    <row r="47" spans="1:3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</row>
    <row r="48" spans="1:3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</row>
    <row r="49" spans="1:3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</row>
    <row r="50" spans="1:3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</row>
    <row r="51" spans="1:3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</row>
    <row r="52" spans="1:3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</row>
    <row r="53" spans="1:3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</row>
    <row r="54" spans="1:3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</row>
    <row r="55" spans="1:3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</row>
    <row r="56" spans="1:3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</row>
    <row r="57" spans="1:3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</row>
    <row r="58" spans="1:3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</row>
    <row r="59" spans="1:3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</row>
    <row r="60" spans="1:3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</row>
    <row r="61" spans="1:3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</row>
    <row r="62" spans="1:3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</row>
    <row r="63" spans="1:3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</row>
    <row r="64" spans="1:3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</row>
    <row r="65" spans="1:3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</row>
    <row r="66" spans="1:3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</row>
    <row r="67" spans="1:3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</row>
    <row r="68" spans="1:3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</row>
    <row r="69" spans="1:3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</row>
    <row r="70" spans="1:3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</row>
    <row r="71" spans="1:3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</row>
    <row r="72" spans="1:3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</row>
    <row r="73" spans="1:3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</row>
    <row r="74" spans="1:3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</row>
    <row r="75" spans="1:3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</row>
    <row r="76" spans="1:3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</row>
    <row r="77" spans="1:3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</row>
    <row r="78" spans="1:3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</row>
    <row r="79" spans="1:3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</row>
    <row r="80" spans="1:3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</row>
    <row r="81" spans="1:3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</row>
    <row r="82" spans="1:3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</row>
    <row r="83" spans="1:3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</row>
    <row r="84" spans="1:3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</row>
    <row r="85" spans="1:3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</row>
    <row r="86" spans="1:3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</row>
    <row r="87" spans="1:3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</row>
    <row r="88" spans="1:3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</row>
    <row r="89" spans="1:3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</row>
    <row r="90" spans="1:3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</row>
    <row r="91" spans="1:3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</row>
    <row r="92" spans="1:3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</row>
    <row r="93" spans="1:3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</row>
    <row r="94" spans="1:3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</row>
    <row r="95" spans="1:3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</row>
    <row r="96" spans="1:3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</row>
    <row r="97" spans="1:3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</row>
    <row r="98" spans="1:3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</row>
    <row r="99" spans="1:3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</row>
    <row r="100" spans="1:3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</row>
    <row r="101" spans="1:3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</row>
    <row r="102" spans="1:3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</row>
    <row r="103" spans="1:3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</row>
    <row r="104" spans="1:3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</row>
    <row r="105" spans="1:3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</row>
    <row r="106" spans="1:3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</row>
    <row r="107" spans="1:3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</row>
    <row r="108" spans="1:3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</row>
    <row r="109" spans="1:3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</row>
    <row r="110" spans="1:3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</row>
    <row r="111" spans="1:3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</row>
    <row r="112" spans="1:3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</row>
    <row r="113" spans="1:3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</row>
    <row r="114" spans="1:3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</row>
    <row r="115" spans="1:3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</row>
    <row r="116" spans="1:3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</row>
    <row r="117" spans="1:3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</row>
    <row r="118" spans="1:3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</row>
    <row r="119" spans="1:3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</row>
    <row r="120" spans="1:3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</row>
    <row r="121" spans="1:3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</row>
    <row r="122" spans="1:3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</row>
    <row r="123" spans="1:3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</row>
    <row r="124" spans="1:3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</row>
    <row r="125" spans="1:3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</row>
    <row r="126" spans="1:3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</row>
    <row r="127" spans="1:3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</row>
    <row r="128" spans="1:3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</row>
    <row r="129" spans="1:3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</row>
    <row r="130" spans="1:3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</row>
    <row r="131" spans="1:3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</row>
    <row r="132" spans="1:3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</row>
    <row r="133" spans="1:3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</row>
    <row r="134" spans="1:3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</row>
    <row r="135" spans="1:3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</row>
    <row r="136" spans="1:3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</row>
    <row r="137" spans="1:3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</row>
    <row r="138" spans="1:3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</row>
    <row r="139" spans="1:3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</row>
    <row r="140" spans="1:3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</row>
    <row r="141" spans="1:3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</row>
    <row r="142" spans="1:3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</row>
    <row r="143" spans="1:3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</row>
    <row r="144" spans="1:3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</row>
    <row r="145" spans="1:3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</row>
    <row r="146" spans="1:3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</row>
    <row r="147" spans="1:3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</row>
    <row r="148" spans="1:3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</row>
    <row r="149" spans="1:3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</row>
    <row r="150" spans="1:3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</row>
    <row r="151" spans="1:3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</row>
    <row r="152" spans="1:3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</row>
    <row r="153" spans="1:3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</row>
    <row r="154" spans="1:3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</row>
    <row r="155" spans="1:3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</row>
    <row r="156" spans="1:3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</row>
    <row r="157" spans="1:3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</row>
    <row r="158" spans="1:3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</row>
    <row r="159" spans="1:3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</row>
    <row r="160" spans="1:3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</row>
    <row r="161" spans="1:3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</row>
    <row r="162" spans="1:3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</row>
    <row r="163" spans="1:3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</row>
    <row r="164" spans="1:3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</row>
    <row r="165" spans="1:3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</row>
    <row r="166" spans="1:3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</row>
    <row r="167" spans="1:3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</row>
    <row r="168" spans="1:3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</row>
    <row r="169" spans="1:3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</row>
    <row r="170" spans="1:3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</row>
    <row r="171" spans="1:3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</row>
    <row r="172" spans="1:3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</row>
    <row r="173" spans="1:3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</row>
    <row r="174" spans="1:3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</row>
    <row r="175" spans="1:3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</row>
    <row r="176" spans="1:3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</row>
    <row r="177" spans="1:3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</row>
    <row r="178" spans="1:3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</row>
    <row r="179" spans="1:3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</row>
    <row r="180" spans="1:3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</row>
    <row r="181" spans="1:3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</row>
    <row r="182" spans="1:3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</row>
    <row r="183" spans="1:3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</row>
    <row r="184" spans="1:3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</row>
    <row r="185" spans="1:3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</row>
    <row r="186" spans="1:3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</row>
    <row r="187" spans="1:3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</row>
    <row r="188" spans="1:3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</row>
    <row r="189" spans="1:3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</row>
    <row r="190" spans="1:3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</row>
    <row r="191" spans="1:3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</row>
    <row r="192" spans="1:3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</row>
    <row r="193" spans="1:3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</row>
    <row r="194" spans="1:3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</row>
    <row r="195" spans="1:3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</row>
    <row r="196" spans="1:3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</row>
    <row r="197" spans="1:3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</row>
    <row r="198" spans="1:3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</row>
    <row r="199" spans="1:3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</row>
    <row r="200" spans="1:3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</row>
    <row r="201" spans="1:3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</row>
    <row r="202" spans="1:3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</row>
    <row r="203" spans="1:3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</row>
    <row r="204" spans="1:3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</row>
    <row r="205" spans="1:3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</row>
    <row r="206" spans="1:3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</row>
    <row r="207" spans="1:3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</row>
    <row r="208" spans="1:3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</row>
    <row r="209" spans="1:3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</row>
    <row r="210" spans="1:3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</row>
    <row r="211" spans="1:3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</row>
    <row r="212" spans="1:3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</row>
    <row r="213" spans="1:3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</row>
    <row r="214" spans="1:3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</row>
    <row r="215" spans="1:3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</row>
    <row r="216" spans="1:3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</row>
    <row r="217" spans="1:3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</row>
    <row r="218" spans="1:3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</row>
    <row r="219" spans="1:3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</row>
    <row r="220" spans="1:3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</row>
    <row r="221" spans="1:3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</row>
    <row r="222" spans="1:3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</row>
    <row r="223" spans="1:3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</row>
    <row r="224" spans="1:3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</row>
    <row r="225" spans="1:3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</row>
    <row r="226" spans="1:3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</row>
    <row r="227" spans="1:3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</row>
    <row r="228" spans="1:3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</row>
    <row r="229" spans="1:3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</row>
    <row r="230" spans="1:3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</row>
    <row r="231" spans="1:3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</row>
    <row r="232" spans="1:3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</row>
    <row r="233" spans="1:3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</row>
    <row r="234" spans="1:3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</row>
    <row r="235" spans="1:3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</row>
    <row r="236" spans="1:3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</row>
    <row r="237" spans="1:3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</row>
    <row r="238" spans="1:3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</row>
    <row r="239" spans="1:3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</row>
    <row r="240" spans="1:3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</row>
    <row r="241" spans="1:3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</row>
    <row r="242" spans="1:3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</row>
    <row r="243" spans="1:3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</row>
    <row r="244" spans="1:3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</row>
    <row r="245" spans="1:3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</row>
    <row r="246" spans="1:3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</row>
    <row r="247" spans="1:3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</row>
    <row r="248" spans="1:3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</row>
    <row r="249" spans="1:3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</row>
    <row r="250" spans="1:3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</row>
    <row r="251" spans="1:3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</row>
    <row r="252" spans="1:3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</row>
    <row r="253" spans="1:3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</row>
    <row r="254" spans="1:3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</row>
    <row r="255" spans="1:3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</row>
    <row r="256" spans="1:3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</row>
    <row r="257" spans="1:3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</row>
    <row r="258" spans="1:3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</row>
    <row r="259" spans="1:3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</row>
    <row r="260" spans="1:3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</row>
    <row r="261" spans="1:3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</row>
    <row r="262" spans="1:3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</row>
    <row r="263" spans="1:3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</row>
    <row r="264" spans="1:3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</row>
    <row r="265" spans="1:3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</row>
    <row r="266" spans="1:3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</row>
    <row r="267" spans="1:3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</row>
    <row r="268" spans="1:3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</row>
    <row r="269" spans="1:3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</row>
    <row r="270" spans="1:3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</row>
    <row r="271" spans="1:3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</row>
    <row r="272" spans="1:3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</row>
    <row r="273" spans="1:3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</row>
    <row r="274" spans="1:3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</row>
    <row r="275" spans="1:3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</row>
    <row r="276" spans="1:3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</row>
    <row r="277" spans="1:3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</row>
    <row r="278" spans="1:3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</row>
    <row r="279" spans="1:3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</row>
    <row r="280" spans="1:3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</row>
    <row r="281" spans="1:3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</row>
    <row r="282" spans="1:3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</row>
    <row r="283" spans="1:3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</row>
    <row r="284" spans="1:3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</row>
    <row r="285" spans="1:3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</row>
    <row r="286" spans="1:3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</row>
    <row r="287" spans="1:3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</row>
    <row r="288" spans="1:3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</row>
    <row r="289" spans="1:3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</row>
    <row r="290" spans="1:3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</row>
    <row r="291" spans="1:3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</row>
    <row r="292" spans="1:3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</row>
    <row r="293" spans="1:3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</row>
    <row r="294" spans="1:3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</row>
    <row r="295" spans="1:3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</row>
    <row r="296" spans="1:3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</row>
    <row r="297" spans="1:3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</row>
    <row r="298" spans="1:3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</row>
    <row r="299" spans="1:3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</row>
    <row r="300" spans="1:3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</row>
    <row r="301" spans="1:3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</row>
    <row r="302" spans="1:3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</row>
    <row r="303" spans="1:3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</row>
    <row r="304" spans="1:3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</row>
    <row r="305" spans="1:3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</row>
    <row r="306" spans="1:3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</row>
    <row r="307" spans="1:3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</row>
    <row r="308" spans="1:3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</row>
    <row r="309" spans="1:3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</row>
    <row r="310" spans="1:3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</row>
    <row r="311" spans="1:3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</row>
    <row r="312" spans="1:3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</row>
    <row r="313" spans="1:3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</row>
    <row r="314" spans="1:3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</row>
    <row r="315" spans="1:3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</row>
    <row r="316" spans="1:3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</row>
    <row r="317" spans="1:3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</row>
    <row r="318" spans="1:3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</row>
    <row r="319" spans="1:3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</row>
    <row r="320" spans="1:3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</row>
    <row r="321" spans="1:3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</row>
    <row r="322" spans="1:3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</row>
    <row r="323" spans="1:3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</row>
    <row r="324" spans="1:3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</row>
    <row r="325" spans="1:3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</row>
    <row r="326" spans="1:3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</row>
    <row r="327" spans="1:3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</row>
    <row r="328" spans="1:3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</row>
    <row r="329" spans="1:3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</row>
    <row r="330" spans="1:3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</row>
    <row r="331" spans="1:3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</row>
    <row r="332" spans="1:3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</row>
    <row r="333" spans="1:3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</row>
    <row r="334" spans="1:3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</row>
    <row r="335" spans="1:3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</row>
    <row r="336" spans="1:3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</row>
    <row r="337" spans="1:3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</row>
    <row r="338" spans="1:3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</row>
    <row r="339" spans="1:3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</row>
    <row r="340" spans="1:3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</row>
    <row r="341" spans="1:3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</row>
    <row r="342" spans="1:3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</row>
    <row r="343" spans="1:3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</row>
    <row r="344" spans="1:3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</row>
    <row r="345" spans="1:3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</row>
    <row r="346" spans="1:3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</row>
    <row r="347" spans="1:3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</row>
    <row r="348" spans="1:3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</row>
    <row r="349" spans="1:3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</row>
    <row r="350" spans="1:3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</row>
    <row r="351" spans="1:3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</row>
    <row r="352" spans="1:3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</row>
    <row r="353" spans="1:3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</row>
    <row r="354" spans="1:3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</row>
    <row r="355" spans="1:3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</row>
    <row r="356" spans="1:3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</row>
    <row r="357" spans="1:3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</row>
    <row r="358" spans="1:3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</row>
    <row r="359" spans="1:3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</row>
    <row r="360" spans="1:3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</row>
    <row r="361" spans="1:3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</row>
    <row r="362" spans="1:3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</row>
    <row r="363" spans="1:3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</row>
    <row r="364" spans="1:3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</row>
    <row r="365" spans="1:3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</row>
    <row r="366" spans="1:3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</row>
    <row r="367" spans="1:3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</row>
    <row r="368" spans="1:3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</row>
    <row r="369" spans="1:3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</row>
    <row r="370" spans="1:3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</row>
    <row r="371" spans="1:3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</row>
    <row r="372" spans="1:3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</row>
    <row r="373" spans="1:3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</row>
    <row r="374" spans="1:3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</row>
    <row r="375" spans="1:3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</row>
    <row r="376" spans="1:3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</row>
    <row r="377" spans="1:3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</row>
    <row r="378" spans="1:3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</row>
    <row r="379" spans="1:3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</row>
    <row r="380" spans="1:3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</row>
    <row r="381" spans="1:3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</row>
    <row r="382" spans="1:3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</row>
    <row r="383" spans="1:3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</row>
    <row r="384" spans="1:3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</row>
    <row r="385" spans="1:3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</row>
    <row r="386" spans="1:3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</row>
    <row r="387" spans="1:3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</row>
    <row r="388" spans="1:3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</row>
    <row r="389" spans="1:3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</row>
    <row r="390" spans="1:3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</row>
    <row r="391" spans="1:3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</row>
    <row r="392" spans="1:3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</row>
    <row r="393" spans="1:3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</row>
    <row r="394" spans="1:3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</row>
    <row r="395" spans="1:3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</row>
    <row r="396" spans="1:3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</row>
    <row r="397" spans="1:3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</row>
    <row r="398" spans="1:3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</row>
    <row r="399" spans="1:3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</row>
    <row r="400" spans="1:3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</row>
    <row r="401" spans="1:3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</row>
    <row r="402" spans="1:3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</row>
    <row r="403" spans="1:3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</row>
    <row r="404" spans="1:3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</row>
    <row r="405" spans="1:3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</row>
    <row r="406" spans="1:3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</row>
    <row r="407" spans="1:3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</row>
    <row r="408" spans="1:3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</row>
    <row r="409" spans="1:3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</row>
    <row r="410" spans="1:3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</row>
    <row r="411" spans="1:3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</row>
    <row r="412" spans="1:3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</row>
    <row r="413" spans="1:3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</row>
    <row r="414" spans="1:3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</row>
    <row r="415" spans="1:3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</row>
    <row r="416" spans="1:3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</row>
    <row r="417" spans="1:3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</row>
    <row r="418" spans="1:3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</row>
    <row r="419" spans="1:3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</row>
    <row r="420" spans="1:3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</row>
    <row r="421" spans="1:3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</row>
    <row r="422" spans="1:3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</row>
    <row r="423" spans="1:3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</row>
    <row r="424" spans="1:3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</row>
    <row r="425" spans="1:3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</row>
    <row r="426" spans="1:3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</row>
    <row r="427" spans="1:3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</row>
    <row r="428" spans="1:3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</row>
    <row r="429" spans="1:3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</row>
    <row r="430" spans="1:3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</row>
    <row r="431" spans="1:3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</row>
    <row r="432" spans="1:3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</row>
    <row r="433" spans="1:3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</row>
    <row r="434" spans="1:3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</row>
    <row r="435" spans="1:3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</row>
    <row r="436" spans="1:3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</row>
    <row r="437" spans="1:3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</row>
    <row r="438" spans="1:3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</row>
    <row r="439" spans="1:3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</row>
    <row r="440" spans="1:3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</row>
    <row r="441" spans="1:3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</row>
    <row r="442" spans="1:3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</row>
    <row r="443" spans="1:3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</row>
    <row r="444" spans="1:3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</row>
    <row r="445" spans="1:3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</row>
    <row r="446" spans="1:3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</row>
    <row r="447" spans="1:3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</row>
    <row r="448" spans="1:3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</row>
    <row r="449" spans="1:3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</row>
    <row r="450" spans="1:3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</row>
    <row r="451" spans="1:3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</row>
    <row r="452" spans="1:3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</row>
    <row r="453" spans="1:3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</row>
    <row r="454" spans="1:3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</row>
    <row r="455" spans="1:3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</row>
    <row r="456" spans="1:3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</row>
    <row r="457" spans="1:3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</row>
    <row r="458" spans="1:3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</row>
    <row r="459" spans="1:3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</row>
    <row r="460" spans="1:3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</row>
    <row r="461" spans="1:3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</row>
    <row r="462" spans="1:3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</row>
    <row r="463" spans="1:3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</row>
    <row r="464" spans="1:3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</row>
    <row r="465" spans="1:3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</row>
    <row r="466" spans="1:3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</row>
    <row r="467" spans="1:3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</row>
    <row r="468" spans="1:3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</row>
    <row r="469" spans="1:3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</row>
    <row r="470" spans="1:3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</row>
    <row r="471" spans="1:3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</row>
    <row r="472" spans="1:3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</row>
    <row r="473" spans="1:3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</row>
    <row r="474" spans="1:3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</row>
    <row r="475" spans="1:3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</row>
    <row r="476" spans="1:3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</row>
    <row r="477" spans="1:3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</row>
    <row r="478" spans="1:3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</row>
    <row r="479" spans="1:3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</row>
    <row r="480" spans="1:3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</row>
    <row r="481" spans="1:3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</row>
    <row r="482" spans="1:3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</row>
    <row r="483" spans="1:3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</row>
    <row r="484" spans="1:3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</row>
    <row r="485" spans="1:3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</row>
    <row r="486" spans="1:3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</row>
    <row r="487" spans="1:3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</row>
    <row r="488" spans="1:3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</row>
    <row r="489" spans="1:3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</row>
    <row r="490" spans="1:3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</row>
    <row r="491" spans="1:3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</row>
    <row r="492" spans="1:3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</row>
    <row r="493" spans="1:3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</row>
    <row r="494" spans="1:3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</row>
    <row r="495" spans="1:3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</row>
    <row r="496" spans="1:3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</row>
    <row r="497" spans="1:3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</row>
    <row r="498" spans="1:3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</row>
    <row r="499" spans="1:3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</row>
    <row r="500" spans="1:3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</row>
    <row r="501" spans="1:3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</row>
    <row r="502" spans="1:3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</row>
    <row r="503" spans="1:3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</row>
    <row r="504" spans="1:3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</row>
    <row r="505" spans="1:3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</row>
    <row r="506" spans="1:3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</row>
    <row r="507" spans="1:3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</row>
    <row r="508" spans="1:3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</row>
    <row r="509" spans="1:3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</row>
    <row r="510" spans="1:3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</row>
    <row r="511" spans="1:3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</row>
    <row r="512" spans="1:3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</row>
    <row r="513" spans="1:3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</row>
    <row r="514" spans="1:3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</row>
    <row r="515" spans="1:3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</row>
    <row r="516" spans="1:3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</row>
    <row r="517" spans="1:3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</row>
    <row r="518" spans="1:3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</row>
    <row r="519" spans="1:3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</row>
    <row r="520" spans="1:3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</row>
    <row r="521" spans="1:3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</row>
    <row r="522" spans="1:3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</row>
    <row r="523" spans="1:3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</row>
    <row r="524" spans="1:3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</row>
    <row r="525" spans="1:3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</row>
    <row r="526" spans="1:3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</row>
    <row r="527" spans="1:3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</row>
    <row r="528" spans="1:3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</row>
    <row r="529" spans="1:3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</row>
    <row r="530" spans="1:3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</row>
    <row r="531" spans="1:3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</row>
    <row r="532" spans="1:3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</row>
    <row r="533" spans="1:3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</row>
    <row r="534" spans="1:3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</row>
    <row r="535" spans="1:3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</row>
    <row r="536" spans="1:3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</row>
    <row r="537" spans="1:3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</row>
    <row r="538" spans="1:3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</row>
    <row r="539" spans="1:3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</row>
    <row r="540" spans="1:3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</row>
    <row r="541" spans="1:3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</row>
    <row r="542" spans="1:3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</row>
    <row r="543" spans="1:3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</row>
    <row r="544" spans="1:3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</row>
    <row r="545" spans="1:3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</row>
    <row r="546" spans="1:3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</row>
    <row r="547" spans="1:3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</row>
    <row r="548" spans="1:3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</row>
    <row r="549" spans="1:3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</row>
    <row r="550" spans="1:3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</row>
    <row r="551" spans="1:3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</row>
    <row r="552" spans="1:3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</row>
    <row r="553" spans="1:3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</row>
    <row r="554" spans="1:3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</row>
    <row r="555" spans="1:3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</row>
    <row r="556" spans="1:3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</row>
    <row r="557" spans="1:3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</row>
    <row r="558" spans="1:3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</row>
    <row r="559" spans="1:3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</row>
    <row r="560" spans="1:3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</row>
    <row r="561" spans="1:3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</row>
    <row r="562" spans="1:3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</row>
    <row r="563" spans="1:3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</row>
    <row r="564" spans="1:3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</row>
    <row r="565" spans="1:3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</row>
    <row r="566" spans="1:3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</row>
    <row r="567" spans="1:3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</row>
    <row r="568" spans="1:3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</row>
    <row r="569" spans="1:3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</row>
    <row r="570" spans="1:3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</row>
    <row r="571" spans="1:3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</row>
    <row r="572" spans="1:3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</row>
    <row r="573" spans="1:3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</row>
    <row r="574" spans="1:3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</row>
    <row r="575" spans="1:3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</row>
    <row r="576" spans="1:3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</row>
    <row r="577" spans="1:3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</row>
    <row r="578" spans="1:3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</row>
    <row r="579" spans="1:3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</row>
    <row r="580" spans="1:3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</row>
    <row r="581" spans="1:3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</row>
    <row r="582" spans="1:3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</row>
    <row r="583" spans="1:3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</row>
    <row r="584" spans="1:3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</row>
    <row r="585" spans="1:3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</row>
    <row r="586" spans="1:3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</row>
    <row r="587" spans="1:3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</row>
    <row r="588" spans="1:3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</row>
    <row r="589" spans="1:3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</row>
    <row r="590" spans="1:3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</row>
    <row r="591" spans="1:3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</row>
    <row r="592" spans="1:3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</row>
    <row r="593" spans="1:3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</row>
    <row r="594" spans="1:3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</row>
    <row r="595" spans="1:3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</row>
    <row r="596" spans="1:3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</row>
    <row r="597" spans="1:3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</row>
    <row r="598" spans="1:3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</row>
    <row r="599" spans="1:3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</row>
    <row r="600" spans="1:3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</row>
    <row r="601" spans="1:3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</row>
    <row r="602" spans="1:3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</row>
    <row r="603" spans="1:3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</row>
    <row r="604" spans="1:3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</row>
    <row r="605" spans="1:3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</row>
    <row r="606" spans="1:3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</row>
    <row r="607" spans="1:3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</row>
    <row r="608" spans="1:3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</row>
    <row r="609" spans="1:3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</row>
    <row r="610" spans="1:3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</row>
    <row r="611" spans="1:3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</row>
    <row r="612" spans="1:3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</row>
    <row r="613" spans="1:3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</row>
    <row r="614" spans="1:3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</row>
    <row r="615" spans="1:3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</row>
    <row r="616" spans="1:3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</row>
    <row r="617" spans="1:3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</row>
    <row r="618" spans="1:3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</row>
    <row r="619" spans="1:3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</row>
    <row r="620" spans="1:3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</row>
    <row r="621" spans="1:3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</row>
    <row r="622" spans="1:3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</row>
    <row r="623" spans="1:3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</row>
    <row r="624" spans="1:3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</row>
    <row r="625" spans="1:3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</row>
    <row r="626" spans="1:3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</row>
    <row r="627" spans="1:3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</row>
    <row r="628" spans="1:3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</row>
    <row r="629" spans="1:3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</row>
    <row r="630" spans="1:3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</row>
    <row r="631" spans="1:3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</row>
    <row r="632" spans="1:3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</row>
    <row r="633" spans="1:3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</row>
    <row r="634" spans="1:3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</row>
    <row r="635" spans="1:3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</row>
    <row r="636" spans="1:3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</row>
    <row r="637" spans="1:3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</row>
    <row r="638" spans="1:3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</row>
    <row r="639" spans="1:3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</row>
    <row r="640" spans="1:3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</row>
    <row r="641" spans="1:3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</row>
    <row r="642" spans="1:3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</row>
    <row r="643" spans="1:3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</row>
    <row r="644" spans="1:3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</row>
    <row r="645" spans="1:3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</row>
    <row r="646" spans="1:3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</row>
    <row r="647" spans="1:3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</row>
    <row r="648" spans="1:3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</row>
    <row r="649" spans="1:3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</row>
    <row r="650" spans="1:3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</row>
    <row r="651" spans="1:3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</row>
    <row r="652" spans="1:3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</row>
    <row r="653" spans="1:3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</row>
    <row r="654" spans="1:3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</row>
    <row r="655" spans="1:3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</row>
    <row r="656" spans="1:3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</row>
    <row r="657" spans="1:3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</row>
    <row r="658" spans="1:3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</row>
    <row r="659" spans="1:3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</row>
    <row r="660" spans="1:3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</row>
    <row r="661" spans="1:3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</row>
    <row r="662" spans="1:3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</row>
    <row r="663" spans="1:3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</row>
    <row r="664" spans="1:3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</row>
    <row r="665" spans="1:3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</row>
    <row r="666" spans="1:3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</row>
    <row r="667" spans="1:3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</row>
    <row r="668" spans="1:3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</row>
    <row r="669" spans="1:3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</row>
    <row r="670" spans="1:3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</row>
    <row r="671" spans="1:3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</row>
    <row r="672" spans="1:3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</row>
    <row r="673" spans="1:3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</row>
    <row r="674" spans="1:3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</row>
    <row r="675" spans="1:3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</row>
    <row r="676" spans="1:3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</row>
    <row r="677" spans="1:3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</row>
    <row r="678" spans="1:3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</row>
    <row r="679" spans="1:3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</row>
    <row r="680" spans="1:3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</row>
    <row r="681" spans="1:3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</row>
    <row r="682" spans="1:3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</row>
    <row r="683" spans="1:3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</row>
    <row r="684" spans="1:3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</row>
    <row r="685" spans="1:3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</row>
    <row r="686" spans="1:3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</row>
    <row r="687" spans="1:3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</row>
    <row r="688" spans="1:3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</row>
    <row r="689" spans="1:3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</row>
    <row r="690" spans="1:3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</row>
    <row r="691" spans="1:3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</row>
    <row r="692" spans="1:3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</row>
    <row r="693" spans="1:3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</row>
    <row r="694" spans="1:3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</row>
    <row r="695" spans="1:3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</row>
    <row r="696" spans="1:3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</row>
    <row r="697" spans="1:3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</row>
    <row r="698" spans="1:3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</row>
    <row r="699" spans="1:3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</row>
    <row r="700" spans="1:3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</row>
    <row r="701" spans="1:3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</row>
    <row r="702" spans="1:3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</row>
    <row r="703" spans="1:3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</row>
    <row r="704" spans="1:3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</row>
    <row r="705" spans="1:3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</row>
    <row r="706" spans="1:3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</row>
    <row r="707" spans="1:3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</row>
    <row r="708" spans="1:3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</row>
    <row r="709" spans="1:3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</row>
    <row r="710" spans="1:3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</row>
    <row r="711" spans="1:3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</row>
    <row r="712" spans="1:3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</row>
    <row r="713" spans="1:3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</row>
    <row r="714" spans="1:3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</row>
    <row r="715" spans="1:3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</row>
    <row r="716" spans="1:3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</row>
    <row r="717" spans="1:3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</row>
    <row r="718" spans="1:3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</row>
    <row r="719" spans="1:3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</row>
    <row r="720" spans="1:3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</row>
    <row r="721" spans="1:3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</row>
    <row r="722" spans="1:3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</row>
    <row r="723" spans="1:3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</row>
    <row r="724" spans="1:3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</row>
    <row r="725" spans="1:3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</row>
    <row r="726" spans="1:3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</row>
    <row r="727" spans="1:3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</row>
    <row r="728" spans="1:3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</row>
    <row r="729" spans="1:3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</row>
    <row r="730" spans="1:3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</row>
    <row r="731" spans="1:3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</row>
    <row r="732" spans="1:3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</row>
    <row r="733" spans="1:3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</row>
    <row r="734" spans="1:3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</row>
    <row r="735" spans="1:3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</row>
    <row r="736" spans="1:3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</row>
    <row r="737" spans="1:3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</row>
    <row r="738" spans="1:3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</row>
    <row r="739" spans="1:3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</row>
    <row r="740" spans="1:3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</row>
    <row r="741" spans="1:3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</row>
    <row r="742" spans="1:3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</row>
    <row r="743" spans="1:3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</row>
    <row r="744" spans="1:3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</row>
    <row r="745" spans="1:3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</row>
    <row r="746" spans="1:3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</row>
    <row r="747" spans="1:3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</row>
    <row r="748" spans="1:3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</row>
    <row r="749" spans="1:3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</row>
    <row r="750" spans="1:3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</row>
    <row r="751" spans="1:3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</row>
    <row r="752" spans="1:3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</row>
    <row r="753" spans="1:3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</row>
    <row r="754" spans="1:3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</row>
    <row r="755" spans="1:3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</row>
    <row r="756" spans="1:3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</row>
    <row r="757" spans="1:3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</row>
    <row r="758" spans="1:3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</row>
    <row r="759" spans="1:3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</row>
    <row r="760" spans="1:3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</row>
    <row r="761" spans="1:3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</row>
    <row r="762" spans="1:3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</row>
    <row r="763" spans="1:3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</row>
    <row r="764" spans="1:3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</row>
    <row r="765" spans="1:3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</row>
    <row r="766" spans="1:3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</row>
    <row r="767" spans="1:3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</row>
    <row r="768" spans="1:3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</row>
    <row r="769" spans="1:3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</row>
    <row r="770" spans="1:3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</row>
    <row r="771" spans="1:3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</row>
    <row r="772" spans="1:3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</row>
    <row r="773" spans="1:3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</row>
    <row r="774" spans="1:3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</row>
    <row r="775" spans="1:3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</row>
    <row r="776" spans="1:3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</row>
    <row r="777" spans="1:3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</row>
    <row r="778" spans="1:3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</row>
    <row r="779" spans="1:3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</row>
    <row r="780" spans="1:3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</row>
    <row r="781" spans="1:3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</row>
    <row r="782" spans="1:3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</row>
    <row r="783" spans="1:3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</row>
    <row r="784" spans="1:3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</row>
    <row r="785" spans="1:3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</row>
    <row r="786" spans="1:3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</row>
    <row r="787" spans="1:3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</row>
    <row r="788" spans="1:3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</row>
    <row r="789" spans="1:3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</row>
    <row r="790" spans="1:3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</row>
    <row r="791" spans="1:3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</row>
    <row r="792" spans="1:3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</row>
    <row r="793" spans="1:3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</row>
    <row r="794" spans="1:3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</row>
    <row r="795" spans="1:3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</row>
    <row r="796" spans="1:3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</row>
    <row r="797" spans="1:3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</row>
    <row r="798" spans="1:3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</row>
    <row r="799" spans="1:3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</row>
    <row r="800" spans="1:3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</row>
    <row r="801" spans="1:3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</row>
    <row r="802" spans="1:3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</row>
    <row r="803" spans="1:3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</row>
    <row r="804" spans="1:3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</row>
    <row r="805" spans="1:3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</row>
    <row r="806" spans="1:3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</row>
    <row r="807" spans="1:3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</row>
    <row r="808" spans="1:3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</row>
    <row r="809" spans="1:3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</row>
    <row r="810" spans="1:3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</row>
    <row r="811" spans="1:3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</row>
    <row r="812" spans="1:3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</row>
    <row r="813" spans="1:3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</row>
    <row r="814" spans="1:3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</row>
    <row r="815" spans="1:3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</row>
    <row r="816" spans="1:3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</row>
    <row r="817" spans="1:3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</row>
    <row r="818" spans="1:3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</row>
    <row r="819" spans="1:3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</row>
    <row r="820" spans="1:3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</row>
    <row r="821" spans="1:3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</row>
    <row r="822" spans="1:3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</row>
    <row r="823" spans="1:3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</row>
    <row r="824" spans="1:3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</row>
    <row r="825" spans="1:3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</row>
    <row r="826" spans="1:3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</row>
    <row r="827" spans="1:3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</row>
    <row r="828" spans="1:3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</row>
    <row r="829" spans="1:3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</row>
    <row r="830" spans="1:3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</row>
    <row r="831" spans="1:3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</row>
    <row r="832" spans="1:3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</row>
    <row r="833" spans="1:3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</row>
    <row r="834" spans="1:3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</row>
    <row r="835" spans="1:3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</row>
    <row r="836" spans="1:3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</row>
    <row r="837" spans="1:3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</row>
    <row r="838" spans="1:3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</row>
    <row r="839" spans="1:3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</row>
    <row r="840" spans="1:3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</row>
    <row r="841" spans="1:3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</row>
    <row r="842" spans="1:3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</row>
    <row r="843" spans="1:3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</row>
    <row r="844" spans="1:3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</row>
    <row r="845" spans="1:3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</row>
    <row r="846" spans="1:3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</row>
    <row r="847" spans="1:3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</row>
    <row r="848" spans="1:3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</row>
    <row r="849" spans="1:3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</row>
    <row r="850" spans="1:3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</row>
    <row r="851" spans="1:3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</row>
    <row r="852" spans="1:3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</row>
    <row r="853" spans="1:3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</row>
    <row r="854" spans="1:3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</row>
    <row r="855" spans="1:3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</row>
    <row r="856" spans="1:3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</row>
    <row r="857" spans="1:3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</row>
    <row r="858" spans="1:3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</row>
    <row r="859" spans="1:3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</row>
    <row r="860" spans="1:3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</row>
    <row r="861" spans="1:3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</row>
    <row r="862" spans="1:3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</row>
    <row r="863" spans="1:3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</row>
    <row r="864" spans="1:3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</row>
    <row r="865" spans="1:3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</row>
    <row r="866" spans="1:3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</row>
    <row r="867" spans="1:3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</row>
    <row r="868" spans="1:3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</row>
    <row r="869" spans="1:3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</row>
    <row r="870" spans="1:3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</row>
    <row r="871" spans="1:3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</row>
    <row r="872" spans="1:3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</row>
    <row r="873" spans="1:3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</row>
    <row r="874" spans="1:3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</row>
    <row r="875" spans="1:3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</row>
    <row r="876" spans="1:3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</row>
    <row r="877" spans="1:3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</row>
    <row r="878" spans="1:3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</row>
    <row r="879" spans="1:3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</row>
    <row r="880" spans="1:3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</row>
    <row r="881" spans="1:3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</row>
    <row r="882" spans="1:3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</row>
    <row r="883" spans="1:3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</row>
    <row r="884" spans="1:3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</row>
    <row r="885" spans="1:3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</row>
    <row r="886" spans="1:3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</row>
    <row r="887" spans="1:3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</row>
    <row r="888" spans="1:3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</row>
    <row r="889" spans="1:3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</row>
    <row r="890" spans="1:3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</row>
    <row r="891" spans="1:3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</row>
    <row r="892" spans="1:3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</row>
    <row r="893" spans="1:3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</row>
    <row r="894" spans="1:3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</row>
    <row r="895" spans="1:3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</row>
    <row r="896" spans="1:3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</row>
    <row r="897" spans="1:3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</row>
    <row r="898" spans="1:3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</row>
    <row r="899" spans="1:3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</row>
    <row r="900" spans="1:3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</row>
    <row r="901" spans="1:3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</row>
    <row r="902" spans="1:3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</row>
    <row r="903" spans="1:3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</row>
    <row r="904" spans="1:3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</row>
    <row r="905" spans="1:3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</row>
    <row r="906" spans="1:3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</row>
    <row r="907" spans="1:3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</row>
    <row r="908" spans="1:3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</row>
    <row r="909" spans="1:3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</row>
    <row r="910" spans="1:3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</row>
    <row r="911" spans="1:3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</row>
    <row r="912" spans="1:3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</row>
    <row r="913" spans="1:3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</row>
    <row r="914" spans="1:3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</row>
    <row r="915" spans="1:3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</row>
    <row r="916" spans="1:3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</row>
    <row r="917" spans="1:3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</row>
    <row r="918" spans="1:3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</row>
    <row r="919" spans="1:3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</row>
    <row r="920" spans="1:3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</row>
    <row r="921" spans="1:3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</row>
    <row r="922" spans="1:3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</row>
    <row r="923" spans="1:3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</row>
    <row r="924" spans="1:3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</row>
    <row r="925" spans="1:3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</row>
    <row r="926" spans="1:3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</row>
    <row r="927" spans="1:3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</row>
    <row r="928" spans="1:3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</row>
    <row r="929" spans="1:3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</row>
    <row r="930" spans="1:3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</row>
    <row r="931" spans="1:3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</row>
    <row r="932" spans="1:3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</row>
    <row r="933" spans="1:3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</row>
    <row r="934" spans="1:3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</row>
    <row r="935" spans="1:3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</row>
    <row r="936" spans="1:3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</row>
    <row r="937" spans="1:3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</row>
    <row r="938" spans="1:3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</row>
    <row r="939" spans="1:3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</row>
    <row r="940" spans="1:3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</row>
    <row r="941" spans="1:3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</row>
    <row r="942" spans="1:3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</row>
    <row r="943" spans="1:3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</row>
    <row r="944" spans="1:3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</row>
    <row r="945" spans="1:3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</row>
    <row r="946" spans="1:3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</row>
    <row r="947" spans="1:3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</row>
    <row r="948" spans="1:3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</row>
    <row r="949" spans="1:3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</row>
    <row r="950" spans="1:3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</row>
    <row r="951" spans="1:3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</row>
    <row r="952" spans="1:3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</row>
    <row r="953" spans="1:3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</row>
    <row r="954" spans="1:3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</row>
    <row r="955" spans="1:3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</row>
    <row r="956" spans="1:3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</row>
    <row r="957" spans="1:3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</row>
    <row r="958" spans="1:3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</row>
    <row r="959" spans="1:3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</row>
    <row r="960" spans="1:3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</row>
    <row r="961" spans="1:3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</row>
    <row r="962" spans="1:3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</row>
    <row r="963" spans="1:3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</row>
    <row r="964" spans="1:3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</row>
    <row r="965" spans="1:3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</row>
    <row r="966" spans="1:3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</row>
    <row r="967" spans="1:3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</row>
    <row r="968" spans="1:3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</row>
    <row r="969" spans="1:3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</row>
    <row r="970" spans="1:3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</row>
    <row r="971" spans="1:3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</row>
    <row r="972" spans="1:3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</row>
    <row r="973" spans="1:3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</row>
    <row r="974" spans="1:3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</row>
    <row r="975" spans="1:3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</row>
    <row r="976" spans="1:3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</row>
    <row r="977" spans="1:3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</row>
    <row r="978" spans="1:3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</row>
    <row r="979" spans="1:3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</row>
    <row r="980" spans="1:3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</row>
    <row r="981" spans="1:3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</row>
    <row r="982" spans="1:3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</row>
    <row r="983" spans="1:3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</row>
    <row r="984" spans="1:3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</row>
    <row r="985" spans="1:3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</row>
    <row r="986" spans="1:3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</row>
    <row r="987" spans="1:3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</row>
    <row r="988" spans="1:3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</row>
    <row r="989" spans="1:3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</row>
    <row r="990" spans="1:3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</row>
    <row r="991" spans="1:3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</row>
    <row r="992" spans="1:3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</row>
    <row r="993" spans="1:3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</row>
    <row r="994" spans="1:3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</row>
    <row r="995" spans="1:3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</row>
    <row r="996" spans="1:3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</row>
    <row r="997" spans="1:3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</row>
    <row r="998" spans="1:3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</row>
    <row r="999" spans="1:3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</row>
    <row r="1000" spans="1:3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</row>
    <row r="1001" spans="1:3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</row>
    <row r="1002" spans="1:3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</row>
    <row r="1003" spans="1:3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</row>
    <row r="1004" spans="1:3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</row>
    <row r="1005" spans="1:3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</row>
    <row r="1006" spans="1:3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</row>
    <row r="1007" spans="1:3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</row>
    <row r="1008" spans="1:3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</row>
    <row r="1009" spans="1:3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</row>
    <row r="1010" spans="1:3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</row>
    <row r="1011" spans="1:3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</row>
    <row r="1012" spans="1:3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</row>
    <row r="1013" spans="1:3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</row>
    <row r="1014" spans="1:3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</row>
    <row r="1015" spans="1:3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</row>
    <row r="1016" spans="1:3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</row>
    <row r="1017" spans="1:3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</row>
    <row r="1018" spans="1:3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</row>
    <row r="1019" spans="1:3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</row>
    <row r="1020" spans="1:3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</row>
    <row r="1021" spans="1:3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</row>
    <row r="1022" spans="1:3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</row>
    <row r="1023" spans="1:3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</row>
    <row r="1024" spans="1:3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</row>
    <row r="1025" spans="1:3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</row>
    <row r="1026" spans="1:3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</row>
    <row r="1027" spans="1:3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</row>
    <row r="1028" spans="1:3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</row>
    <row r="1029" spans="1:3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</row>
    <row r="1030" spans="1:3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</row>
    <row r="1031" spans="1:3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</row>
    <row r="1032" spans="1:3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</row>
    <row r="1033" spans="1:3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</row>
    <row r="1034" spans="1:3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</row>
    <row r="1035" spans="1:3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</row>
    <row r="1036" spans="1:3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</row>
    <row r="1037" spans="1:3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</row>
    <row r="1038" spans="1:3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</row>
    <row r="1039" spans="1:3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</row>
    <row r="1040" spans="1:3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</row>
    <row r="1041" spans="1:3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</row>
    <row r="1042" spans="1:3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</row>
    <row r="1043" spans="1:3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</row>
    <row r="1044" spans="1:3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</row>
    <row r="1045" spans="1:3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</row>
    <row r="1046" spans="1:3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</row>
    <row r="1047" spans="1:3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</row>
    <row r="1048" spans="1:3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</row>
    <row r="1049" spans="1:3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</row>
    <row r="1050" spans="1:3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</row>
    <row r="1051" spans="1:3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</row>
    <row r="1052" spans="1:3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</row>
    <row r="1053" spans="1:3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</row>
    <row r="1054" spans="1:3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</row>
    <row r="1055" spans="1:3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</row>
    <row r="1056" spans="1:3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</row>
    <row r="1057" spans="1:3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</row>
    <row r="1058" spans="1:3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</row>
    <row r="1059" spans="1:3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</row>
    <row r="1060" spans="1:3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</row>
    <row r="1061" spans="1:3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</row>
    <row r="1062" spans="1:3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</row>
    <row r="1063" spans="1:3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</row>
    <row r="1064" spans="1:3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</row>
    <row r="1065" spans="1:3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</row>
    <row r="1066" spans="1:3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</row>
    <row r="1067" spans="1:3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</row>
    <row r="1068" spans="1:3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</row>
    <row r="1069" spans="1:3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</row>
    <row r="1070" spans="1:3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</row>
    <row r="1071" spans="1:3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</row>
    <row r="1072" spans="1:3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</row>
    <row r="1073" spans="1:3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</row>
    <row r="1074" spans="1:3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</row>
    <row r="1075" spans="1:3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</row>
    <row r="1076" spans="1:3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</row>
    <row r="1077" spans="1:3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</row>
    <row r="1078" spans="1:3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</row>
    <row r="1079" spans="1:3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</row>
    <row r="1080" spans="1:3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</row>
    <row r="1081" spans="1:3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</row>
    <row r="1082" spans="1:3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</row>
    <row r="1083" spans="1:3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</row>
    <row r="1084" spans="1:3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</row>
    <row r="1085" spans="1:3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</row>
    <row r="1086" spans="1:3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</row>
    <row r="1087" spans="1:3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</row>
    <row r="1088" spans="1:3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</row>
    <row r="1089" spans="1:3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</row>
    <row r="1090" spans="1:3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</row>
    <row r="1091" spans="1:3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</row>
    <row r="1092" spans="1:3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</row>
    <row r="1093" spans="1:3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</row>
    <row r="1094" spans="1:3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</row>
    <row r="1095" spans="1:3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</row>
    <row r="1096" spans="1:3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</row>
    <row r="1097" spans="1:3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</row>
    <row r="1098" spans="1:3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</row>
    <row r="1099" spans="1:3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</row>
    <row r="1100" spans="1:3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</row>
    <row r="1101" spans="1:3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</row>
    <row r="1102" spans="1:3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</row>
    <row r="1103" spans="1:3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</row>
    <row r="1104" spans="1:3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</row>
    <row r="1105" spans="1:3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</row>
    <row r="1106" spans="1:3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</row>
    <row r="1107" spans="1:3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</row>
    <row r="1108" spans="1:3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</row>
    <row r="1109" spans="1:3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</row>
    <row r="1110" spans="1:3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</row>
    <row r="1111" spans="1:3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</row>
    <row r="1112" spans="1:3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</row>
    <row r="1113" spans="1:3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</row>
    <row r="1114" spans="1:3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</row>
    <row r="1115" spans="1:3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</row>
    <row r="1116" spans="1:3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</row>
    <row r="1117" spans="1:3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</row>
    <row r="1118" spans="1:3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</row>
    <row r="1119" spans="1:3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</row>
    <row r="1120" spans="1:3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</row>
    <row r="1121" spans="1:3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</row>
    <row r="1122" spans="1:3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</row>
    <row r="1123" spans="1:3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</row>
    <row r="1124" spans="1:3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</row>
    <row r="1125" spans="1:3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</row>
    <row r="1126" spans="1:3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</row>
    <row r="1127" spans="1:3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</row>
    <row r="1128" spans="1:3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</row>
    <row r="1129" spans="1:3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</row>
    <row r="1130" spans="1:3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</row>
    <row r="1131" spans="1:3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</row>
    <row r="1132" spans="1:3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</row>
    <row r="1133" spans="1:3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</row>
    <row r="1134" spans="1:3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</row>
    <row r="1135" spans="1:3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</row>
    <row r="1136" spans="1:3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</row>
    <row r="1137" spans="1:3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</row>
    <row r="1138" spans="1:3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</row>
    <row r="1139" spans="1:3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</row>
    <row r="1140" spans="1:3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</row>
    <row r="1141" spans="1:3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</row>
    <row r="1142" spans="1:3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</row>
    <row r="1143" spans="1:3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</row>
    <row r="1144" spans="1:3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</row>
    <row r="1145" spans="1:3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</row>
    <row r="1146" spans="1:3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</row>
    <row r="1147" spans="1:3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</row>
    <row r="1148" spans="1:3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</row>
    <row r="1149" spans="1:3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</row>
    <row r="1150" spans="1:3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</row>
    <row r="1151" spans="1:3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</row>
    <row r="1152" spans="1:3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</row>
    <row r="1153" spans="3:3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</row>
    <row r="1154" spans="3:3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</row>
  </sheetData>
  <mergeCells count="1">
    <mergeCell ref="A1:A2"/>
  </mergeCells>
  <conditionalFormatting sqref="J7:AL7">
    <cfRule type="expression" dxfId="272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zoomScale="85" zoomScaleNormal="85" workbookViewId="0">
      <pane ySplit="4" topLeftCell="A5" activePane="bottomLeft" state="frozen"/>
      <selection pane="bottomLeft" activeCell="AP7" sqref="AP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71"/>
      <c r="C1" s="135" t="s">
        <v>825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42" t="s">
        <v>1634</v>
      </c>
      <c r="Z1" s="144"/>
      <c r="AA1" s="58" t="s">
        <v>1176</v>
      </c>
      <c r="AB1" s="116" t="s">
        <v>1175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</row>
    <row r="2" spans="1:42" s="2" customFormat="1" x14ac:dyDescent="0.25">
      <c r="A2" s="17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1625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55" t="s">
        <v>1626</v>
      </c>
      <c r="W3" s="56"/>
      <c r="X3" s="57"/>
      <c r="Y3" s="153" t="s">
        <v>1632</v>
      </c>
      <c r="Z3" s="153"/>
      <c r="AA3" s="61" t="s">
        <v>745</v>
      </c>
      <c r="AB3" s="119" t="s">
        <v>1625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32" t="s">
        <v>1627</v>
      </c>
      <c r="AO3" s="133"/>
      <c r="AP3" s="134"/>
    </row>
    <row r="4" spans="1:42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361</v>
      </c>
      <c r="K4" s="13" t="s">
        <v>362</v>
      </c>
      <c r="L4" s="13" t="s">
        <v>363</v>
      </c>
      <c r="M4" s="13" t="s">
        <v>364</v>
      </c>
      <c r="N4" s="13" t="s">
        <v>365</v>
      </c>
      <c r="O4" s="13" t="s">
        <v>366</v>
      </c>
      <c r="P4" s="13" t="s">
        <v>367</v>
      </c>
      <c r="Q4" s="13" t="s">
        <v>368</v>
      </c>
      <c r="R4" s="13" t="s">
        <v>369</v>
      </c>
      <c r="S4" s="13" t="s">
        <v>370</v>
      </c>
      <c r="T4" s="13" t="s">
        <v>371</v>
      </c>
      <c r="U4" s="13" t="s">
        <v>372</v>
      </c>
      <c r="V4" s="8" t="s">
        <v>373</v>
      </c>
      <c r="W4" s="13" t="s">
        <v>374</v>
      </c>
      <c r="X4" s="9" t="s">
        <v>375</v>
      </c>
      <c r="Y4" s="152" t="s">
        <v>1625</v>
      </c>
      <c r="Z4" s="152" t="s">
        <v>1626</v>
      </c>
      <c r="AA4" s="10" t="s">
        <v>781</v>
      </c>
      <c r="AB4" s="122" t="s">
        <v>361</v>
      </c>
      <c r="AC4" s="123" t="s">
        <v>362</v>
      </c>
      <c r="AD4" s="123" t="s">
        <v>363</v>
      </c>
      <c r="AE4" s="123" t="s">
        <v>364</v>
      </c>
      <c r="AF4" s="123" t="s">
        <v>365</v>
      </c>
      <c r="AG4" s="123" t="s">
        <v>366</v>
      </c>
      <c r="AH4" s="123" t="s">
        <v>367</v>
      </c>
      <c r="AI4" s="123" t="s">
        <v>368</v>
      </c>
      <c r="AJ4" s="123" t="s">
        <v>369</v>
      </c>
      <c r="AK4" s="123" t="s">
        <v>370</v>
      </c>
      <c r="AL4" s="123" t="s">
        <v>371</v>
      </c>
      <c r="AM4" s="123" t="s">
        <v>372</v>
      </c>
      <c r="AN4" s="122" t="s">
        <v>373</v>
      </c>
      <c r="AO4" s="123" t="s">
        <v>374</v>
      </c>
      <c r="AP4" s="124" t="s">
        <v>375</v>
      </c>
    </row>
    <row r="5" spans="1:42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0">
        <f>SUBTOTAL(109,tx_pvls_T[D_tx_pvls_D_fy19])</f>
        <v>0</v>
      </c>
      <c r="AB5" s="60">
        <f>SUBTOTAL(109,tx_pvls_T[tx_pvls_D_u15_f_rtn])</f>
        <v>0</v>
      </c>
      <c r="AC5" s="60">
        <f>SUBTOTAL(109,tx_pvls_T[tx_pvls_D_u15_f_targeted])</f>
        <v>0</v>
      </c>
      <c r="AD5" s="60">
        <f>SUBTOTAL(109,tx_pvls_T[tx_pvls_D_u15_f_undoctest])</f>
        <v>0</v>
      </c>
      <c r="AE5" s="60">
        <f>SUBTOTAL(109,tx_pvls_T[tx_pvls_D_u15_m_rtn])</f>
        <v>0</v>
      </c>
      <c r="AF5" s="60">
        <f>SUBTOTAL(109,tx_pvls_T[tx_pvls_D_u15_m_targeted])</f>
        <v>0</v>
      </c>
      <c r="AG5" s="60">
        <f>SUBTOTAL(109,tx_pvls_T[tx_pvls_D_u15_m_undoctest])</f>
        <v>0</v>
      </c>
      <c r="AH5" s="60">
        <f>SUBTOTAL(109,tx_pvls_T[tx_pvls_D_o15_f_rtn])</f>
        <v>0</v>
      </c>
      <c r="AI5" s="60">
        <f>SUBTOTAL(109,tx_pvls_T[tx_pvls_D_o15_f_targeted])</f>
        <v>0</v>
      </c>
      <c r="AJ5" s="60">
        <f>SUBTOTAL(109,tx_pvls_T[tx_pvls_D_o15_f_undoctest])</f>
        <v>0</v>
      </c>
      <c r="AK5" s="60">
        <f>SUBTOTAL(109,tx_pvls_T[tx_pvls_D_o15_m_rtn])</f>
        <v>0</v>
      </c>
      <c r="AL5" s="60">
        <f>SUBTOTAL(109,tx_pvls_T[tx_pvls_D_o15_m_targeted])</f>
        <v>0</v>
      </c>
      <c r="AM5" s="60">
        <f>SUBTOTAL(109,tx_pvls_T[tx_pvls_D_o15_m_undoctest])</f>
        <v>0</v>
      </c>
      <c r="AN5" s="60">
        <f>SUBTOTAL(109,tx_pvls_T[tx_pvls_D_rtn_pos])</f>
        <v>0</v>
      </c>
      <c r="AO5" s="60">
        <f>SUBTOTAL(109,tx_pvls_T[tx_pvls_D_targeted_pos])</f>
        <v>0</v>
      </c>
      <c r="AP5" s="60">
        <f>SUBTOTAL(109,tx_pvls_T[tx_pvls_D_undoctest_pos])</f>
        <v>0</v>
      </c>
    </row>
    <row r="6" spans="1:42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1511</v>
      </c>
      <c r="K6" s="26" t="s">
        <v>1512</v>
      </c>
      <c r="L6" s="26" t="s">
        <v>1513</v>
      </c>
      <c r="M6" s="26" t="s">
        <v>1514</v>
      </c>
      <c r="N6" s="26" t="s">
        <v>1515</v>
      </c>
      <c r="O6" s="26" t="s">
        <v>1516</v>
      </c>
      <c r="P6" s="26" t="s">
        <v>1517</v>
      </c>
      <c r="Q6" s="26" t="s">
        <v>1518</v>
      </c>
      <c r="R6" s="26" t="s">
        <v>1605</v>
      </c>
      <c r="S6" s="26" t="s">
        <v>1606</v>
      </c>
      <c r="T6" s="26" t="s">
        <v>1607</v>
      </c>
      <c r="U6" s="26" t="s">
        <v>1608</v>
      </c>
      <c r="V6" s="26" t="s">
        <v>1609</v>
      </c>
      <c r="W6" s="26" t="s">
        <v>1610</v>
      </c>
      <c r="X6" s="26" t="s">
        <v>1611</v>
      </c>
      <c r="Y6" s="26" t="s">
        <v>1630</v>
      </c>
      <c r="Z6" s="26" t="s">
        <v>1631</v>
      </c>
      <c r="AA6" s="26" t="s">
        <v>912</v>
      </c>
      <c r="AB6" s="26" t="s">
        <v>682</v>
      </c>
      <c r="AC6" s="26" t="s">
        <v>683</v>
      </c>
      <c r="AD6" s="26" t="s">
        <v>684</v>
      </c>
      <c r="AE6" s="26" t="s">
        <v>685</v>
      </c>
      <c r="AF6" s="26" t="s">
        <v>686</v>
      </c>
      <c r="AG6" s="26" t="s">
        <v>687</v>
      </c>
      <c r="AH6" s="26" t="s">
        <v>688</v>
      </c>
      <c r="AI6" s="26" t="s">
        <v>689</v>
      </c>
      <c r="AJ6" s="26" t="s">
        <v>690</v>
      </c>
      <c r="AK6" s="26" t="s">
        <v>691</v>
      </c>
      <c r="AL6" s="26" t="s">
        <v>692</v>
      </c>
      <c r="AM6" s="26" t="s">
        <v>693</v>
      </c>
      <c r="AN6" s="26" t="s">
        <v>694</v>
      </c>
      <c r="AO6" s="26" t="s">
        <v>695</v>
      </c>
      <c r="AP6" s="26" t="s">
        <v>696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1">
        <f>SUM(tx_pvls_T[[#This Row],[A_tx_pvls_D_u15_f_rtn]:[A_tx_pvls_D_o15_m_undoctest]])</f>
        <v>0</v>
      </c>
      <c r="Z7" s="161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49">
        <f>SUMIF($AB$4:$AM$4,"*Routine",tx_pvls_T[[#This Row],[tx_pvls_D_u15_f_rtn]:[tx_pvls_D_o15_m_undoctest]])</f>
        <v>0</v>
      </c>
      <c r="AO7" s="49">
        <f>SUMIF($AB$4:$AM$4,"*Targeted",tx_pvls_T[[#This Row],[tx_pvls_D_u15_f_rtn]:[tx_pvls_D_o15_m_undoctest]])</f>
        <v>0</v>
      </c>
      <c r="AP7" s="49">
        <f>SUMIF($AB$4:$AM$4,"*Undocumented*",tx_pvls_T[[#This Row],[tx_pvls_D_u15_f_rtn]:[tx_pvls_D_o15_m_undoctest]])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4"/>
      <c r="W11" s="104"/>
      <c r="X11" s="104"/>
      <c r="Y11" s="104"/>
      <c r="Z11" s="104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42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42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42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42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spans="1:2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</row>
    <row r="29" spans="1:2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</row>
    <row r="30" spans="1:2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</row>
    <row r="31" spans="1:2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</row>
    <row r="32" spans="1:2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</row>
    <row r="33" spans="1:2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</row>
    <row r="34" spans="1:2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</row>
    <row r="35" spans="1:2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</row>
    <row r="36" spans="1:2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</row>
    <row r="37" spans="1:2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</row>
    <row r="38" spans="1:2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</row>
    <row r="39" spans="1:2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</row>
    <row r="40" spans="1:2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</row>
    <row r="41" spans="1:2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</row>
    <row r="42" spans="1:2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</row>
    <row r="43" spans="1:2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</row>
    <row r="44" spans="1:2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</row>
    <row r="45" spans="1:2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</row>
    <row r="47" spans="1:2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</row>
    <row r="48" spans="1:2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</row>
    <row r="49" spans="1:2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</row>
    <row r="50" spans="1:2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</row>
    <row r="51" spans="1:2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</row>
    <row r="52" spans="1:2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</row>
    <row r="53" spans="1:2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</row>
    <row r="54" spans="1:2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</row>
    <row r="55" spans="1:2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</row>
    <row r="56" spans="1:2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</row>
    <row r="57" spans="1:2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</row>
    <row r="58" spans="1:2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</row>
    <row r="59" spans="1:2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</row>
    <row r="60" spans="1:2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</row>
    <row r="61" spans="1:2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</row>
    <row r="62" spans="1:2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</row>
    <row r="63" spans="1:2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</row>
    <row r="64" spans="1:2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</row>
    <row r="65" spans="1:2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</row>
    <row r="66" spans="1:2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</row>
    <row r="67" spans="1:2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</row>
    <row r="68" spans="1:2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</row>
    <row r="69" spans="1:2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</row>
    <row r="70" spans="1:2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</row>
    <row r="71" spans="1:2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</row>
    <row r="72" spans="1:2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</row>
    <row r="73" spans="1:2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</row>
    <row r="74" spans="1:2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</row>
    <row r="75" spans="1:2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</row>
    <row r="76" spans="1:2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</row>
    <row r="77" spans="1:2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</row>
    <row r="78" spans="1:2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</row>
    <row r="79" spans="1:2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</row>
    <row r="80" spans="1:2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</row>
    <row r="81" spans="1:2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</row>
    <row r="82" spans="1:2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</row>
    <row r="83" spans="1:2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</row>
    <row r="84" spans="1:2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</row>
    <row r="85" spans="1:2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</row>
    <row r="86" spans="1:2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</row>
    <row r="87" spans="1:2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1:2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1:2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</row>
    <row r="91" spans="1:2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</row>
    <row r="92" spans="1:2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</row>
    <row r="93" spans="1:2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</row>
    <row r="94" spans="1:2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</row>
    <row r="95" spans="1:2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</row>
    <row r="96" spans="1:2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1:2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1:2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</row>
    <row r="99" spans="1:2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</row>
    <row r="100" spans="1:2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</row>
    <row r="101" spans="1:2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</row>
    <row r="102" spans="1:2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</row>
    <row r="103" spans="1:2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</row>
    <row r="104" spans="1:2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</row>
    <row r="105" spans="1:2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1:2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1:2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</row>
    <row r="108" spans="1:2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</row>
    <row r="109" spans="1:2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</row>
    <row r="110" spans="1:2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</row>
    <row r="111" spans="1:2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</row>
    <row r="112" spans="1:2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</row>
    <row r="113" spans="1:2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</row>
    <row r="114" spans="1:2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1:2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1:2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</row>
    <row r="117" spans="1:2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</row>
    <row r="118" spans="1:2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</row>
    <row r="119" spans="1:2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</row>
    <row r="120" spans="1:2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</row>
    <row r="121" spans="1:2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</row>
    <row r="122" spans="1:2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</row>
    <row r="123" spans="1:2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</row>
    <row r="124" spans="1:2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</row>
    <row r="125" spans="1:2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</row>
    <row r="126" spans="1:2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</row>
    <row r="127" spans="1:2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</row>
    <row r="128" spans="1:2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</row>
    <row r="129" spans="1:2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</row>
    <row r="130" spans="1:2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</row>
    <row r="131" spans="1:2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</row>
    <row r="132" spans="1:2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</row>
    <row r="133" spans="1:2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</row>
    <row r="134" spans="1:2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</row>
    <row r="135" spans="1:2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</row>
    <row r="136" spans="1:2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</row>
    <row r="137" spans="1:2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</row>
    <row r="138" spans="1:2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</row>
    <row r="139" spans="1:2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</row>
    <row r="140" spans="1:2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</row>
    <row r="141" spans="1:2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</row>
    <row r="142" spans="1:2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</row>
    <row r="143" spans="1:2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</row>
    <row r="144" spans="1:2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</row>
    <row r="145" spans="1:2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</row>
    <row r="146" spans="1:2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</row>
    <row r="147" spans="1:2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</row>
    <row r="148" spans="1:2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</row>
    <row r="149" spans="1:2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</row>
    <row r="150" spans="1:2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</row>
    <row r="151" spans="1:2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</row>
    <row r="152" spans="1:2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</row>
    <row r="153" spans="1:2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</row>
    <row r="154" spans="1:2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</row>
    <row r="155" spans="1:2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</row>
    <row r="156" spans="1:2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</row>
    <row r="157" spans="1:2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</row>
    <row r="158" spans="1:2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</row>
    <row r="159" spans="1:2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</row>
    <row r="160" spans="1:2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</row>
    <row r="161" spans="1:2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</row>
    <row r="162" spans="1:2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</row>
    <row r="163" spans="1:2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</row>
    <row r="164" spans="1:2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</row>
    <row r="165" spans="1:2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</row>
    <row r="166" spans="1:2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</row>
    <row r="167" spans="1:2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</row>
    <row r="168" spans="1:2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</row>
    <row r="169" spans="1:2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</row>
    <row r="170" spans="1:2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</row>
    <row r="171" spans="1:2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</row>
    <row r="172" spans="1:2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</row>
    <row r="173" spans="1:2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</row>
    <row r="174" spans="1:2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</row>
    <row r="175" spans="1:2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</row>
    <row r="176" spans="1:2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</row>
    <row r="177" spans="1:2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</row>
    <row r="178" spans="1:2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</row>
    <row r="179" spans="1:2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</row>
    <row r="180" spans="1:2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</row>
    <row r="181" spans="1:2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</row>
    <row r="183" spans="1:2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</row>
    <row r="184" spans="1:2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</row>
    <row r="185" spans="1:2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</row>
    <row r="186" spans="1:2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</row>
    <row r="187" spans="1:2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</row>
    <row r="188" spans="1:2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</row>
    <row r="189" spans="1:2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</row>
    <row r="190" spans="1:2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</row>
    <row r="191" spans="1:2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</row>
    <row r="192" spans="1:2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</row>
    <row r="193" spans="1:2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</row>
    <row r="194" spans="1:2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</row>
    <row r="195" spans="1:2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</row>
    <row r="196" spans="1:2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</row>
    <row r="197" spans="1:2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</row>
    <row r="198" spans="1:2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</row>
    <row r="199" spans="1:2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</row>
    <row r="200" spans="1:2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</row>
    <row r="201" spans="1:2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</row>
    <row r="202" spans="1:2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</row>
    <row r="203" spans="1:2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</row>
    <row r="204" spans="1:2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</row>
    <row r="205" spans="1:2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</row>
    <row r="206" spans="1:2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</row>
    <row r="207" spans="1:2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</row>
    <row r="208" spans="1:2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</row>
    <row r="209" spans="1:2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</row>
    <row r="210" spans="1:2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</row>
    <row r="211" spans="1:2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</row>
    <row r="212" spans="1:2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</row>
    <row r="213" spans="1:2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</row>
    <row r="215" spans="1:2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</row>
    <row r="216" spans="1:2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</row>
    <row r="217" spans="1:2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</row>
    <row r="218" spans="1:2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</row>
    <row r="219" spans="1:2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</row>
    <row r="220" spans="1:2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</row>
    <row r="221" spans="1:2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</row>
    <row r="222" spans="1:2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</row>
    <row r="223" spans="1:2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</row>
    <row r="224" spans="1:2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</row>
    <row r="225" spans="1:2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</row>
    <row r="226" spans="1:2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</row>
    <row r="227" spans="1:2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</row>
    <row r="228" spans="1:2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</row>
    <row r="229" spans="1:2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</row>
    <row r="230" spans="1:2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</row>
    <row r="231" spans="1:2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</row>
    <row r="232" spans="1:2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</row>
    <row r="233" spans="1:2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</row>
    <row r="234" spans="1:2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</row>
    <row r="235" spans="1:2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</row>
    <row r="236" spans="1:2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</row>
    <row r="237" spans="1:2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</row>
    <row r="238" spans="1:2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</row>
    <row r="239" spans="1:2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</row>
    <row r="240" spans="1:2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</row>
    <row r="241" spans="1:2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</row>
    <row r="242" spans="1:2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</row>
    <row r="243" spans="1:2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</row>
    <row r="244" spans="1:2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</row>
    <row r="245" spans="1:2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</row>
    <row r="246" spans="1:2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</row>
    <row r="247" spans="1:2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</row>
    <row r="248" spans="1:2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</row>
    <row r="249" spans="1:2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</row>
    <row r="250" spans="1:2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</row>
    <row r="251" spans="1:2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</row>
    <row r="252" spans="1:2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</row>
    <row r="253" spans="1:2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</row>
    <row r="254" spans="1:2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</row>
    <row r="255" spans="1:2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</row>
    <row r="256" spans="1:2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</row>
    <row r="257" spans="1:2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</row>
    <row r="258" spans="1:2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</row>
    <row r="259" spans="1:2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</row>
    <row r="260" spans="1:2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</row>
    <row r="261" spans="1:2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</row>
    <row r="262" spans="1:2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</row>
    <row r="263" spans="1:2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</row>
    <row r="264" spans="1:2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</row>
    <row r="265" spans="1:2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</row>
    <row r="266" spans="1:2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</row>
    <row r="267" spans="1:2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</row>
    <row r="268" spans="1:2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</row>
    <row r="269" spans="1:2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</row>
    <row r="270" spans="1:2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</row>
    <row r="271" spans="1:2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</row>
    <row r="272" spans="1:2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</row>
    <row r="273" spans="1:2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</row>
    <row r="274" spans="1:2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</row>
    <row r="275" spans="1:2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</row>
    <row r="276" spans="1:2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</row>
    <row r="277" spans="1:2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</row>
    <row r="278" spans="1:2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</row>
    <row r="279" spans="1:2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2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</row>
    <row r="281" spans="1:2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</row>
    <row r="282" spans="1:2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2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</row>
    <row r="284" spans="1:2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</row>
    <row r="285" spans="1:2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2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</row>
    <row r="287" spans="1:2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</row>
    <row r="288" spans="1:2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2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</row>
    <row r="290" spans="1:2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</row>
    <row r="291" spans="1:2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2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</row>
    <row r="293" spans="1:2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</row>
    <row r="294" spans="1:2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2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</row>
    <row r="296" spans="1:2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</row>
    <row r="297" spans="1:2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2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</row>
    <row r="299" spans="1:2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</row>
    <row r="300" spans="1:2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2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</row>
    <row r="302" spans="1:2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</row>
    <row r="303" spans="1:2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2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</row>
    <row r="305" spans="1:2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</row>
    <row r="306" spans="1:2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2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</row>
    <row r="308" spans="1:2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</row>
    <row r="309" spans="1:2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2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</row>
    <row r="311" spans="1:2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</row>
    <row r="312" spans="1:2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2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</row>
    <row r="314" spans="1:2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</row>
    <row r="315" spans="1:2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2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</row>
    <row r="317" spans="1:2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</row>
    <row r="318" spans="1:2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2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</row>
    <row r="320" spans="1:2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</row>
    <row r="321" spans="1:2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2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</row>
    <row r="323" spans="1:2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</row>
    <row r="324" spans="1:2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2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</row>
    <row r="326" spans="1:2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</row>
    <row r="327" spans="1:2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2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</row>
    <row r="329" spans="1:2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</row>
    <row r="330" spans="1:2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2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</row>
    <row r="332" spans="1:2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</row>
    <row r="333" spans="1:2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2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</row>
    <row r="335" spans="1:2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</row>
    <row r="336" spans="1:2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2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</row>
    <row r="338" spans="1:2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</row>
    <row r="339" spans="1:2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2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</row>
    <row r="341" spans="1:2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</row>
    <row r="342" spans="1:2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2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</row>
    <row r="344" spans="1:2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</row>
    <row r="345" spans="1:2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</row>
    <row r="346" spans="1:2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</row>
    <row r="347" spans="1:2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</row>
    <row r="348" spans="1:2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</row>
    <row r="349" spans="1:2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</row>
    <row r="350" spans="1:2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</row>
    <row r="351" spans="1:2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</row>
    <row r="352" spans="1:2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</row>
    <row r="353" spans="1:2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</row>
    <row r="354" spans="1:2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2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</row>
    <row r="356" spans="1:2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</row>
    <row r="357" spans="1:2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2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</row>
    <row r="359" spans="1:2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</row>
    <row r="360" spans="1:2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</row>
    <row r="361" spans="1:2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</row>
    <row r="362" spans="1:2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</row>
    <row r="363" spans="1:2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</row>
    <row r="364" spans="1:2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</row>
    <row r="365" spans="1:2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</row>
    <row r="366" spans="1:2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</row>
    <row r="367" spans="1:2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</row>
    <row r="368" spans="1:2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</row>
    <row r="369" spans="1:2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2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</row>
    <row r="371" spans="1:2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</row>
    <row r="372" spans="1:2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2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</row>
    <row r="374" spans="1:2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</row>
    <row r="375" spans="1:2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</row>
    <row r="376" spans="1:2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</row>
    <row r="377" spans="1:2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</row>
    <row r="378" spans="1:2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</row>
    <row r="379" spans="1:2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</row>
    <row r="380" spans="1:2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</row>
    <row r="381" spans="1:2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</row>
    <row r="382" spans="1:2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</row>
    <row r="383" spans="1:2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</row>
    <row r="384" spans="1:2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</row>
    <row r="385" spans="1:2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</row>
    <row r="386" spans="1:2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</row>
    <row r="387" spans="1:2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</row>
    <row r="388" spans="1:2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</row>
    <row r="389" spans="1:2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</row>
    <row r="390" spans="1:2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</row>
    <row r="391" spans="1:2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</row>
    <row r="392" spans="1:2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</row>
    <row r="393" spans="1:2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</row>
    <row r="394" spans="1:2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</row>
    <row r="395" spans="1:2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</row>
    <row r="396" spans="1:2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</row>
    <row r="397" spans="1:2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</row>
    <row r="398" spans="1:2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</row>
    <row r="399" spans="1:2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</row>
    <row r="400" spans="1:2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</row>
    <row r="401" spans="1:2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</row>
    <row r="402" spans="1:2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</row>
    <row r="403" spans="1:2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</row>
    <row r="404" spans="1:2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</row>
    <row r="405" spans="1:2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</row>
    <row r="406" spans="1:2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</row>
    <row r="407" spans="1:2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</row>
    <row r="408" spans="1:2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</row>
    <row r="409" spans="1:2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</row>
    <row r="410" spans="1:2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</row>
    <row r="411" spans="1:2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</row>
    <row r="412" spans="1:2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</row>
    <row r="413" spans="1:2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</row>
    <row r="414" spans="1:2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</row>
    <row r="415" spans="1:2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</row>
    <row r="416" spans="1:2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</row>
    <row r="417" spans="1:2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</row>
    <row r="418" spans="1:2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</row>
    <row r="419" spans="1:2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</row>
    <row r="420" spans="1:2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</row>
    <row r="421" spans="1:2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</row>
    <row r="422" spans="1:2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</row>
    <row r="423" spans="1:2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</row>
    <row r="424" spans="1:2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</row>
    <row r="425" spans="1:2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</row>
    <row r="426" spans="1:2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</row>
    <row r="427" spans="1:2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</row>
    <row r="428" spans="1:2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</row>
    <row r="429" spans="1:2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</row>
    <row r="430" spans="1:2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</row>
    <row r="431" spans="1:2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</row>
    <row r="432" spans="1:2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</row>
    <row r="433" spans="1:2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</row>
    <row r="434" spans="1:2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</row>
    <row r="435" spans="1:2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</row>
    <row r="436" spans="1:2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</row>
    <row r="437" spans="1:2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</row>
    <row r="438" spans="1:2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</row>
    <row r="439" spans="1:2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</row>
    <row r="440" spans="1:2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</row>
    <row r="441" spans="1:2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</row>
    <row r="442" spans="1:2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</row>
    <row r="443" spans="1:2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</row>
    <row r="444" spans="1:2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</row>
    <row r="445" spans="1:2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</row>
    <row r="446" spans="1:2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</row>
    <row r="447" spans="1:2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</row>
    <row r="448" spans="1:2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</row>
    <row r="449" spans="1:2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</row>
    <row r="450" spans="1:2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</row>
    <row r="451" spans="1:2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</row>
    <row r="452" spans="1:2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</row>
    <row r="453" spans="1:2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</row>
    <row r="454" spans="1:2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</row>
    <row r="455" spans="1:2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</row>
    <row r="456" spans="1:2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</row>
    <row r="457" spans="1:2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</row>
    <row r="458" spans="1:2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</row>
    <row r="459" spans="1:2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</row>
    <row r="460" spans="1:2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</row>
    <row r="461" spans="1:2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</row>
    <row r="462" spans="1:2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</row>
    <row r="463" spans="1:2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</row>
    <row r="464" spans="1:2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</row>
    <row r="465" spans="1:2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</row>
    <row r="466" spans="1:2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</row>
    <row r="467" spans="1:2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</row>
    <row r="468" spans="1:2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</row>
    <row r="469" spans="1:2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</row>
    <row r="470" spans="1:2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</row>
    <row r="471" spans="1:2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</row>
    <row r="472" spans="1:2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</row>
    <row r="473" spans="1:2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</row>
    <row r="474" spans="1:2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</row>
    <row r="475" spans="1:2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</row>
    <row r="476" spans="1:2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</row>
    <row r="477" spans="1:2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</row>
    <row r="478" spans="1:2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</row>
    <row r="479" spans="1:2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</row>
    <row r="480" spans="1:2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</row>
    <row r="481" spans="1:2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</row>
    <row r="482" spans="1:2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</row>
    <row r="483" spans="1:2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</row>
    <row r="484" spans="1:2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</row>
    <row r="485" spans="1:2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</row>
    <row r="486" spans="1:2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</row>
    <row r="487" spans="1:2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</row>
    <row r="488" spans="1:2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</row>
    <row r="489" spans="1:2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</row>
    <row r="490" spans="1:2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</row>
    <row r="491" spans="1:2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</row>
    <row r="492" spans="1:2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</row>
    <row r="493" spans="1:2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</row>
    <row r="494" spans="1:2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</row>
    <row r="495" spans="1:2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</row>
    <row r="496" spans="1:2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</row>
    <row r="497" spans="1:2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</row>
    <row r="498" spans="1:2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</row>
    <row r="499" spans="1:2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</row>
    <row r="500" spans="1:2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</row>
    <row r="501" spans="1:2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</row>
    <row r="502" spans="1:2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</row>
    <row r="503" spans="1:2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</row>
    <row r="504" spans="1:2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</row>
    <row r="505" spans="1:2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</row>
    <row r="506" spans="1:2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</row>
    <row r="507" spans="1:2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</row>
    <row r="508" spans="1:2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</row>
    <row r="509" spans="1:2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</row>
    <row r="510" spans="1:2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</row>
    <row r="511" spans="1:2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</row>
    <row r="512" spans="1:2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</row>
    <row r="513" spans="1:2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</row>
    <row r="514" spans="1:2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</row>
    <row r="515" spans="1:2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</row>
    <row r="516" spans="1:2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</row>
    <row r="517" spans="1:2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</row>
    <row r="518" spans="1:2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</row>
    <row r="519" spans="1:2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</row>
    <row r="520" spans="1:2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</row>
    <row r="521" spans="1:2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</row>
    <row r="522" spans="1:2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</row>
    <row r="523" spans="1:2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</row>
    <row r="524" spans="1:2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</row>
    <row r="525" spans="1:2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</row>
    <row r="526" spans="1:2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</row>
    <row r="527" spans="1:2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</row>
    <row r="528" spans="1:2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</row>
    <row r="529" spans="1:2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</row>
    <row r="530" spans="1:2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</row>
    <row r="531" spans="1:2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</row>
    <row r="532" spans="1:2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</row>
    <row r="533" spans="1:2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</row>
    <row r="534" spans="1:2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</row>
    <row r="535" spans="1:2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</row>
    <row r="536" spans="1:2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</row>
    <row r="537" spans="1:2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</row>
    <row r="538" spans="1:2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</row>
    <row r="539" spans="1:2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</row>
    <row r="540" spans="1:2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</row>
    <row r="541" spans="1:2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</row>
    <row r="542" spans="1:2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</row>
    <row r="543" spans="1:2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</row>
    <row r="544" spans="1:2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</row>
    <row r="545" spans="1:2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</row>
    <row r="546" spans="1:2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</row>
    <row r="547" spans="1:2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</row>
    <row r="548" spans="1:2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</row>
    <row r="549" spans="1:2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</row>
    <row r="550" spans="1:2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</row>
    <row r="551" spans="1:2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</row>
    <row r="552" spans="1:2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</row>
    <row r="553" spans="1:2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</row>
    <row r="554" spans="1:2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</row>
    <row r="555" spans="1:2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</row>
    <row r="556" spans="1:2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</row>
    <row r="557" spans="1:2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</row>
    <row r="558" spans="1:2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</row>
    <row r="559" spans="1:2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</row>
    <row r="560" spans="1:2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</row>
    <row r="561" spans="1:2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</row>
    <row r="562" spans="1:2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</row>
    <row r="563" spans="1:2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</row>
    <row r="564" spans="1:2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</row>
    <row r="565" spans="1:2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</row>
    <row r="566" spans="1:2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</row>
    <row r="567" spans="1:2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</row>
    <row r="568" spans="1:2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</row>
    <row r="569" spans="1:2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</row>
    <row r="570" spans="1:2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</row>
    <row r="571" spans="1:2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</row>
    <row r="572" spans="1:2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</row>
    <row r="573" spans="1:2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</row>
    <row r="574" spans="1:2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</row>
    <row r="575" spans="1:2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</row>
    <row r="576" spans="1:2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</row>
    <row r="577" spans="1:2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</row>
    <row r="578" spans="1:2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</row>
    <row r="579" spans="1:2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</row>
    <row r="580" spans="1:2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</row>
    <row r="581" spans="1:2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</row>
    <row r="582" spans="1:2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</row>
    <row r="583" spans="1:2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</row>
    <row r="584" spans="1:2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</row>
    <row r="585" spans="1:2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</row>
    <row r="586" spans="1:2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</row>
    <row r="587" spans="1:2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</row>
    <row r="588" spans="1:2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</row>
    <row r="589" spans="1:2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</row>
    <row r="590" spans="1:2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</row>
    <row r="591" spans="1:2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</row>
    <row r="592" spans="1:2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</row>
    <row r="593" spans="1:2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</row>
    <row r="594" spans="1:2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</row>
    <row r="595" spans="1:2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</row>
    <row r="596" spans="1:2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</row>
    <row r="597" spans="1:2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</row>
    <row r="598" spans="1:2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</row>
    <row r="599" spans="1:2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</row>
    <row r="600" spans="1:2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</row>
    <row r="601" spans="1:2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</row>
    <row r="602" spans="1:2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</row>
    <row r="603" spans="1:2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</row>
    <row r="604" spans="1:2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</row>
    <row r="605" spans="1:2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</row>
    <row r="606" spans="1:2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</row>
    <row r="607" spans="1:2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</row>
    <row r="608" spans="1:2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</row>
    <row r="609" spans="1:2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</row>
    <row r="610" spans="1:2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</row>
    <row r="611" spans="1:2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</row>
    <row r="612" spans="1:2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</row>
    <row r="613" spans="1:2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</row>
    <row r="614" spans="1:2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</row>
    <row r="615" spans="1:2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</row>
    <row r="616" spans="1:2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</row>
    <row r="617" spans="1:2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</row>
    <row r="618" spans="1:2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</row>
    <row r="619" spans="1:2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</row>
    <row r="620" spans="1:2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</row>
    <row r="621" spans="1:2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</row>
    <row r="622" spans="1:2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</row>
    <row r="623" spans="1:2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</row>
    <row r="624" spans="1:2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</row>
    <row r="625" spans="1:2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</row>
    <row r="626" spans="1:2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</row>
    <row r="627" spans="1:2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</row>
    <row r="628" spans="1:2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</row>
    <row r="629" spans="1:2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</row>
    <row r="630" spans="1:2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</row>
    <row r="631" spans="1:2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</row>
    <row r="632" spans="1:2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</row>
    <row r="633" spans="1:2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</row>
    <row r="634" spans="1:2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</row>
    <row r="635" spans="1:2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</row>
    <row r="636" spans="1:2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</row>
    <row r="637" spans="1:2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</row>
    <row r="638" spans="1:2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</row>
    <row r="639" spans="1:2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</row>
    <row r="640" spans="1:2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</row>
    <row r="641" spans="1:2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</row>
    <row r="642" spans="1:2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</row>
    <row r="643" spans="1:2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</row>
    <row r="644" spans="1:2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</row>
    <row r="645" spans="1:2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</row>
    <row r="646" spans="1:2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</row>
    <row r="647" spans="1:2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</row>
    <row r="648" spans="1:2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</row>
    <row r="649" spans="1:2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</row>
    <row r="650" spans="1:2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</row>
    <row r="651" spans="1:2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</row>
    <row r="652" spans="1:2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</row>
    <row r="653" spans="1:2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</row>
    <row r="654" spans="1:2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</row>
    <row r="655" spans="1:2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</row>
    <row r="656" spans="1:2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</row>
    <row r="657" spans="1:2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</row>
    <row r="658" spans="1:2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</row>
    <row r="659" spans="1:2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</row>
    <row r="660" spans="1:2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</row>
    <row r="661" spans="1:2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</row>
    <row r="662" spans="1:2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</row>
    <row r="663" spans="1:2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</row>
    <row r="664" spans="1:2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</row>
    <row r="665" spans="1:2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</row>
    <row r="666" spans="1:2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</row>
    <row r="667" spans="1:2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</row>
    <row r="668" spans="1:2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</row>
    <row r="669" spans="1:2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</row>
    <row r="670" spans="1:2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</row>
    <row r="671" spans="1:2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</row>
    <row r="672" spans="1:2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</row>
    <row r="673" spans="1:2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</row>
    <row r="674" spans="1:2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</row>
    <row r="675" spans="1:2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</row>
    <row r="676" spans="1:2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</row>
    <row r="677" spans="1:2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</row>
    <row r="678" spans="1:2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</row>
    <row r="679" spans="1:2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</row>
    <row r="680" spans="1:2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</row>
    <row r="681" spans="1:2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</row>
    <row r="682" spans="1:2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</row>
    <row r="683" spans="1:2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</row>
    <row r="684" spans="1:2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</row>
    <row r="685" spans="1:2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</row>
    <row r="686" spans="1:2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</row>
    <row r="687" spans="1:2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</row>
    <row r="688" spans="1:2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</row>
    <row r="689" spans="1:2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</row>
    <row r="690" spans="1:2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</row>
    <row r="691" spans="1:2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</row>
    <row r="692" spans="1:2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</row>
    <row r="693" spans="1:2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</row>
    <row r="694" spans="1:2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</row>
    <row r="695" spans="1:2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</row>
    <row r="696" spans="1:2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</row>
    <row r="697" spans="1:2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</row>
    <row r="698" spans="1:2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</row>
    <row r="699" spans="1:2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</row>
    <row r="700" spans="1:2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</row>
    <row r="701" spans="1:2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</row>
    <row r="702" spans="1:2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</row>
    <row r="703" spans="1:2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</row>
    <row r="704" spans="1:2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</row>
    <row r="705" spans="1:2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</row>
    <row r="706" spans="1:2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</row>
    <row r="707" spans="1:2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</row>
    <row r="708" spans="1:2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</row>
    <row r="709" spans="1:2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</row>
    <row r="710" spans="1:2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</row>
    <row r="711" spans="1:2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</row>
    <row r="712" spans="1:2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</row>
    <row r="713" spans="1:2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</row>
    <row r="714" spans="1:2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</row>
    <row r="715" spans="1:2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</row>
    <row r="716" spans="1:2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</row>
    <row r="717" spans="1:2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</row>
    <row r="718" spans="1:2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</row>
    <row r="719" spans="1:2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</row>
    <row r="720" spans="1:2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</row>
    <row r="721" spans="1:2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</row>
    <row r="722" spans="1:2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</row>
    <row r="723" spans="1:2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</row>
    <row r="724" spans="1:2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</row>
    <row r="725" spans="1:2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</row>
    <row r="726" spans="1:2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</row>
    <row r="727" spans="1:2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</row>
    <row r="728" spans="1:2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</row>
    <row r="729" spans="1:2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</row>
    <row r="730" spans="1:2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</row>
    <row r="731" spans="1:2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</row>
    <row r="732" spans="1:2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</row>
    <row r="733" spans="1:2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</row>
    <row r="734" spans="1:2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</row>
    <row r="735" spans="1:2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</row>
    <row r="736" spans="1:2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</row>
    <row r="737" spans="1:2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</row>
    <row r="738" spans="1:2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</row>
    <row r="739" spans="1:2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</row>
    <row r="740" spans="1:2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</row>
    <row r="741" spans="1:2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</row>
    <row r="742" spans="1:2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</row>
    <row r="743" spans="1:2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</row>
    <row r="744" spans="1:2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</row>
    <row r="745" spans="1:2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</row>
    <row r="746" spans="1:2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</row>
    <row r="747" spans="1:2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</row>
    <row r="748" spans="1:2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</row>
    <row r="749" spans="1:2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</row>
    <row r="750" spans="1:2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</row>
    <row r="751" spans="1:2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</row>
    <row r="752" spans="1:2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</row>
    <row r="753" spans="1:2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</row>
    <row r="754" spans="1:2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</row>
    <row r="755" spans="1:2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</row>
    <row r="756" spans="1:2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</row>
    <row r="757" spans="1:2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</row>
    <row r="758" spans="1:2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</row>
    <row r="759" spans="1:2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</row>
    <row r="760" spans="1:2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</row>
    <row r="761" spans="1:2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</row>
    <row r="762" spans="1:2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</row>
    <row r="763" spans="1:2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</row>
    <row r="764" spans="1:2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</row>
    <row r="765" spans="1:2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</row>
    <row r="766" spans="1:2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</row>
    <row r="767" spans="1:2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</row>
    <row r="768" spans="1:2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</row>
    <row r="769" spans="1:2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</row>
    <row r="770" spans="1:2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</row>
    <row r="771" spans="1:2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</row>
    <row r="772" spans="1:2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</row>
    <row r="773" spans="1:2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</row>
    <row r="774" spans="1:2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</row>
    <row r="775" spans="1:2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</row>
    <row r="776" spans="1:2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</row>
    <row r="777" spans="1:2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</row>
    <row r="778" spans="1:2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</row>
    <row r="779" spans="1:2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</row>
    <row r="780" spans="1:2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</row>
    <row r="781" spans="1:2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</row>
    <row r="782" spans="1:2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</row>
    <row r="783" spans="1:2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</row>
    <row r="784" spans="1:2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</row>
    <row r="785" spans="1:2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</row>
    <row r="786" spans="1:2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</row>
    <row r="787" spans="1:2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</row>
    <row r="788" spans="1:2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</row>
    <row r="789" spans="1:2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</row>
    <row r="790" spans="1:2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</row>
    <row r="791" spans="1:2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</row>
    <row r="792" spans="1:2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</row>
    <row r="793" spans="1:2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</row>
    <row r="794" spans="1:2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</row>
    <row r="795" spans="1:2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</row>
    <row r="796" spans="1:2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</row>
    <row r="797" spans="1:2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</row>
    <row r="798" spans="1:2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</row>
    <row r="799" spans="1:2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</row>
    <row r="800" spans="1:2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</row>
    <row r="801" spans="1:2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</row>
    <row r="802" spans="1:2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</row>
    <row r="803" spans="1:2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</row>
    <row r="804" spans="1:2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</row>
    <row r="805" spans="1:2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</row>
    <row r="806" spans="1:2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</row>
    <row r="807" spans="1:2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</row>
    <row r="808" spans="1:2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</row>
    <row r="809" spans="1:2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</row>
    <row r="810" spans="1:2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</row>
    <row r="811" spans="1:2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</row>
    <row r="812" spans="1:2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</row>
    <row r="813" spans="1:2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</row>
    <row r="814" spans="1:2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</row>
    <row r="815" spans="1:2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</row>
    <row r="816" spans="1:2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</row>
    <row r="817" spans="1:2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</row>
    <row r="818" spans="1:2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</row>
    <row r="819" spans="1:2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</row>
    <row r="820" spans="1:2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</row>
    <row r="821" spans="1:2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</row>
    <row r="822" spans="1:2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</row>
    <row r="823" spans="1:2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</row>
    <row r="824" spans="1:2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</row>
    <row r="825" spans="1:2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</row>
    <row r="826" spans="1:2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</row>
    <row r="827" spans="1:2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</row>
    <row r="828" spans="1:2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</row>
    <row r="829" spans="1:2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</row>
    <row r="830" spans="1:2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</row>
    <row r="831" spans="1:2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</row>
    <row r="832" spans="1:2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</row>
    <row r="833" spans="1:2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</row>
    <row r="834" spans="1:2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</row>
    <row r="835" spans="1:2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</row>
    <row r="836" spans="1:2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</row>
    <row r="837" spans="1:2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</row>
    <row r="838" spans="1:2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</row>
    <row r="839" spans="1:2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</row>
    <row r="840" spans="1:2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</row>
    <row r="841" spans="1:2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</row>
    <row r="842" spans="1:2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</row>
    <row r="843" spans="1:2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</row>
    <row r="844" spans="1:2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</row>
    <row r="845" spans="1:2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</row>
    <row r="846" spans="1:2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</row>
    <row r="847" spans="1:2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</row>
    <row r="848" spans="1:2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</row>
    <row r="849" spans="1:2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</row>
    <row r="850" spans="1:2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</row>
    <row r="851" spans="1:2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</row>
    <row r="852" spans="1:2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</row>
    <row r="853" spans="1:2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</row>
    <row r="854" spans="1:2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</row>
    <row r="855" spans="1:2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</row>
    <row r="856" spans="1:2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</row>
    <row r="857" spans="1:2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</row>
    <row r="858" spans="1:2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</row>
    <row r="859" spans="1:2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</row>
    <row r="860" spans="1:2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</row>
    <row r="861" spans="1:2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</row>
    <row r="862" spans="1:2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</row>
    <row r="863" spans="1:2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</row>
    <row r="864" spans="1:2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</row>
    <row r="865" spans="1:2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</row>
    <row r="866" spans="1:2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</row>
    <row r="867" spans="1:2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</row>
    <row r="868" spans="1:2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</row>
    <row r="869" spans="1:2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</row>
    <row r="870" spans="1:2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</row>
    <row r="871" spans="1:2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</row>
    <row r="872" spans="1:2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</row>
    <row r="873" spans="1:2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</row>
    <row r="874" spans="1:2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</row>
    <row r="875" spans="1:2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</row>
    <row r="876" spans="1:2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</row>
    <row r="877" spans="1:2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</row>
    <row r="878" spans="1:2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</row>
    <row r="879" spans="1:2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</row>
    <row r="880" spans="1:2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</row>
    <row r="881" spans="1:2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</row>
    <row r="882" spans="1:2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</row>
    <row r="883" spans="1:2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</row>
    <row r="884" spans="1:2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</row>
    <row r="885" spans="1:2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</row>
    <row r="886" spans="1:2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</row>
    <row r="887" spans="1:2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</row>
    <row r="888" spans="1:2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</row>
    <row r="889" spans="1:2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</row>
    <row r="890" spans="1:2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</row>
    <row r="891" spans="1:2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</row>
    <row r="892" spans="1:2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</row>
    <row r="893" spans="1:2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</row>
    <row r="894" spans="1:2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</row>
    <row r="895" spans="1:2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</row>
    <row r="896" spans="1:2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</row>
    <row r="897" spans="1:2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</row>
    <row r="898" spans="1:2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</row>
    <row r="899" spans="1:2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</row>
    <row r="900" spans="1:2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</row>
    <row r="901" spans="1:2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</row>
    <row r="902" spans="1:2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</row>
    <row r="903" spans="1:2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</row>
    <row r="904" spans="1:2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</row>
    <row r="905" spans="1:2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</row>
    <row r="906" spans="1:2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</row>
    <row r="907" spans="1:2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</row>
    <row r="908" spans="1:2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</row>
    <row r="909" spans="1:2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</row>
    <row r="910" spans="1:2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</row>
    <row r="911" spans="1:2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</row>
    <row r="912" spans="1:2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</row>
    <row r="913" spans="1:2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</row>
    <row r="914" spans="1:2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</row>
    <row r="915" spans="1:2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</row>
    <row r="916" spans="1:2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</row>
    <row r="917" spans="1:2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</row>
    <row r="918" spans="1:2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</row>
    <row r="919" spans="1:2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</row>
    <row r="920" spans="1:2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</row>
    <row r="921" spans="1:2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</row>
    <row r="922" spans="1:2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</row>
    <row r="923" spans="1:2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</row>
    <row r="924" spans="1:2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</row>
    <row r="925" spans="1:2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</row>
    <row r="926" spans="1:2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</row>
    <row r="927" spans="1:2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</row>
    <row r="928" spans="1:2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</row>
    <row r="929" spans="1:2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</row>
    <row r="930" spans="1:2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</row>
    <row r="931" spans="1:2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</row>
    <row r="932" spans="1:2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</row>
    <row r="933" spans="1:2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</row>
    <row r="934" spans="1:2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</row>
    <row r="935" spans="1:2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</row>
    <row r="936" spans="1:2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</row>
    <row r="937" spans="1:2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</row>
    <row r="938" spans="1:2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</row>
    <row r="939" spans="1:2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</row>
    <row r="940" spans="1:2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</row>
    <row r="941" spans="1:2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</row>
    <row r="942" spans="1:2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</row>
    <row r="943" spans="1:2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</row>
    <row r="944" spans="1:2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</row>
    <row r="945" spans="1:2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</row>
    <row r="946" spans="1:2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</row>
    <row r="947" spans="1:2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</row>
    <row r="948" spans="1:2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</row>
    <row r="949" spans="1:2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</row>
    <row r="950" spans="1:2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</row>
    <row r="951" spans="1:2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</row>
    <row r="952" spans="1:2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</row>
    <row r="953" spans="1:2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</row>
    <row r="954" spans="1:2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</row>
    <row r="955" spans="1:2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</row>
    <row r="956" spans="1:2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</row>
    <row r="957" spans="1:2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</row>
    <row r="958" spans="1:2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</row>
    <row r="959" spans="1:2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</row>
    <row r="960" spans="1:2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</row>
    <row r="961" spans="1:2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</row>
    <row r="962" spans="1:2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</row>
    <row r="963" spans="1:2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</row>
    <row r="964" spans="1:2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</row>
    <row r="965" spans="1:2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</row>
    <row r="966" spans="1:2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</row>
    <row r="967" spans="1:2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</row>
    <row r="968" spans="1:2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</row>
    <row r="969" spans="1:2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</row>
    <row r="970" spans="1:2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</row>
    <row r="971" spans="1:2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</row>
    <row r="972" spans="1:2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</row>
    <row r="973" spans="1:2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</row>
    <row r="974" spans="1:2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</row>
    <row r="975" spans="1:2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</row>
    <row r="976" spans="1:2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</row>
    <row r="977" spans="1:2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</row>
    <row r="978" spans="1:2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</row>
    <row r="979" spans="1:2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</row>
    <row r="980" spans="1:2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</row>
    <row r="981" spans="1:2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</row>
    <row r="982" spans="1:2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</row>
    <row r="983" spans="1:2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</row>
    <row r="984" spans="1:2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</row>
    <row r="985" spans="1:2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</row>
    <row r="986" spans="1:2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</row>
    <row r="987" spans="1:2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</row>
    <row r="988" spans="1:2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</row>
    <row r="989" spans="1:2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</row>
    <row r="990" spans="1:2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</row>
    <row r="991" spans="1:2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</row>
    <row r="992" spans="1:2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</row>
    <row r="993" spans="1:2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</row>
    <row r="994" spans="1:2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</row>
    <row r="995" spans="1:2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</row>
    <row r="996" spans="1:2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</row>
    <row r="997" spans="1:2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</row>
    <row r="998" spans="1:2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</row>
    <row r="999" spans="1:2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</row>
    <row r="1000" spans="1:2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</row>
    <row r="1001" spans="1:2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</row>
    <row r="1002" spans="1:2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</row>
    <row r="1003" spans="1:2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</row>
    <row r="1004" spans="1:2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</row>
    <row r="1005" spans="1:2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</row>
    <row r="1006" spans="1:2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</row>
    <row r="1007" spans="1:2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</row>
    <row r="1008" spans="1:2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</row>
    <row r="1009" spans="1:2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</row>
    <row r="1010" spans="1:2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</row>
    <row r="1011" spans="1:2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</row>
    <row r="1012" spans="1:2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</row>
    <row r="1013" spans="1:2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</row>
    <row r="1014" spans="1:2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</row>
    <row r="1015" spans="1:2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</row>
    <row r="1016" spans="1:2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</row>
    <row r="1017" spans="1:2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</row>
    <row r="1018" spans="1:2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</row>
    <row r="1019" spans="1:2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</row>
    <row r="1020" spans="1:2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</row>
    <row r="1021" spans="1:2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</row>
    <row r="1022" spans="1:2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</row>
    <row r="1023" spans="1:2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</row>
    <row r="1024" spans="1:2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</row>
    <row r="1025" spans="1:2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</row>
    <row r="1026" spans="1:2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</row>
    <row r="1027" spans="1:2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</row>
    <row r="1028" spans="1:2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</row>
    <row r="1029" spans="1:2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</row>
    <row r="1030" spans="1:2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</row>
    <row r="1031" spans="1:2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</row>
    <row r="1032" spans="1:2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</row>
    <row r="1033" spans="1:2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</row>
    <row r="1034" spans="1:2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</row>
    <row r="1035" spans="1:2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</row>
    <row r="1036" spans="1:2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</row>
    <row r="1037" spans="1:2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</row>
    <row r="1038" spans="1:2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</row>
    <row r="1039" spans="1:2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</row>
    <row r="1040" spans="1:2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</row>
    <row r="1041" spans="1:2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</row>
    <row r="1042" spans="1:2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</row>
    <row r="1043" spans="1:2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</row>
    <row r="1044" spans="1:2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</row>
    <row r="1045" spans="1:2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</row>
    <row r="1046" spans="1:2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</row>
    <row r="1047" spans="1:2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</row>
    <row r="1048" spans="1:2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</row>
    <row r="1049" spans="1:2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</row>
    <row r="1050" spans="1:2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</row>
    <row r="1051" spans="1:2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</row>
    <row r="1052" spans="1:2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</row>
    <row r="1053" spans="1:2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</row>
    <row r="1054" spans="1:2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</row>
    <row r="1055" spans="1:2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</row>
    <row r="1056" spans="1:2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</row>
    <row r="1057" spans="1:2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</row>
    <row r="1058" spans="1:2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</row>
    <row r="1059" spans="1:2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</row>
    <row r="1060" spans="1:2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</row>
    <row r="1061" spans="1:2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</row>
    <row r="1062" spans="1:2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</row>
    <row r="1063" spans="1:2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</row>
    <row r="1064" spans="1:2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</row>
    <row r="1065" spans="1:2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</row>
    <row r="1066" spans="1:2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</row>
    <row r="1067" spans="1:2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</row>
    <row r="1068" spans="1:2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</row>
    <row r="1069" spans="1:2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</row>
    <row r="1070" spans="1:2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</row>
    <row r="1071" spans="1:2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</row>
    <row r="1072" spans="1:2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</row>
    <row r="1073" spans="1:2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</row>
    <row r="1074" spans="1:2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</row>
    <row r="1075" spans="1:2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</row>
    <row r="1076" spans="1:2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</row>
    <row r="1077" spans="1:2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</row>
    <row r="1078" spans="1:2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</row>
    <row r="1079" spans="1:2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</row>
    <row r="1080" spans="1:2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</row>
    <row r="1081" spans="1:2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</row>
    <row r="1082" spans="1:2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</row>
    <row r="1083" spans="1:2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</row>
    <row r="1084" spans="1:2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</row>
    <row r="1085" spans="1:2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</row>
    <row r="1086" spans="1:2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</row>
    <row r="1087" spans="1:2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</row>
    <row r="1088" spans="1:2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</row>
    <row r="1089" spans="1:2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</row>
    <row r="1090" spans="1:2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</row>
    <row r="1091" spans="1:2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</row>
    <row r="1092" spans="1:2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</row>
    <row r="1093" spans="1:2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</row>
    <row r="1094" spans="1:2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</row>
    <row r="1095" spans="1:2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</row>
    <row r="1096" spans="1:2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</row>
    <row r="1097" spans="1:2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</row>
    <row r="1098" spans="1:2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</row>
    <row r="1099" spans="1:2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</row>
    <row r="1100" spans="1:2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</row>
    <row r="1101" spans="1:2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</row>
    <row r="1102" spans="1:2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</row>
    <row r="1103" spans="1:2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</row>
    <row r="1104" spans="1:2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</row>
    <row r="1105" spans="1:2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</row>
    <row r="1106" spans="1:2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</row>
    <row r="1107" spans="1:2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</row>
    <row r="1108" spans="1:2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</row>
    <row r="1109" spans="1:2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</row>
    <row r="1110" spans="1:2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</row>
    <row r="1111" spans="1:2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</row>
    <row r="1112" spans="1:2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</row>
    <row r="1113" spans="1:2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</row>
    <row r="1114" spans="1:2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</row>
    <row r="1115" spans="1:2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</row>
    <row r="1116" spans="1:2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</row>
    <row r="1117" spans="1:2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</row>
    <row r="1118" spans="1:2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</row>
    <row r="1119" spans="1:2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</row>
    <row r="1120" spans="1:2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</row>
    <row r="1121" spans="1:2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</row>
    <row r="1122" spans="1:2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</row>
    <row r="1123" spans="1:2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</row>
    <row r="1124" spans="1:2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</row>
    <row r="1125" spans="1:2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</row>
    <row r="1126" spans="1:2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</row>
    <row r="1127" spans="1:2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</row>
    <row r="1128" spans="1:2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</row>
    <row r="1129" spans="1:2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</row>
    <row r="1130" spans="1:2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</row>
    <row r="1131" spans="1:2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</row>
    <row r="1132" spans="1:2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</row>
    <row r="1133" spans="1:2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</row>
    <row r="1134" spans="1:2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</row>
    <row r="1135" spans="1:2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</row>
    <row r="1136" spans="1:2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</row>
    <row r="1137" spans="1:26" x14ac:dyDescent="0.25">
      <c r="A1137" s="19"/>
      <c r="C1137"/>
      <c r="D1137" s="104"/>
      <c r="E1137"/>
      <c r="F1137"/>
      <c r="G1137"/>
      <c r="X1137" s="104"/>
      <c r="Y1137" s="104"/>
      <c r="Z1137" s="104"/>
    </row>
    <row r="1138" spans="1:26" x14ac:dyDescent="0.25">
      <c r="A1138" s="19"/>
      <c r="C1138"/>
      <c r="D1138" s="104"/>
      <c r="E1138"/>
      <c r="F1138"/>
      <c r="G1138"/>
      <c r="X1138" s="104"/>
      <c r="Y1138" s="104"/>
      <c r="Z1138" s="104"/>
    </row>
    <row r="1139" spans="1:26" x14ac:dyDescent="0.25">
      <c r="A1139" s="19"/>
      <c r="C1139"/>
      <c r="D1139" s="104"/>
      <c r="E1139"/>
      <c r="F1139"/>
      <c r="G1139"/>
      <c r="X1139" s="104"/>
      <c r="Y1139" s="104"/>
      <c r="Z1139" s="104"/>
    </row>
    <row r="1140" spans="1:26" x14ac:dyDescent="0.25">
      <c r="A1140" s="19"/>
      <c r="C1140"/>
      <c r="D1140" s="104"/>
      <c r="E1140"/>
      <c r="F1140"/>
      <c r="G1140"/>
      <c r="X1140" s="104"/>
      <c r="Y1140" s="104"/>
      <c r="Z1140" s="104"/>
    </row>
    <row r="1141" spans="1:26" x14ac:dyDescent="0.25">
      <c r="A1141" s="19"/>
      <c r="C1141"/>
      <c r="D1141" s="104"/>
      <c r="E1141"/>
      <c r="F1141"/>
      <c r="G1141"/>
      <c r="X1141" s="104"/>
      <c r="Y1141" s="104"/>
      <c r="Z1141" s="104"/>
    </row>
    <row r="1142" spans="1:26" x14ac:dyDescent="0.25">
      <c r="A1142" s="19"/>
      <c r="C1142"/>
      <c r="D1142" s="104"/>
      <c r="E1142"/>
      <c r="F1142"/>
      <c r="G1142"/>
      <c r="X1142" s="104"/>
      <c r="Y1142" s="104"/>
      <c r="Z1142" s="104"/>
    </row>
    <row r="1143" spans="1:26" x14ac:dyDescent="0.25">
      <c r="A1143" s="19"/>
      <c r="C1143"/>
      <c r="D1143" s="104"/>
      <c r="E1143"/>
      <c r="F1143"/>
      <c r="G1143"/>
      <c r="X1143" s="104"/>
      <c r="Y1143" s="104"/>
      <c r="Z1143" s="104"/>
    </row>
    <row r="1144" spans="1:26" x14ac:dyDescent="0.25">
      <c r="A1144" s="19"/>
      <c r="C1144"/>
      <c r="D1144" s="104"/>
      <c r="E1144"/>
      <c r="F1144"/>
      <c r="G1144"/>
      <c r="X1144" s="104"/>
      <c r="Y1144" s="104"/>
      <c r="Z1144" s="104"/>
    </row>
    <row r="1145" spans="1:26" x14ac:dyDescent="0.25">
      <c r="A1145" s="19"/>
      <c r="C1145"/>
      <c r="D1145" s="104"/>
      <c r="E1145"/>
      <c r="F1145"/>
      <c r="G1145"/>
      <c r="X1145" s="104"/>
      <c r="Y1145" s="104"/>
      <c r="Z1145" s="104"/>
    </row>
    <row r="1146" spans="1:26" x14ac:dyDescent="0.25">
      <c r="A1146" s="19"/>
      <c r="C1146"/>
      <c r="D1146" s="104"/>
      <c r="E1146"/>
      <c r="F1146"/>
      <c r="G1146"/>
      <c r="X1146" s="104"/>
      <c r="Y1146" s="104"/>
      <c r="Z1146" s="104"/>
    </row>
    <row r="1147" spans="1:26" x14ac:dyDescent="0.25">
      <c r="A1147" s="19"/>
      <c r="C1147"/>
      <c r="D1147" s="104"/>
      <c r="E1147"/>
      <c r="F1147"/>
      <c r="G1147"/>
      <c r="X1147" s="104"/>
      <c r="Y1147" s="104"/>
      <c r="Z1147" s="104"/>
    </row>
    <row r="1148" spans="1:26" x14ac:dyDescent="0.25">
      <c r="A1148" s="19"/>
      <c r="C1148"/>
      <c r="D1148" s="104"/>
      <c r="E1148"/>
      <c r="F1148"/>
      <c r="G1148"/>
      <c r="X1148" s="104"/>
      <c r="Y1148" s="104"/>
      <c r="Z1148" s="104"/>
    </row>
    <row r="1149" spans="1:26" x14ac:dyDescent="0.25">
      <c r="A1149" s="19"/>
      <c r="C1149"/>
      <c r="D1149" s="104"/>
      <c r="E1149"/>
      <c r="F1149"/>
      <c r="G1149"/>
      <c r="X1149" s="104"/>
      <c r="Y1149" s="104"/>
      <c r="Z1149" s="104"/>
    </row>
    <row r="1150" spans="1:26" x14ac:dyDescent="0.25">
      <c r="C1150"/>
      <c r="D1150" s="104"/>
      <c r="E1150"/>
      <c r="F1150"/>
      <c r="G1150"/>
      <c r="X1150" s="104"/>
      <c r="Y1150" s="104"/>
      <c r="Z1150" s="104"/>
    </row>
    <row r="1151" spans="1:26" x14ac:dyDescent="0.25">
      <c r="C1151"/>
      <c r="D1151" s="104"/>
      <c r="E1151"/>
      <c r="F1151"/>
      <c r="G1151"/>
      <c r="X1151" s="104"/>
      <c r="Y1151" s="104"/>
      <c r="Z1151" s="104"/>
    </row>
    <row r="1152" spans="1:26" x14ac:dyDescent="0.25">
      <c r="C1152"/>
      <c r="D1152" s="104"/>
      <c r="E1152"/>
      <c r="F1152"/>
      <c r="G1152"/>
      <c r="X1152" s="104"/>
      <c r="Y1152" s="104"/>
      <c r="Z1152" s="104"/>
    </row>
    <row r="1153" spans="3:26" x14ac:dyDescent="0.25">
      <c r="C1153"/>
      <c r="D1153" s="104"/>
      <c r="E1153"/>
      <c r="F1153"/>
      <c r="G1153"/>
      <c r="X1153" s="104"/>
      <c r="Y1153" s="104"/>
      <c r="Z1153" s="104"/>
    </row>
    <row r="1154" spans="3:26" x14ac:dyDescent="0.25">
      <c r="C1154"/>
      <c r="D1154" s="104"/>
      <c r="E1154"/>
      <c r="F1154"/>
      <c r="G1154"/>
      <c r="X1154" s="104"/>
      <c r="Y1154" s="104"/>
      <c r="Z1154" s="104"/>
    </row>
  </sheetData>
  <mergeCells count="1">
    <mergeCell ref="A1:A2"/>
  </mergeCells>
  <conditionalFormatting sqref="J7:Z7">
    <cfRule type="expression" dxfId="205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zoomScale="85" zoomScaleNormal="85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71"/>
      <c r="C1" s="135" t="s">
        <v>379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2" t="s">
        <v>1634</v>
      </c>
      <c r="W1" s="143"/>
      <c r="X1" s="143"/>
      <c r="Y1" s="143"/>
      <c r="Z1" s="143"/>
      <c r="AA1" s="144"/>
      <c r="AB1" s="58" t="s">
        <v>1176</v>
      </c>
      <c r="AC1" s="59"/>
      <c r="AD1" s="59"/>
      <c r="AE1" s="59"/>
      <c r="AF1" s="59"/>
      <c r="AG1" s="59"/>
      <c r="AH1" s="116" t="s">
        <v>1175</v>
      </c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7" s="2" customFormat="1" x14ac:dyDescent="0.25">
      <c r="A2" s="17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796</v>
      </c>
      <c r="K3" s="47"/>
      <c r="L3" s="46" t="s">
        <v>797</v>
      </c>
      <c r="M3" s="47"/>
      <c r="N3" s="48" t="s">
        <v>378</v>
      </c>
      <c r="O3" s="47"/>
      <c r="P3" s="46" t="s">
        <v>798</v>
      </c>
      <c r="Q3" s="47"/>
      <c r="R3" s="46" t="s">
        <v>799</v>
      </c>
      <c r="S3" s="47"/>
      <c r="T3" s="48" t="s">
        <v>1667</v>
      </c>
      <c r="U3" s="47"/>
      <c r="V3" s="154" t="s">
        <v>1632</v>
      </c>
      <c r="W3" s="154"/>
      <c r="X3" s="154"/>
      <c r="Y3" s="154"/>
      <c r="Z3" s="154"/>
      <c r="AA3" s="154"/>
      <c r="AB3" s="61" t="s">
        <v>91</v>
      </c>
      <c r="AC3" s="63"/>
      <c r="AD3" s="63"/>
      <c r="AE3" s="63"/>
      <c r="AF3" s="63"/>
      <c r="AG3" s="63"/>
      <c r="AH3" s="119" t="s">
        <v>796</v>
      </c>
      <c r="AI3" s="121"/>
      <c r="AJ3" s="119" t="s">
        <v>797</v>
      </c>
      <c r="AK3" s="121"/>
      <c r="AL3" s="120" t="s">
        <v>378</v>
      </c>
      <c r="AM3" s="121"/>
      <c r="AN3" s="119" t="s">
        <v>798</v>
      </c>
      <c r="AO3" s="121"/>
      <c r="AP3" s="119" t="s">
        <v>799</v>
      </c>
      <c r="AQ3" s="121"/>
      <c r="AR3" s="120" t="s">
        <v>358</v>
      </c>
      <c r="AS3" s="121"/>
    </row>
    <row r="4" spans="1:47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9" t="s">
        <v>322</v>
      </c>
      <c r="L4" s="13" t="s">
        <v>323</v>
      </c>
      <c r="M4" s="9" t="s">
        <v>324</v>
      </c>
      <c r="N4" s="13" t="s">
        <v>355</v>
      </c>
      <c r="O4" s="9" t="s">
        <v>356</v>
      </c>
      <c r="P4" s="8" t="s">
        <v>321</v>
      </c>
      <c r="Q4" s="9" t="s">
        <v>322</v>
      </c>
      <c r="R4" s="13" t="s">
        <v>323</v>
      </c>
      <c r="S4" s="9" t="s">
        <v>324</v>
      </c>
      <c r="T4" s="13" t="s">
        <v>355</v>
      </c>
      <c r="U4" s="9" t="s">
        <v>356</v>
      </c>
      <c r="V4" s="152" t="s">
        <v>796</v>
      </c>
      <c r="W4" s="152" t="s">
        <v>797</v>
      </c>
      <c r="X4" s="152" t="s">
        <v>1671</v>
      </c>
      <c r="Y4" s="152" t="s">
        <v>798</v>
      </c>
      <c r="Z4" s="152" t="s">
        <v>799</v>
      </c>
      <c r="AA4" s="152" t="s">
        <v>1667</v>
      </c>
      <c r="AB4" s="10" t="s">
        <v>782</v>
      </c>
      <c r="AC4" s="11" t="s">
        <v>800</v>
      </c>
      <c r="AD4" s="11" t="s">
        <v>802</v>
      </c>
      <c r="AE4" s="11" t="s">
        <v>379</v>
      </c>
      <c r="AF4" s="11" t="s">
        <v>801</v>
      </c>
      <c r="AG4" s="11" t="s">
        <v>1612</v>
      </c>
      <c r="AH4" s="122" t="s">
        <v>321</v>
      </c>
      <c r="AI4" s="124" t="s">
        <v>322</v>
      </c>
      <c r="AJ4" s="123" t="s">
        <v>323</v>
      </c>
      <c r="AK4" s="124" t="s">
        <v>324</v>
      </c>
      <c r="AL4" s="123" t="s">
        <v>355</v>
      </c>
      <c r="AM4" s="124" t="s">
        <v>356</v>
      </c>
      <c r="AN4" s="122" t="s">
        <v>321</v>
      </c>
      <c r="AO4" s="124" t="s">
        <v>322</v>
      </c>
      <c r="AP4" s="123" t="s">
        <v>323</v>
      </c>
      <c r="AQ4" s="124" t="s">
        <v>324</v>
      </c>
      <c r="AR4" s="123" t="s">
        <v>355</v>
      </c>
      <c r="AS4" s="124" t="s">
        <v>356</v>
      </c>
    </row>
    <row r="5" spans="1:47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0">
        <f>SUBTOTAL(109,tx_ret_T[D_tx_ret_D_fy19])</f>
        <v>0</v>
      </c>
      <c r="AC5" s="60">
        <f>SUBTOTAL(109,tx_ret_T[D_tx_ret_u15_D_fy19])</f>
        <v>0</v>
      </c>
      <c r="AD5" s="60">
        <f>SUBTOTAL(109,tx_ret_T[D_tx_ret_o15_D_fy19])</f>
        <v>0</v>
      </c>
      <c r="AE5" s="60">
        <f>SUBTOTAL(109,tx_ret_T[D_tx_ret_fy19])</f>
        <v>0</v>
      </c>
      <c r="AF5" s="60">
        <f>SUBTOTAL(109,tx_ret_T[D_tx_ret_u15_fy19])</f>
        <v>0</v>
      </c>
      <c r="AG5" s="60">
        <f>SUBTOTAL(109,tx_ret_T[D_tx_ret_o15_fy19])</f>
        <v>0</v>
      </c>
      <c r="AH5" s="60">
        <f>SUBTOTAL(109,tx_ret_T[tx_ret_D_u15_f_pos])</f>
        <v>0</v>
      </c>
      <c r="AI5" s="60">
        <f>SUBTOTAL(109,tx_ret_T[tx_ret_D_u15_m_pos])</f>
        <v>0</v>
      </c>
      <c r="AJ5" s="60">
        <f>SUBTOTAL(109,tx_ret_T[tx_ret_D_o15_f_pos])</f>
        <v>0</v>
      </c>
      <c r="AK5" s="60">
        <f>SUBTOTAL(109,tx_ret_T[tx_ret_D_o15_m_pos])</f>
        <v>0</v>
      </c>
      <c r="AL5" s="60">
        <f>SUBTOTAL(109,tx_ret_T[tx_ret_D_bf_pos])</f>
        <v>0</v>
      </c>
      <c r="AM5" s="60">
        <f>SUBTOTAL(109,tx_ret_T[tx_ret_D_preg_pos])</f>
        <v>0</v>
      </c>
      <c r="AN5" s="60">
        <f>SUBTOTAL(109,tx_ret_T[tx_ret_u15_f_pos])</f>
        <v>0</v>
      </c>
      <c r="AO5" s="60">
        <f>SUBTOTAL(109,tx_ret_T[tx_ret_u15_m_pos])</f>
        <v>0</v>
      </c>
      <c r="AP5" s="60">
        <f>SUBTOTAL(109,tx_ret_T[tx_ret_o15_f_pos])</f>
        <v>0</v>
      </c>
      <c r="AQ5" s="60">
        <f>SUBTOTAL(109,tx_ret_T[tx_ret_o15_m_pos])</f>
        <v>0</v>
      </c>
      <c r="AR5" s="60">
        <f>SUBTOTAL(109,tx_ret_T[tx_ret_bf_pos])</f>
        <v>0</v>
      </c>
      <c r="AS5" s="60">
        <f>SUBTOTAL(109,tx_ret_T[tx_ret_preg_pos])</f>
        <v>0</v>
      </c>
    </row>
    <row r="6" spans="1:47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1519</v>
      </c>
      <c r="K6" s="26" t="s">
        <v>1520</v>
      </c>
      <c r="L6" s="26" t="s">
        <v>1521</v>
      </c>
      <c r="M6" s="26" t="s">
        <v>1522</v>
      </c>
      <c r="N6" s="26" t="s">
        <v>1523</v>
      </c>
      <c r="O6" s="26" t="s">
        <v>1524</v>
      </c>
      <c r="P6" s="26" t="s">
        <v>1525</v>
      </c>
      <c r="Q6" s="26" t="s">
        <v>1526</v>
      </c>
      <c r="R6" s="26" t="s">
        <v>1527</v>
      </c>
      <c r="S6" s="26" t="s">
        <v>1528</v>
      </c>
      <c r="T6" s="26" t="s">
        <v>1529</v>
      </c>
      <c r="U6" s="26" t="s">
        <v>1530</v>
      </c>
      <c r="V6" s="26" t="s">
        <v>1630</v>
      </c>
      <c r="W6" s="26" t="s">
        <v>1631</v>
      </c>
      <c r="X6" s="26" t="s">
        <v>1633</v>
      </c>
      <c r="Y6" s="26" t="s">
        <v>1635</v>
      </c>
      <c r="Z6" s="26" t="s">
        <v>1636</v>
      </c>
      <c r="AA6" s="26" t="s">
        <v>1637</v>
      </c>
      <c r="AB6" s="26" t="s">
        <v>908</v>
      </c>
      <c r="AC6" s="26" t="s">
        <v>1106</v>
      </c>
      <c r="AD6" s="26" t="s">
        <v>1114</v>
      </c>
      <c r="AE6" s="26" t="s">
        <v>909</v>
      </c>
      <c r="AF6" s="26" t="s">
        <v>1104</v>
      </c>
      <c r="AG6" s="26" t="s">
        <v>1115</v>
      </c>
      <c r="AH6" s="26" t="s">
        <v>697</v>
      </c>
      <c r="AI6" s="26" t="s">
        <v>698</v>
      </c>
      <c r="AJ6" s="26" t="s">
        <v>699</v>
      </c>
      <c r="AK6" s="26" t="s">
        <v>700</v>
      </c>
      <c r="AL6" s="26" t="s">
        <v>701</v>
      </c>
      <c r="AM6" s="26" t="s">
        <v>702</v>
      </c>
      <c r="AN6" s="26" t="s">
        <v>703</v>
      </c>
      <c r="AO6" s="26" t="s">
        <v>704</v>
      </c>
      <c r="AP6" s="26" t="s">
        <v>705</v>
      </c>
      <c r="AQ6" s="26" t="s">
        <v>706</v>
      </c>
      <c r="AR6" s="26" t="s">
        <v>707</v>
      </c>
      <c r="AS6" s="26" t="s">
        <v>708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1173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SUM(tx_ret_T[[#This Row],[A_tx_ret_D_u15_f_pos]:[A_tx_ret_D_u15_m_pos]])</f>
        <v>0</v>
      </c>
      <c r="W7" s="161">
        <f>SUM(tx_ret_T[[#This Row],[A_tx_ret_D_o15_f_pos]:[A_tx_ret_D_o15_m_pos]])</f>
        <v>0</v>
      </c>
      <c r="X7" s="161">
        <f>SUM(tx_ret_T[[#This Row],[A_tx_ret_D_bf_pos]:[A_tx_ret_D_preg_pos]])</f>
        <v>0</v>
      </c>
      <c r="Y7" s="161">
        <f>SUM(tx_ret_T[[#This Row],[A_tx_ret_u15_f_pos]:[A_tx_ret_u15_m_pos]])</f>
        <v>0</v>
      </c>
      <c r="Z7" s="161">
        <f>SUM(tx_ret_T[[#This Row],[A_tx_ret_o15_f_pos]:[A_tx_ret_o15_m_pos]])</f>
        <v>0</v>
      </c>
      <c r="AA7" s="164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>
        <f>tx_ret_T[[D_tx_ret_D_fy19]:[D_tx_ret_D_fy19]]*tx_ret_T[A_tx_ret_D_bf_pos]</f>
        <v>0</v>
      </c>
      <c r="AM7" s="42">
        <f>tx_ret_T[[D_tx_ret_D_fy19]:[D_tx_ret_D_fy19]]*tx_ret_T[A_tx_ret_D_preg_pos]</f>
        <v>0</v>
      </c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tx_ret_T[[D_tx_ret_o15_fy19]:[D_tx_ret_o15_fy19]]*tx_ret_T[A_tx_ret_o15_f_pos]</f>
        <v>0</v>
      </c>
      <c r="AQ7" s="42">
        <f>tx_ret_T[[D_tx_ret_o15_fy19]:[D_tx_ret_o15_fy19]]*tx_ret_T[A_tx_ret_o15_m_pos]</f>
        <v>0</v>
      </c>
      <c r="AR7" s="42">
        <f>tx_ret_T[[D_tx_ret_fy19]:[D_tx_ret_fy19]]*tx_ret_T[A_tx_ret_bf_pos]</f>
        <v>0</v>
      </c>
      <c r="AS7" s="42">
        <f>tx_ret_T[[D_tx_ret_fy19]:[D_tx_ret_fy19]]*tx_ret_T[A_tx_ret_preg_pos]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</row>
    <row r="13" spans="1:4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</row>
    <row r="14" spans="1:4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</row>
    <row r="15" spans="1:4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</row>
    <row r="16" spans="1:4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</row>
  </sheetData>
  <mergeCells count="1">
    <mergeCell ref="A1:A2"/>
  </mergeCells>
  <conditionalFormatting sqref="J7:O7">
    <cfRule type="expression" dxfId="162" priority="2">
      <formula>$AB7=0</formula>
    </cfRule>
  </conditionalFormatting>
  <conditionalFormatting sqref="P7:AA7">
    <cfRule type="expression" dxfId="161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1154"/>
  <sheetViews>
    <sheetView showGridLines="0" zoomScale="85" zoomScaleNormal="85" workbookViewId="0">
      <pane ySplit="4" topLeftCell="A5" activePane="bottomLeft" state="frozen"/>
      <selection pane="bottomLeft" activeCell="W13" sqref="W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30" width="11.5703125" customWidth="1"/>
    <col min="31" max="31" width="11.5703125" style="104" customWidth="1"/>
    <col min="33" max="39" width="11.5703125" customWidth="1"/>
  </cols>
  <sheetData>
    <row r="1" spans="1:39" s="1" customFormat="1" ht="23.25" x14ac:dyDescent="0.35">
      <c r="A1" s="171"/>
      <c r="C1" s="135" t="s">
        <v>830</v>
      </c>
      <c r="D1" s="2"/>
      <c r="J1" s="116" t="s">
        <v>1174</v>
      </c>
      <c r="K1" s="117"/>
      <c r="L1" s="117"/>
      <c r="M1" s="117"/>
      <c r="N1" s="163"/>
      <c r="O1" s="117"/>
      <c r="P1" s="117"/>
      <c r="Q1" s="117"/>
      <c r="R1" s="117"/>
      <c r="S1" s="117"/>
      <c r="T1" s="117"/>
      <c r="U1" s="117"/>
      <c r="V1" s="142" t="s">
        <v>1634</v>
      </c>
      <c r="W1" s="163"/>
      <c r="X1" s="143"/>
      <c r="Y1" s="144"/>
      <c r="Z1" s="58" t="s">
        <v>1176</v>
      </c>
      <c r="AA1" s="59" t="s">
        <v>1175</v>
      </c>
      <c r="AB1" s="59"/>
      <c r="AC1" s="59"/>
      <c r="AD1" s="59"/>
      <c r="AE1" s="163"/>
      <c r="AF1" s="59"/>
      <c r="AG1" s="59"/>
      <c r="AH1" s="59"/>
      <c r="AI1" s="59"/>
      <c r="AJ1" s="59"/>
      <c r="AK1" s="59"/>
      <c r="AL1" s="59"/>
    </row>
    <row r="2" spans="1:39" s="2" customFormat="1" x14ac:dyDescent="0.25">
      <c r="A2" s="17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X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1628</v>
      </c>
      <c r="K3" s="48"/>
      <c r="L3" s="48"/>
      <c r="M3" s="48"/>
      <c r="N3" s="54" t="s">
        <v>1668</v>
      </c>
      <c r="O3" s="46" t="s">
        <v>1670</v>
      </c>
      <c r="P3" s="48"/>
      <c r="Q3" s="47"/>
      <c r="R3" s="48" t="s">
        <v>1629</v>
      </c>
      <c r="S3" s="48"/>
      <c r="T3" s="48"/>
      <c r="U3" s="48"/>
      <c r="V3" s="149" t="s">
        <v>1632</v>
      </c>
      <c r="W3" s="154"/>
      <c r="X3" s="154"/>
      <c r="Y3" s="155"/>
      <c r="Z3" s="61" t="s">
        <v>745</v>
      </c>
      <c r="AA3" s="119" t="s">
        <v>1628</v>
      </c>
      <c r="AB3" s="120"/>
      <c r="AC3" s="120"/>
      <c r="AD3" s="120"/>
      <c r="AE3" s="130" t="s">
        <v>1653</v>
      </c>
      <c r="AF3" s="119" t="s">
        <v>1656</v>
      </c>
      <c r="AG3" s="120"/>
      <c r="AH3" s="121"/>
      <c r="AI3" s="120" t="s">
        <v>1629</v>
      </c>
      <c r="AJ3" s="120"/>
      <c r="AK3" s="120"/>
      <c r="AL3" s="121"/>
    </row>
    <row r="4" spans="1:39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13" t="s">
        <v>322</v>
      </c>
      <c r="L4" s="13" t="s">
        <v>323</v>
      </c>
      <c r="M4" s="13" t="s">
        <v>324</v>
      </c>
      <c r="N4" s="147" t="s">
        <v>1658</v>
      </c>
      <c r="O4" s="8" t="s">
        <v>380</v>
      </c>
      <c r="P4" s="13" t="s">
        <v>381</v>
      </c>
      <c r="Q4" s="9" t="s">
        <v>382</v>
      </c>
      <c r="R4" s="13" t="s">
        <v>383</v>
      </c>
      <c r="S4" s="13" t="s">
        <v>384</v>
      </c>
      <c r="T4" s="13" t="s">
        <v>385</v>
      </c>
      <c r="U4" s="13" t="s">
        <v>386</v>
      </c>
      <c r="V4" s="150" t="s">
        <v>1628</v>
      </c>
      <c r="W4" s="152" t="s">
        <v>1668</v>
      </c>
      <c r="X4" s="152" t="s">
        <v>1669</v>
      </c>
      <c r="Y4" s="156" t="s">
        <v>1629</v>
      </c>
      <c r="Z4" s="10" t="s">
        <v>784</v>
      </c>
      <c r="AA4" s="122" t="s">
        <v>321</v>
      </c>
      <c r="AB4" s="123" t="s">
        <v>322</v>
      </c>
      <c r="AC4" s="123" t="s">
        <v>323</v>
      </c>
      <c r="AD4" s="123" t="s">
        <v>324</v>
      </c>
      <c r="AE4" s="131" t="s">
        <v>1658</v>
      </c>
      <c r="AF4" s="122" t="s">
        <v>380</v>
      </c>
      <c r="AG4" s="123" t="s">
        <v>381</v>
      </c>
      <c r="AH4" s="124" t="s">
        <v>382</v>
      </c>
      <c r="AI4" s="123" t="s">
        <v>383</v>
      </c>
      <c r="AJ4" s="123" t="s">
        <v>384</v>
      </c>
      <c r="AK4" s="123" t="s">
        <v>385</v>
      </c>
      <c r="AL4" s="124" t="s">
        <v>386</v>
      </c>
    </row>
    <row r="5" spans="1:39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0">
        <f>SUBTOTAL(109,tx_tb_T[D_tx_tb_D_fy19])</f>
        <v>0</v>
      </c>
      <c r="AA5" s="60">
        <f>SUBTOTAL(109,tx_tb_T[tx_tb_D_u15_f_pos2])</f>
        <v>0</v>
      </c>
      <c r="AB5" s="60">
        <f>SUBTOTAL(109,tx_tb_T[tx_tb_D_u15_m_pos])</f>
        <v>0</v>
      </c>
      <c r="AC5" s="60">
        <f>SUBTOTAL(109,tx_tb_T[tx_tb_D_o15_f_pos])</f>
        <v>0</v>
      </c>
      <c r="AD5" s="60">
        <f>SUBTOTAL(109,tx_tb_T[tx_tb_D_o15_m_pos])</f>
        <v>0</v>
      </c>
      <c r="AE5" s="60">
        <f>SUBTOTAL(109,tx_tb_T[tx_tb_D_sent_pos])</f>
        <v>0</v>
      </c>
      <c r="AF5" s="60">
        <f>SUBTOTAL(109,tx_tb_T[tx_tb_D_oth_pos])</f>
        <v>0</v>
      </c>
      <c r="AG5" s="60">
        <f>SUBTOTAL(109,tx_tb_T[tx_tb_D_smear_pos])</f>
        <v>0</v>
      </c>
      <c r="AH5" s="60">
        <f>SUBTOTAL(109,tx_tb_T[tx_tb_D_xpert_pos])</f>
        <v>0</v>
      </c>
      <c r="AI5" s="60">
        <f>SUBTOTAL(109,tx_tb_T[tx_tb_D_life_already_scrn_neg_pos])</f>
        <v>0</v>
      </c>
      <c r="AJ5" s="60">
        <f>SUBTOTAL(109,tx_tb_T[tx_tb_D_life_already_scrn_pos_pos])</f>
        <v>0</v>
      </c>
      <c r="AK5" s="60">
        <f>SUBTOTAL(109,tx_tb_T[tx_tb_D_life_new_scrn_neg_pos])</f>
        <v>0</v>
      </c>
      <c r="AL5" s="60">
        <f>SUBTOTAL(109,tx_tb_T[tx_tb_D_life_new_scrn_pos_pos])</f>
        <v>0</v>
      </c>
    </row>
    <row r="6" spans="1:39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1531</v>
      </c>
      <c r="K6" s="26" t="s">
        <v>1532</v>
      </c>
      <c r="L6" s="26" t="s">
        <v>1533</v>
      </c>
      <c r="M6" s="26" t="s">
        <v>1534</v>
      </c>
      <c r="N6" s="26" t="s">
        <v>1655</v>
      </c>
      <c r="O6" s="26" t="s">
        <v>1654</v>
      </c>
      <c r="P6" s="26" t="s">
        <v>1536</v>
      </c>
      <c r="Q6" s="26" t="s">
        <v>1537</v>
      </c>
      <c r="R6" s="26" t="s">
        <v>1538</v>
      </c>
      <c r="S6" s="26" t="s">
        <v>1539</v>
      </c>
      <c r="T6" s="26" t="s">
        <v>1540</v>
      </c>
      <c r="U6" s="26" t="s">
        <v>1541</v>
      </c>
      <c r="V6" s="26" t="s">
        <v>1630</v>
      </c>
      <c r="W6" s="26" t="s">
        <v>1631</v>
      </c>
      <c r="X6" s="26" t="s">
        <v>1633</v>
      </c>
      <c r="Y6" s="26" t="s">
        <v>1635</v>
      </c>
      <c r="Z6" s="26" t="s">
        <v>926</v>
      </c>
      <c r="AA6" s="26" t="s">
        <v>783</v>
      </c>
      <c r="AB6" s="26" t="s">
        <v>709</v>
      </c>
      <c r="AC6" s="26" t="s">
        <v>710</v>
      </c>
      <c r="AD6" s="26" t="s">
        <v>711</v>
      </c>
      <c r="AE6" s="26" t="s">
        <v>1657</v>
      </c>
      <c r="AF6" s="26" t="s">
        <v>712</v>
      </c>
      <c r="AG6" s="26" t="s">
        <v>713</v>
      </c>
      <c r="AH6" s="26" t="s">
        <v>714</v>
      </c>
      <c r="AI6" s="26" t="s">
        <v>715</v>
      </c>
      <c r="AJ6" s="26" t="s">
        <v>716</v>
      </c>
      <c r="AK6" s="26" t="s">
        <v>717</v>
      </c>
      <c r="AL6" s="26" t="s">
        <v>718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SUM(tx_tb_T[[#This Row],[A_tx_tb_D_u15_f_pos]:[A_tx_tb_D_o15_m_pos]])</f>
        <v>0</v>
      </c>
      <c r="W7" s="164">
        <f>tx_tb_T[A_tx_tb_D_sent_pos]</f>
        <v>0</v>
      </c>
      <c r="X7" s="161">
        <f>SUM(tx_tb_T[[#This Row],[A_tx_tb_D_oth_pos2]:[A_tx_tb_D_xpert_pos]])</f>
        <v>0</v>
      </c>
      <c r="Y7" s="161">
        <f>SUM(tx_tb_T[[#This Row],[A_tx_tb_D_life_already_scrn_neg_pos]:[A_tx_tb_D_life_new_scrn_pos_pos]])</f>
        <v>0</v>
      </c>
      <c r="Z7" s="42"/>
      <c r="AA7" s="42">
        <f>tx_tb_T[[D_tx_tb_D_fy19]:[D_tx_tb_D_fy19]]*tx_tb_T[A_tx_tb_D_u15_f_pos]</f>
        <v>0</v>
      </c>
      <c r="AB7" s="42">
        <f>tx_tb_T[[D_tx_tb_D_fy19]:[D_tx_tb_D_fy19]]*tx_tb_T[A_tx_tb_D_u15_m_pos]</f>
        <v>0</v>
      </c>
      <c r="AC7" s="42">
        <f>tx_tb_T[[D_tx_tb_D_fy19]:[D_tx_tb_D_fy19]]*tx_tb_T[A_tx_tb_D_o15_f_pos]</f>
        <v>0</v>
      </c>
      <c r="AD7" s="42">
        <f>tx_tb_T[[D_tx_tb_D_fy19]:[D_tx_tb_D_fy19]]*tx_tb_T[A_tx_tb_D_o15_m_pos]</f>
        <v>0</v>
      </c>
      <c r="AE7" s="42">
        <f>tx_tb_T[[D_tx_tb_D_fy19]:[D_tx_tb_D_fy19]]*tx_tb_T[A_tx_tb_D_sent_pos]</f>
        <v>0</v>
      </c>
      <c r="AF7" s="42">
        <f>tx_tb_T[[tx_tb_D_sent_pos]:[tx_tb_D_sent_pos]]*tx_tb_T[A_tx_tb_D_oth_pos2]</f>
        <v>0</v>
      </c>
      <c r="AG7" s="42">
        <f>tx_tb_T[[tx_tb_D_sent_pos]:[tx_tb_D_sent_pos]]*tx_tb_T[A_tx_tb_D_smear_pos]</f>
        <v>0</v>
      </c>
      <c r="AH7" s="42">
        <f>tx_tb_T[[tx_tb_D_sent_pos]:[tx_tb_D_sent_pos]]*tx_tb_T[A_tx_tb_D_xpert_pos]</f>
        <v>0</v>
      </c>
      <c r="AI7" s="42">
        <f>tx_tb_T[[D_tx_tb_D_fy19]:[D_tx_tb_D_fy19]]*tx_tb_T[A_tx_tb_D_life_already_scrn_neg_pos]</f>
        <v>0</v>
      </c>
      <c r="AJ7" s="42">
        <f>tx_tb_T[[D_tx_tb_D_fy19]:[D_tx_tb_D_fy19]]*tx_tb_T[A_tx_tb_D_life_already_scrn_pos_pos]</f>
        <v>0</v>
      </c>
      <c r="AK7" s="42">
        <f>tx_tb_T[[D_tx_tb_D_fy19]:[D_tx_tb_D_fy19]]*tx_tb_T[A_tx_tb_D_life_new_scrn_neg_pos]</f>
        <v>0</v>
      </c>
      <c r="AL7" s="42">
        <f>tx_tb_T[[D_tx_tb_D_fy19]:[D_tx_tb_D_fy19]]*tx_tb_T[A_tx_tb_D_life_new_scrn_pos_pos]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G8" s="19"/>
      <c r="AH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G9" s="19"/>
      <c r="AH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G11" s="19"/>
      <c r="AH11" s="19"/>
      <c r="AI11" s="19"/>
      <c r="AJ11" s="19"/>
      <c r="AK11" s="19"/>
      <c r="AL11" s="19"/>
      <c r="AM11" s="19"/>
    </row>
    <row r="12" spans="1:3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1:3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1:3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1:3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1:3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1:25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1:25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1:25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1:25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1:25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1:25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</row>
    <row r="23" spans="1:25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1:25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1:25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1:25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</row>
    <row r="27" spans="1:25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1:25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1:25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1:25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1:25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1:25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1:25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1:25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</row>
    <row r="35" spans="1:25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</row>
    <row r="36" spans="1:25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</row>
    <row r="37" spans="1:25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</row>
    <row r="38" spans="1:25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</row>
    <row r="39" spans="1:25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</row>
    <row r="40" spans="1:25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</row>
    <row r="41" spans="1:25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</row>
    <row r="42" spans="1:25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</row>
    <row r="43" spans="1:25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</row>
    <row r="44" spans="1:25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</row>
    <row r="45" spans="1:25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</row>
    <row r="46" spans="1:25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</row>
    <row r="47" spans="1:25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</row>
    <row r="48" spans="1:25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</row>
    <row r="49" spans="1:25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</row>
    <row r="50" spans="1:25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</row>
    <row r="51" spans="1:25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</row>
    <row r="52" spans="1:25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</row>
    <row r="53" spans="1:25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</row>
    <row r="54" spans="1:25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1:25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</row>
    <row r="56" spans="1:25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</row>
    <row r="57" spans="1:25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</row>
    <row r="58" spans="1:25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</row>
    <row r="59" spans="1:25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</row>
    <row r="60" spans="1:25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</row>
    <row r="61" spans="1:25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</row>
    <row r="62" spans="1:25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</row>
    <row r="63" spans="1:25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</row>
    <row r="64" spans="1:25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</row>
    <row r="65" spans="1:25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</row>
    <row r="66" spans="1:25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</row>
    <row r="67" spans="1:25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</row>
    <row r="68" spans="1:25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</row>
    <row r="69" spans="1:25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</row>
    <row r="70" spans="1:25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</row>
    <row r="71" spans="1:25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</row>
    <row r="72" spans="1:25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</row>
    <row r="73" spans="1:25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</row>
    <row r="74" spans="1:25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</row>
    <row r="75" spans="1:25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</row>
    <row r="76" spans="1:25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</row>
    <row r="77" spans="1:25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</row>
    <row r="78" spans="1:25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</row>
    <row r="79" spans="1:25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</row>
    <row r="80" spans="1:25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</row>
    <row r="81" spans="1:25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</row>
    <row r="82" spans="1:25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</row>
    <row r="83" spans="1:25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</row>
    <row r="84" spans="1:25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</row>
    <row r="85" spans="1:25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</row>
    <row r="86" spans="1:25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</row>
    <row r="87" spans="1:25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</row>
    <row r="88" spans="1:25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</row>
    <row r="89" spans="1:25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</row>
    <row r="90" spans="1:25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</row>
    <row r="91" spans="1:25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</row>
    <row r="92" spans="1:25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</row>
    <row r="93" spans="1:25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</row>
    <row r="94" spans="1:25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</row>
    <row r="95" spans="1:25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</row>
    <row r="96" spans="1:25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</row>
    <row r="97" spans="1:25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</row>
    <row r="98" spans="1:25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</row>
    <row r="99" spans="1:25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</row>
    <row r="100" spans="1:25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</row>
    <row r="101" spans="1:25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</row>
    <row r="102" spans="1:25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</row>
    <row r="103" spans="1:25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</row>
    <row r="104" spans="1:25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</row>
    <row r="105" spans="1:25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</row>
    <row r="106" spans="1:25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</row>
    <row r="107" spans="1:25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</row>
    <row r="108" spans="1:25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</row>
    <row r="109" spans="1:25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</row>
    <row r="110" spans="1:25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</row>
    <row r="111" spans="1:25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</row>
    <row r="112" spans="1:25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</row>
    <row r="113" spans="1:25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</row>
    <row r="114" spans="1:25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</row>
    <row r="115" spans="1:25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</row>
    <row r="116" spans="1:25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</row>
    <row r="117" spans="1:25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</row>
    <row r="118" spans="1:25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</row>
    <row r="119" spans="1:25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</row>
    <row r="120" spans="1:25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</row>
    <row r="121" spans="1:25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</row>
    <row r="122" spans="1:25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</row>
    <row r="123" spans="1:25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</row>
    <row r="124" spans="1:25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</row>
    <row r="125" spans="1:25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</row>
    <row r="126" spans="1:25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</row>
    <row r="127" spans="1:25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</row>
    <row r="128" spans="1:25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</row>
    <row r="129" spans="1:25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</row>
    <row r="130" spans="1:25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</row>
    <row r="131" spans="1:25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</row>
    <row r="132" spans="1:25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</row>
    <row r="133" spans="1:25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</row>
    <row r="134" spans="1:25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</row>
    <row r="135" spans="1:25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</row>
    <row r="136" spans="1:25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</row>
    <row r="137" spans="1:25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</row>
    <row r="138" spans="1:25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</row>
    <row r="139" spans="1:25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</row>
    <row r="140" spans="1:25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</row>
    <row r="141" spans="1:25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</row>
    <row r="142" spans="1:25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</row>
    <row r="143" spans="1:25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</row>
    <row r="144" spans="1:25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</row>
    <row r="145" spans="1:25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</row>
    <row r="146" spans="1:25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</row>
    <row r="147" spans="1:25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</row>
    <row r="148" spans="1:25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</row>
    <row r="149" spans="1:25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</row>
    <row r="150" spans="1:25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</row>
    <row r="151" spans="1:25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</row>
    <row r="152" spans="1:25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</row>
    <row r="153" spans="1:25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</row>
    <row r="154" spans="1:25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</row>
    <row r="155" spans="1:25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</row>
    <row r="156" spans="1:25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</row>
    <row r="157" spans="1:25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</row>
    <row r="158" spans="1:25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</row>
    <row r="159" spans="1:25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</row>
    <row r="160" spans="1:25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</row>
    <row r="161" spans="1:25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</row>
    <row r="162" spans="1:25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</row>
    <row r="163" spans="1:25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</row>
    <row r="164" spans="1:25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</row>
    <row r="165" spans="1:25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</row>
    <row r="166" spans="1:25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</row>
    <row r="167" spans="1:25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</row>
    <row r="168" spans="1:25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</row>
    <row r="169" spans="1:25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</row>
    <row r="170" spans="1:25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</row>
    <row r="171" spans="1:25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</row>
    <row r="172" spans="1:25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</row>
    <row r="173" spans="1:25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</row>
    <row r="174" spans="1:25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</row>
    <row r="175" spans="1:25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</row>
    <row r="176" spans="1:25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</row>
    <row r="177" spans="1:25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</row>
    <row r="178" spans="1:25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</row>
    <row r="179" spans="1:25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</row>
    <row r="180" spans="1:25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</row>
    <row r="181" spans="1:25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</row>
    <row r="182" spans="1:25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</row>
    <row r="183" spans="1:25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</row>
    <row r="184" spans="1:25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</row>
    <row r="185" spans="1:25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</row>
    <row r="186" spans="1:25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</row>
    <row r="187" spans="1:25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</row>
    <row r="188" spans="1:25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</row>
    <row r="189" spans="1:25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</row>
    <row r="190" spans="1:25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</row>
    <row r="191" spans="1:25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</row>
    <row r="192" spans="1:25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</row>
    <row r="193" spans="1:25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</row>
    <row r="194" spans="1:25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</row>
    <row r="195" spans="1:25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</row>
    <row r="196" spans="1:25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</row>
    <row r="197" spans="1:25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</row>
    <row r="198" spans="1:25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</row>
    <row r="199" spans="1:25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</row>
    <row r="200" spans="1:25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</row>
    <row r="201" spans="1:25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</row>
    <row r="202" spans="1:25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</row>
    <row r="203" spans="1:25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</row>
    <row r="204" spans="1:25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</row>
    <row r="205" spans="1:25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</row>
    <row r="206" spans="1:25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</row>
    <row r="207" spans="1:25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</row>
    <row r="208" spans="1:25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</row>
    <row r="209" spans="1:25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</row>
    <row r="210" spans="1:25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</row>
    <row r="211" spans="1:25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</row>
    <row r="212" spans="1:25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</row>
    <row r="213" spans="1:25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</row>
    <row r="214" spans="1:25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</row>
    <row r="215" spans="1:25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</row>
    <row r="216" spans="1:25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</row>
    <row r="217" spans="1:25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</row>
    <row r="218" spans="1:25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</row>
    <row r="219" spans="1:25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</row>
    <row r="220" spans="1:25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</row>
    <row r="221" spans="1:25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</row>
    <row r="222" spans="1:25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</row>
    <row r="223" spans="1:25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</row>
    <row r="224" spans="1:25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</row>
    <row r="225" spans="1:25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</row>
    <row r="226" spans="1:25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</row>
    <row r="227" spans="1:25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</row>
    <row r="228" spans="1:25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</row>
    <row r="229" spans="1:25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</row>
    <row r="230" spans="1:25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</row>
    <row r="231" spans="1:25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</row>
    <row r="232" spans="1:25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</row>
    <row r="233" spans="1:25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</row>
    <row r="234" spans="1:25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</row>
    <row r="235" spans="1:25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</row>
    <row r="236" spans="1:25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</row>
    <row r="237" spans="1:25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</row>
    <row r="238" spans="1:25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</row>
    <row r="239" spans="1:25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</row>
    <row r="240" spans="1:25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</row>
    <row r="241" spans="1:25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</row>
    <row r="242" spans="1:25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</row>
    <row r="243" spans="1:25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</row>
    <row r="244" spans="1:25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</row>
    <row r="245" spans="1:25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</row>
    <row r="246" spans="1:25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</row>
    <row r="247" spans="1:25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</row>
    <row r="248" spans="1:25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</row>
    <row r="249" spans="1:25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</row>
    <row r="250" spans="1:25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</row>
    <row r="251" spans="1:25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</row>
    <row r="252" spans="1:25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</row>
    <row r="253" spans="1:25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</row>
    <row r="254" spans="1:25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</row>
    <row r="255" spans="1:25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</row>
    <row r="256" spans="1:25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</row>
    <row r="257" spans="1:25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</row>
    <row r="258" spans="1:25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</row>
    <row r="259" spans="1:25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</row>
    <row r="260" spans="1:25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</row>
    <row r="261" spans="1:25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</row>
    <row r="262" spans="1:25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</row>
    <row r="263" spans="1:25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</row>
    <row r="264" spans="1:25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</row>
    <row r="265" spans="1:25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</row>
    <row r="266" spans="1:25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</row>
    <row r="267" spans="1:25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</row>
    <row r="268" spans="1:25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</row>
    <row r="269" spans="1:25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</row>
    <row r="270" spans="1:25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</row>
    <row r="271" spans="1:25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</row>
    <row r="272" spans="1:25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</row>
    <row r="273" spans="1:25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</row>
    <row r="274" spans="1:25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</row>
    <row r="275" spans="1:25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</row>
    <row r="276" spans="1:25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</row>
    <row r="277" spans="1:25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</row>
    <row r="278" spans="1:25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</row>
    <row r="279" spans="1:25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</row>
    <row r="280" spans="1:25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</row>
    <row r="281" spans="1:25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</row>
    <row r="282" spans="1:25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</row>
    <row r="283" spans="1:25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</row>
    <row r="284" spans="1:25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</row>
    <row r="285" spans="1:25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</row>
    <row r="286" spans="1:25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</row>
    <row r="287" spans="1:25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</row>
    <row r="288" spans="1:25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</row>
    <row r="289" spans="1:25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</row>
    <row r="290" spans="1:25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</row>
    <row r="291" spans="1:25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</row>
    <row r="292" spans="1:25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</row>
    <row r="293" spans="1:25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</row>
    <row r="294" spans="1:25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</row>
    <row r="295" spans="1:25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</row>
    <row r="296" spans="1:25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</row>
    <row r="297" spans="1:25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</row>
    <row r="298" spans="1:25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</row>
    <row r="299" spans="1:25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</row>
    <row r="300" spans="1:25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</row>
    <row r="301" spans="1:25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</row>
    <row r="302" spans="1:25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</row>
    <row r="303" spans="1:25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</row>
    <row r="304" spans="1:25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</row>
    <row r="305" spans="1:25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</row>
    <row r="306" spans="1:25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</row>
    <row r="307" spans="1:25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</row>
    <row r="308" spans="1:25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</row>
    <row r="309" spans="1:25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</row>
    <row r="310" spans="1:25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</row>
    <row r="311" spans="1:25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</row>
    <row r="312" spans="1:25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</row>
    <row r="313" spans="1:25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</row>
    <row r="314" spans="1:25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</row>
    <row r="315" spans="1:25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</row>
    <row r="316" spans="1:25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</row>
    <row r="317" spans="1:25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</row>
    <row r="318" spans="1:25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</row>
    <row r="319" spans="1:25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</row>
    <row r="320" spans="1:25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</row>
    <row r="321" spans="1:25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</row>
    <row r="322" spans="1:25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</row>
    <row r="323" spans="1:25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</row>
    <row r="324" spans="1:25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</row>
    <row r="325" spans="1:25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</row>
    <row r="326" spans="1:25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</row>
    <row r="327" spans="1:25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</row>
    <row r="328" spans="1:25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</row>
    <row r="329" spans="1:25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</row>
    <row r="330" spans="1:25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</row>
    <row r="331" spans="1:25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</row>
    <row r="332" spans="1:25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</row>
    <row r="333" spans="1:25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</row>
    <row r="334" spans="1:25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</row>
    <row r="335" spans="1:25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</row>
    <row r="336" spans="1:25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</row>
    <row r="337" spans="1:25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</row>
    <row r="338" spans="1:25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</row>
    <row r="339" spans="1:25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</row>
    <row r="340" spans="1:25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</row>
    <row r="341" spans="1:25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</row>
    <row r="342" spans="1:25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</row>
    <row r="343" spans="1:25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</row>
    <row r="344" spans="1:25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</row>
    <row r="345" spans="1:25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</row>
    <row r="346" spans="1:25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</row>
    <row r="347" spans="1:25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</row>
    <row r="348" spans="1:25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</row>
    <row r="349" spans="1:25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</row>
    <row r="350" spans="1:25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</row>
    <row r="351" spans="1:25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</row>
    <row r="352" spans="1:25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</row>
    <row r="353" spans="1:25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</row>
    <row r="354" spans="1:25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</row>
    <row r="355" spans="1:25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</row>
    <row r="356" spans="1:25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</row>
    <row r="357" spans="1:25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</row>
    <row r="358" spans="1:25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</row>
    <row r="359" spans="1:25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</row>
    <row r="360" spans="1:25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</row>
    <row r="361" spans="1:25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</row>
    <row r="362" spans="1:25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</row>
    <row r="363" spans="1:25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</row>
    <row r="364" spans="1:25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</row>
    <row r="365" spans="1:25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</row>
    <row r="366" spans="1:25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</row>
    <row r="367" spans="1:25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</row>
    <row r="368" spans="1:25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</row>
    <row r="369" spans="1:25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</row>
    <row r="370" spans="1:25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</row>
    <row r="371" spans="1:25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</row>
    <row r="372" spans="1:25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</row>
    <row r="373" spans="1:25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</row>
    <row r="374" spans="1:25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</row>
    <row r="375" spans="1:25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</row>
    <row r="376" spans="1:25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</row>
    <row r="377" spans="1:25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</row>
    <row r="378" spans="1:25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</row>
    <row r="379" spans="1:25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</row>
    <row r="380" spans="1:25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</row>
    <row r="381" spans="1:25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</row>
    <row r="382" spans="1:25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</row>
    <row r="383" spans="1:25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</row>
    <row r="384" spans="1:25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</row>
    <row r="385" spans="1:25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</row>
    <row r="386" spans="1:25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</row>
    <row r="387" spans="1:25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</row>
    <row r="388" spans="1:25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</row>
    <row r="389" spans="1:25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</row>
    <row r="390" spans="1:25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</row>
    <row r="391" spans="1:25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</row>
    <row r="392" spans="1:25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</row>
    <row r="393" spans="1:25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</row>
    <row r="394" spans="1:25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</row>
    <row r="395" spans="1:25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</row>
    <row r="396" spans="1:25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</row>
    <row r="397" spans="1:25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</row>
    <row r="398" spans="1:25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</row>
    <row r="399" spans="1:25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</row>
    <row r="400" spans="1:25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</row>
    <row r="401" spans="1:25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</row>
    <row r="402" spans="1:25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</row>
    <row r="403" spans="1:25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</row>
    <row r="404" spans="1:25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</row>
    <row r="405" spans="1:25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</row>
    <row r="406" spans="1:25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</row>
    <row r="407" spans="1:25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</row>
    <row r="408" spans="1:25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</row>
    <row r="409" spans="1:25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</row>
    <row r="410" spans="1:25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</row>
    <row r="411" spans="1:25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</row>
    <row r="412" spans="1:25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</row>
    <row r="413" spans="1:25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</row>
    <row r="414" spans="1:25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</row>
    <row r="415" spans="1:25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</row>
    <row r="416" spans="1:25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</row>
    <row r="417" spans="1:25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</row>
    <row r="418" spans="1:25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</row>
    <row r="419" spans="1:25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</row>
    <row r="420" spans="1:25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</row>
    <row r="421" spans="1:25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</row>
    <row r="422" spans="1:25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</row>
    <row r="423" spans="1:25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</row>
    <row r="424" spans="1:25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</row>
    <row r="425" spans="1:25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</row>
    <row r="426" spans="1:25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</row>
    <row r="427" spans="1:25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</row>
    <row r="428" spans="1:25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</row>
    <row r="429" spans="1:25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</row>
    <row r="430" spans="1:25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</row>
    <row r="431" spans="1:25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</row>
    <row r="432" spans="1:25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</row>
    <row r="433" spans="1:25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</row>
    <row r="434" spans="1:25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</row>
    <row r="435" spans="1:25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</row>
    <row r="436" spans="1:25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</row>
    <row r="437" spans="1:25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</row>
    <row r="438" spans="1:25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</row>
    <row r="439" spans="1:25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</row>
    <row r="440" spans="1:25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</row>
    <row r="441" spans="1:25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</row>
    <row r="442" spans="1:25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</row>
    <row r="443" spans="1:25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</row>
    <row r="444" spans="1:25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</row>
    <row r="445" spans="1:25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</row>
    <row r="446" spans="1:25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</row>
    <row r="447" spans="1:25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</row>
    <row r="448" spans="1:25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</row>
    <row r="449" spans="1:25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</row>
    <row r="450" spans="1:25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</row>
    <row r="451" spans="1:25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</row>
    <row r="452" spans="1:25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</row>
    <row r="453" spans="1:25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</row>
    <row r="454" spans="1:25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</row>
    <row r="455" spans="1:25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</row>
    <row r="456" spans="1:25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</row>
    <row r="457" spans="1:25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</row>
    <row r="458" spans="1:25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</row>
    <row r="459" spans="1:25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</row>
    <row r="460" spans="1:25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</row>
    <row r="461" spans="1:25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</row>
    <row r="462" spans="1:25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</row>
    <row r="463" spans="1:25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</row>
    <row r="464" spans="1:25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</row>
    <row r="465" spans="1:25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</row>
    <row r="466" spans="1:25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</row>
    <row r="467" spans="1:25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</row>
    <row r="468" spans="1:25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</row>
    <row r="469" spans="1:25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</row>
    <row r="470" spans="1:25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</row>
    <row r="471" spans="1:25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</row>
    <row r="472" spans="1:25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</row>
    <row r="473" spans="1:25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</row>
    <row r="474" spans="1:25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</row>
    <row r="475" spans="1:25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</row>
    <row r="476" spans="1:25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</row>
    <row r="477" spans="1:25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</row>
    <row r="478" spans="1:25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</row>
    <row r="479" spans="1:25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</row>
    <row r="480" spans="1:25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</row>
    <row r="481" spans="1:25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</row>
    <row r="482" spans="1:25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</row>
    <row r="483" spans="1:25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</row>
    <row r="484" spans="1:25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</row>
    <row r="485" spans="1:25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</row>
    <row r="486" spans="1:25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</row>
    <row r="487" spans="1:25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</row>
    <row r="488" spans="1:25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</row>
    <row r="489" spans="1:25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</row>
    <row r="490" spans="1:25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</row>
    <row r="491" spans="1:25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</row>
    <row r="492" spans="1:25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</row>
    <row r="493" spans="1:25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</row>
    <row r="494" spans="1:25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</row>
    <row r="495" spans="1:25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</row>
    <row r="496" spans="1:25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</row>
    <row r="497" spans="1:25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</row>
    <row r="498" spans="1:25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</row>
    <row r="499" spans="1:25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</row>
    <row r="500" spans="1:25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</row>
    <row r="501" spans="1:25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</row>
    <row r="502" spans="1:25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</row>
    <row r="503" spans="1:25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</row>
    <row r="504" spans="1:25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</row>
    <row r="505" spans="1:25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</row>
    <row r="506" spans="1:25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</row>
    <row r="507" spans="1:25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</row>
    <row r="508" spans="1:25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</row>
    <row r="509" spans="1:25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</row>
    <row r="510" spans="1:25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</row>
    <row r="511" spans="1:25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</row>
    <row r="512" spans="1:25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</row>
    <row r="513" spans="1:25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</row>
    <row r="514" spans="1:25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</row>
    <row r="515" spans="1:25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</row>
    <row r="516" spans="1:25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</row>
    <row r="517" spans="1:25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</row>
    <row r="518" spans="1:25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</row>
    <row r="519" spans="1:25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</row>
    <row r="520" spans="1:25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</row>
    <row r="521" spans="1:25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</row>
    <row r="522" spans="1:25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</row>
    <row r="523" spans="1:25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</row>
    <row r="524" spans="1:25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</row>
    <row r="525" spans="1:25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</row>
    <row r="526" spans="1:25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</row>
    <row r="527" spans="1:25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</row>
    <row r="528" spans="1:25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</row>
    <row r="529" spans="1:25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</row>
    <row r="530" spans="1:25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</row>
    <row r="531" spans="1:25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</row>
    <row r="532" spans="1:25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</row>
    <row r="533" spans="1:25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</row>
    <row r="534" spans="1:25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</row>
    <row r="535" spans="1:25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</row>
    <row r="536" spans="1:25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</row>
    <row r="537" spans="1:25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</row>
    <row r="538" spans="1:25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</row>
    <row r="539" spans="1:25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</row>
    <row r="540" spans="1:25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</row>
    <row r="541" spans="1:25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</row>
    <row r="542" spans="1:25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</row>
    <row r="543" spans="1:25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</row>
    <row r="544" spans="1:25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</row>
    <row r="545" spans="1:25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</row>
    <row r="546" spans="1:25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</row>
    <row r="547" spans="1:25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</row>
    <row r="548" spans="1:25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</row>
    <row r="549" spans="1:25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</row>
    <row r="550" spans="1:25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</row>
    <row r="551" spans="1:25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</row>
    <row r="552" spans="1:25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</row>
    <row r="553" spans="1:25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</row>
    <row r="554" spans="1:25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</row>
    <row r="555" spans="1:25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</row>
    <row r="556" spans="1:25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</row>
    <row r="557" spans="1:25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</row>
    <row r="558" spans="1:25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</row>
    <row r="559" spans="1:25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</row>
    <row r="560" spans="1:25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</row>
    <row r="561" spans="1:25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</row>
    <row r="562" spans="1:25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</row>
    <row r="563" spans="1:25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</row>
    <row r="564" spans="1:25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</row>
    <row r="565" spans="1:25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</row>
    <row r="566" spans="1:25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</row>
    <row r="567" spans="1:25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</row>
    <row r="568" spans="1:25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</row>
    <row r="569" spans="1:25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</row>
    <row r="570" spans="1:25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</row>
    <row r="571" spans="1:25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</row>
    <row r="572" spans="1:25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</row>
    <row r="573" spans="1:25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</row>
    <row r="574" spans="1:25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</row>
    <row r="575" spans="1:25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</row>
    <row r="576" spans="1:25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</row>
    <row r="577" spans="1:25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</row>
    <row r="578" spans="1:25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</row>
    <row r="579" spans="1:25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</row>
    <row r="580" spans="1:25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</row>
    <row r="581" spans="1:25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</row>
    <row r="582" spans="1:25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</row>
    <row r="583" spans="1:25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</row>
    <row r="584" spans="1:25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</row>
    <row r="585" spans="1:25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</row>
    <row r="586" spans="1:25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</row>
    <row r="587" spans="1:25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</row>
    <row r="588" spans="1:25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</row>
    <row r="589" spans="1:25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</row>
    <row r="590" spans="1:25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</row>
    <row r="591" spans="1:25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</row>
    <row r="592" spans="1:25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</row>
    <row r="593" spans="1:25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</row>
    <row r="594" spans="1:25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</row>
    <row r="595" spans="1:25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</row>
    <row r="596" spans="1:25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</row>
    <row r="597" spans="1:25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</row>
    <row r="598" spans="1:25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</row>
    <row r="599" spans="1:25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</row>
    <row r="600" spans="1:25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</row>
    <row r="601" spans="1:25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</row>
    <row r="602" spans="1:25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</row>
    <row r="603" spans="1:25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</row>
    <row r="604" spans="1:25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</row>
    <row r="605" spans="1:25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</row>
    <row r="606" spans="1:25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</row>
    <row r="607" spans="1:25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</row>
    <row r="608" spans="1:25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</row>
    <row r="609" spans="1:25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</row>
    <row r="610" spans="1:25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</row>
    <row r="611" spans="1:25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</row>
    <row r="612" spans="1:25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</row>
    <row r="613" spans="1:25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</row>
    <row r="614" spans="1:25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</row>
    <row r="615" spans="1:25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</row>
    <row r="616" spans="1:25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</row>
    <row r="617" spans="1:25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</row>
    <row r="618" spans="1:25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</row>
    <row r="619" spans="1:25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</row>
    <row r="620" spans="1:25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</row>
    <row r="621" spans="1:25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</row>
    <row r="622" spans="1:25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</row>
    <row r="623" spans="1:25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</row>
    <row r="624" spans="1:25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</row>
    <row r="625" spans="1:25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</row>
    <row r="626" spans="1:25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</row>
    <row r="627" spans="1:25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</row>
    <row r="628" spans="1:25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</row>
    <row r="629" spans="1:25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</row>
    <row r="630" spans="1:25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</row>
    <row r="631" spans="1:25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</row>
    <row r="632" spans="1:25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</row>
    <row r="633" spans="1:25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</row>
    <row r="634" spans="1:25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</row>
    <row r="635" spans="1:25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</row>
    <row r="636" spans="1:25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</row>
    <row r="637" spans="1:25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</row>
    <row r="638" spans="1:25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</row>
    <row r="639" spans="1:25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</row>
    <row r="640" spans="1:25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</row>
    <row r="641" spans="1:25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</row>
    <row r="642" spans="1:25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</row>
    <row r="643" spans="1:25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</row>
    <row r="644" spans="1:25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</row>
    <row r="645" spans="1:25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</row>
    <row r="646" spans="1:25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</row>
    <row r="647" spans="1:25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</row>
    <row r="648" spans="1:25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</row>
    <row r="649" spans="1:25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</row>
    <row r="650" spans="1:25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</row>
    <row r="651" spans="1:25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</row>
    <row r="652" spans="1:25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</row>
    <row r="653" spans="1:25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</row>
    <row r="654" spans="1:25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</row>
    <row r="655" spans="1:25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</row>
    <row r="656" spans="1:25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</row>
    <row r="657" spans="1:25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</row>
    <row r="658" spans="1:25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</row>
    <row r="659" spans="1:25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</row>
    <row r="660" spans="1:25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</row>
    <row r="661" spans="1:25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</row>
    <row r="662" spans="1:25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</row>
    <row r="663" spans="1:25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</row>
    <row r="664" spans="1:25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</row>
    <row r="665" spans="1:25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</row>
    <row r="666" spans="1:25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</row>
    <row r="667" spans="1:25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</row>
    <row r="668" spans="1:25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</row>
    <row r="669" spans="1:25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</row>
    <row r="670" spans="1:25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</row>
    <row r="671" spans="1:25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</row>
    <row r="672" spans="1:25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</row>
    <row r="673" spans="1:25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</row>
    <row r="674" spans="1:25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</row>
    <row r="675" spans="1:25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</row>
    <row r="676" spans="1:25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</row>
    <row r="677" spans="1:25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</row>
    <row r="678" spans="1:25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</row>
    <row r="679" spans="1:25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</row>
    <row r="680" spans="1:25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</row>
    <row r="681" spans="1:25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</row>
    <row r="682" spans="1:25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</row>
    <row r="683" spans="1:25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</row>
    <row r="684" spans="1:25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</row>
    <row r="685" spans="1:25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</row>
    <row r="686" spans="1:25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</row>
    <row r="687" spans="1:25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</row>
    <row r="688" spans="1:25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</row>
    <row r="689" spans="1:25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</row>
    <row r="690" spans="1:25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</row>
    <row r="691" spans="1:25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</row>
    <row r="692" spans="1:25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</row>
    <row r="693" spans="1:25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</row>
    <row r="694" spans="1:25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</row>
    <row r="695" spans="1:25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</row>
    <row r="696" spans="1:25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</row>
    <row r="697" spans="1:25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</row>
    <row r="698" spans="1:25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</row>
    <row r="699" spans="1:25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</row>
    <row r="700" spans="1:25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</row>
    <row r="701" spans="1:25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</row>
    <row r="702" spans="1:25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</row>
    <row r="703" spans="1:25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</row>
    <row r="704" spans="1:25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</row>
    <row r="705" spans="1:25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</row>
    <row r="706" spans="1:25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</row>
    <row r="707" spans="1:25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</row>
    <row r="708" spans="1:25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</row>
    <row r="709" spans="1:25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</row>
    <row r="710" spans="1:25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</row>
    <row r="711" spans="1:25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</row>
    <row r="712" spans="1:25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</row>
    <row r="713" spans="1:25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</row>
    <row r="714" spans="1:25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</row>
    <row r="715" spans="1:25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</row>
    <row r="716" spans="1:25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</row>
    <row r="717" spans="1:25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</row>
    <row r="718" spans="1:25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</row>
    <row r="719" spans="1:25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</row>
    <row r="720" spans="1:25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</row>
    <row r="721" spans="1:25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</row>
    <row r="722" spans="1:25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</row>
    <row r="723" spans="1:25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</row>
    <row r="724" spans="1:25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</row>
    <row r="725" spans="1:25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</row>
    <row r="726" spans="1:25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</row>
    <row r="727" spans="1:25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</row>
    <row r="728" spans="1:25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</row>
    <row r="729" spans="1:25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</row>
    <row r="730" spans="1:25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</row>
    <row r="731" spans="1:25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</row>
    <row r="732" spans="1:25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</row>
    <row r="733" spans="1:25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</row>
    <row r="734" spans="1:25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</row>
    <row r="735" spans="1:25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</row>
    <row r="736" spans="1:25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</row>
    <row r="737" spans="1:25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</row>
    <row r="738" spans="1:25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</row>
    <row r="739" spans="1:25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</row>
    <row r="740" spans="1:25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</row>
    <row r="741" spans="1:25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</row>
    <row r="742" spans="1:25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</row>
    <row r="743" spans="1:25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</row>
    <row r="744" spans="1:25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</row>
    <row r="745" spans="1:25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</row>
    <row r="746" spans="1:25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</row>
    <row r="747" spans="1:25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</row>
    <row r="748" spans="1:25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</row>
    <row r="749" spans="1:25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</row>
    <row r="750" spans="1:25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</row>
    <row r="751" spans="1:25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</row>
    <row r="752" spans="1:25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</row>
    <row r="753" spans="1:25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</row>
    <row r="754" spans="1:25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</row>
    <row r="755" spans="1:25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</row>
    <row r="756" spans="1:25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</row>
    <row r="757" spans="1:25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</row>
    <row r="758" spans="1:25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</row>
    <row r="759" spans="1:25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</row>
    <row r="760" spans="1:25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</row>
    <row r="761" spans="1:25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</row>
    <row r="762" spans="1:25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</row>
    <row r="763" spans="1:25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</row>
    <row r="764" spans="1:25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</row>
    <row r="765" spans="1:25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</row>
    <row r="766" spans="1:25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</row>
    <row r="767" spans="1:25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</row>
    <row r="768" spans="1:25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</row>
    <row r="769" spans="1:25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</row>
    <row r="770" spans="1:25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</row>
    <row r="771" spans="1:25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</row>
    <row r="772" spans="1:25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</row>
    <row r="773" spans="1:25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</row>
    <row r="774" spans="1:25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</row>
    <row r="775" spans="1:25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</row>
    <row r="776" spans="1:25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</row>
    <row r="777" spans="1:25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</row>
    <row r="778" spans="1:25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</row>
    <row r="779" spans="1:25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</row>
    <row r="780" spans="1:25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</row>
    <row r="781" spans="1:25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</row>
    <row r="782" spans="1:25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</row>
    <row r="783" spans="1:25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</row>
    <row r="784" spans="1:25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</row>
    <row r="785" spans="1:25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</row>
    <row r="786" spans="1:25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</row>
    <row r="787" spans="1:25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</row>
    <row r="788" spans="1:25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</row>
    <row r="789" spans="1:25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</row>
    <row r="790" spans="1:25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</row>
    <row r="791" spans="1:25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</row>
    <row r="792" spans="1:25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</row>
    <row r="793" spans="1:25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</row>
    <row r="794" spans="1:25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</row>
    <row r="795" spans="1:25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</row>
    <row r="796" spans="1:25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</row>
    <row r="797" spans="1:25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</row>
    <row r="798" spans="1:25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</row>
    <row r="799" spans="1:25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</row>
    <row r="800" spans="1:25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</row>
    <row r="801" spans="1:25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</row>
    <row r="802" spans="1:25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</row>
    <row r="803" spans="1:25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</row>
    <row r="804" spans="1:25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</row>
    <row r="805" spans="1:25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</row>
    <row r="806" spans="1:25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</row>
    <row r="807" spans="1:25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</row>
    <row r="808" spans="1:25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</row>
    <row r="809" spans="1:25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</row>
    <row r="810" spans="1:25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</row>
    <row r="811" spans="1:25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</row>
    <row r="812" spans="1:25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</row>
    <row r="813" spans="1:25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</row>
    <row r="814" spans="1:25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</row>
    <row r="815" spans="1:25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</row>
    <row r="816" spans="1:25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</row>
    <row r="817" spans="1:25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</row>
    <row r="818" spans="1:25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</row>
    <row r="819" spans="1:25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</row>
    <row r="820" spans="1:25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</row>
    <row r="821" spans="1:25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</row>
    <row r="822" spans="1:25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</row>
    <row r="823" spans="1:25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</row>
    <row r="824" spans="1:25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</row>
    <row r="825" spans="1:25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</row>
    <row r="826" spans="1:25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</row>
    <row r="827" spans="1:25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</row>
    <row r="828" spans="1:25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</row>
    <row r="829" spans="1:25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</row>
    <row r="830" spans="1:25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</row>
    <row r="831" spans="1:25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</row>
    <row r="832" spans="1:25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</row>
    <row r="833" spans="1:25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</row>
    <row r="834" spans="1:25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</row>
    <row r="835" spans="1:25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</row>
    <row r="836" spans="1:25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</row>
    <row r="837" spans="1:25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</row>
    <row r="838" spans="1:25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</row>
    <row r="839" spans="1:25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</row>
    <row r="840" spans="1:25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</row>
    <row r="841" spans="1:25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</row>
    <row r="842" spans="1:25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</row>
    <row r="843" spans="1:25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</row>
    <row r="844" spans="1:25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</row>
    <row r="845" spans="1:25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</row>
    <row r="846" spans="1:25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</row>
    <row r="847" spans="1:25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</row>
    <row r="848" spans="1:25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</row>
    <row r="849" spans="1:25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</row>
    <row r="850" spans="1:25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</row>
    <row r="851" spans="1:25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</row>
    <row r="852" spans="1:25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</row>
    <row r="853" spans="1:25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</row>
    <row r="854" spans="1:25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</row>
    <row r="855" spans="1:25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</row>
    <row r="856" spans="1:25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</row>
    <row r="857" spans="1:25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</row>
    <row r="858" spans="1:25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</row>
    <row r="859" spans="1:25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</row>
    <row r="860" spans="1:25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</row>
    <row r="861" spans="1:25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</row>
    <row r="862" spans="1:25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</row>
    <row r="863" spans="1:25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</row>
    <row r="864" spans="1:25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</row>
    <row r="865" spans="1:25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</row>
    <row r="866" spans="1:25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</row>
    <row r="867" spans="1:25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</row>
    <row r="868" spans="1:25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</row>
    <row r="869" spans="1:25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</row>
    <row r="870" spans="1:25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</row>
    <row r="871" spans="1:25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</row>
    <row r="872" spans="1:25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</row>
    <row r="873" spans="1:25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</row>
    <row r="874" spans="1:25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</row>
    <row r="875" spans="1:25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</row>
    <row r="876" spans="1:25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</row>
    <row r="877" spans="1:25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</row>
    <row r="878" spans="1:25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</row>
    <row r="879" spans="1:25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</row>
    <row r="880" spans="1:25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</row>
    <row r="881" spans="1:25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</row>
    <row r="882" spans="1:25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</row>
    <row r="883" spans="1:25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</row>
    <row r="884" spans="1:25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</row>
    <row r="885" spans="1:25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</row>
    <row r="886" spans="1:25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</row>
    <row r="887" spans="1:25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</row>
    <row r="888" spans="1:25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</row>
    <row r="889" spans="1:25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</row>
    <row r="890" spans="1:25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</row>
    <row r="891" spans="1:25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</row>
    <row r="892" spans="1:25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</row>
    <row r="893" spans="1:25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</row>
    <row r="894" spans="1:25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</row>
    <row r="895" spans="1:25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</row>
    <row r="896" spans="1:25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</row>
    <row r="897" spans="1:25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</row>
    <row r="898" spans="1:25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</row>
    <row r="899" spans="1:25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</row>
    <row r="900" spans="1:25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</row>
    <row r="901" spans="1:25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</row>
    <row r="902" spans="1:25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</row>
    <row r="903" spans="1:25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</row>
    <row r="904" spans="1:25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</row>
    <row r="905" spans="1:25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</row>
    <row r="906" spans="1:25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</row>
    <row r="907" spans="1:25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</row>
    <row r="908" spans="1:25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</row>
    <row r="909" spans="1:25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</row>
    <row r="910" spans="1:25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</row>
    <row r="911" spans="1:25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</row>
    <row r="912" spans="1:25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</row>
    <row r="913" spans="1:25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</row>
    <row r="914" spans="1:25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</row>
    <row r="915" spans="1:25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</row>
    <row r="916" spans="1:25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</row>
    <row r="917" spans="1:25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</row>
    <row r="918" spans="1:25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</row>
    <row r="919" spans="1:25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</row>
    <row r="920" spans="1:25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</row>
    <row r="921" spans="1:25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</row>
    <row r="922" spans="1:25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</row>
    <row r="923" spans="1:25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</row>
    <row r="924" spans="1:25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</row>
    <row r="925" spans="1:25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</row>
    <row r="926" spans="1:25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</row>
    <row r="927" spans="1:25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</row>
    <row r="928" spans="1:25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</row>
    <row r="929" spans="1:25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</row>
    <row r="930" spans="1:25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</row>
    <row r="931" spans="1:25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</row>
    <row r="932" spans="1:25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</row>
    <row r="933" spans="1:25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</row>
    <row r="934" spans="1:25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</row>
    <row r="935" spans="1:25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</row>
    <row r="936" spans="1:25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</row>
    <row r="937" spans="1:25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</row>
    <row r="938" spans="1:25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</row>
    <row r="939" spans="1:25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</row>
    <row r="940" spans="1:25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</row>
    <row r="941" spans="1:25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</row>
    <row r="942" spans="1:25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</row>
    <row r="943" spans="1:25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</row>
    <row r="944" spans="1:25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</row>
    <row r="945" spans="1:25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</row>
    <row r="946" spans="1:25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</row>
    <row r="947" spans="1:25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</row>
    <row r="948" spans="1:25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</row>
    <row r="949" spans="1:25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</row>
    <row r="950" spans="1:25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</row>
    <row r="951" spans="1:25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</row>
    <row r="952" spans="1:25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</row>
    <row r="953" spans="1:25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</row>
    <row r="954" spans="1:25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</row>
    <row r="955" spans="1:25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</row>
    <row r="956" spans="1:25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</row>
    <row r="957" spans="1:25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</row>
    <row r="958" spans="1:25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</row>
    <row r="959" spans="1:25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</row>
    <row r="960" spans="1:25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</row>
    <row r="961" spans="1:25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</row>
    <row r="962" spans="1:25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</row>
    <row r="963" spans="1:25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</row>
    <row r="964" spans="1:25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</row>
    <row r="965" spans="1:25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</row>
    <row r="966" spans="1:25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</row>
    <row r="967" spans="1:25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</row>
    <row r="968" spans="1:25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</row>
    <row r="969" spans="1:25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</row>
    <row r="970" spans="1:25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</row>
    <row r="971" spans="1:25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</row>
    <row r="972" spans="1:25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</row>
    <row r="973" spans="1:25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</row>
    <row r="974" spans="1:25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</row>
    <row r="975" spans="1:25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</row>
    <row r="976" spans="1:25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</row>
    <row r="977" spans="1:25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</row>
    <row r="978" spans="1:25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</row>
    <row r="979" spans="1:25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</row>
    <row r="980" spans="1:25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</row>
    <row r="981" spans="1:25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</row>
    <row r="982" spans="1:25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</row>
    <row r="983" spans="1:25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</row>
    <row r="984" spans="1:25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</row>
    <row r="985" spans="1:25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</row>
    <row r="986" spans="1:25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</row>
    <row r="987" spans="1:25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</row>
    <row r="988" spans="1:25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</row>
    <row r="989" spans="1:25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</row>
    <row r="990" spans="1:25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</row>
    <row r="991" spans="1:25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</row>
    <row r="992" spans="1:25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</row>
    <row r="993" spans="1:25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</row>
    <row r="994" spans="1:25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</row>
    <row r="995" spans="1:25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</row>
    <row r="996" spans="1:25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</row>
    <row r="997" spans="1:25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</row>
    <row r="998" spans="1:25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</row>
    <row r="999" spans="1:25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</row>
    <row r="1000" spans="1:25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</row>
    <row r="1001" spans="1:25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</row>
    <row r="1002" spans="1:25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</row>
    <row r="1003" spans="1:25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</row>
    <row r="1004" spans="1:25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</row>
    <row r="1005" spans="1:25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</row>
    <row r="1006" spans="1:25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</row>
    <row r="1007" spans="1:25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</row>
    <row r="1008" spans="1:25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</row>
    <row r="1009" spans="1:25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</row>
    <row r="1010" spans="1:25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</row>
    <row r="1011" spans="1:25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</row>
    <row r="1012" spans="1:25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</row>
    <row r="1013" spans="1:25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</row>
    <row r="1014" spans="1:25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</row>
    <row r="1015" spans="1:25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</row>
    <row r="1016" spans="1:25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</row>
    <row r="1017" spans="1:25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</row>
    <row r="1018" spans="1:25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</row>
    <row r="1019" spans="1:25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</row>
    <row r="1020" spans="1:25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</row>
    <row r="1021" spans="1:25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</row>
    <row r="1022" spans="1:25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</row>
    <row r="1023" spans="1:25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</row>
    <row r="1024" spans="1:25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</row>
    <row r="1025" spans="1:25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</row>
    <row r="1026" spans="1:25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</row>
    <row r="1027" spans="1:25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</row>
    <row r="1028" spans="1:25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</row>
    <row r="1029" spans="1:25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</row>
    <row r="1030" spans="1:25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</row>
    <row r="1031" spans="1:25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</row>
    <row r="1032" spans="1:25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</row>
    <row r="1033" spans="1:25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</row>
    <row r="1034" spans="1:25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</row>
    <row r="1035" spans="1:25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</row>
    <row r="1036" spans="1:25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</row>
    <row r="1037" spans="1:25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</row>
    <row r="1038" spans="1:25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</row>
    <row r="1039" spans="1:25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</row>
    <row r="1040" spans="1:25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</row>
    <row r="1041" spans="1:25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</row>
    <row r="1042" spans="1:25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</row>
    <row r="1043" spans="1:25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</row>
    <row r="1044" spans="1:25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</row>
    <row r="1045" spans="1:25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</row>
    <row r="1046" spans="1:25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</row>
    <row r="1047" spans="1:25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</row>
    <row r="1048" spans="1:25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</row>
    <row r="1049" spans="1:25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</row>
    <row r="1050" spans="1:25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</row>
    <row r="1051" spans="1:25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</row>
    <row r="1052" spans="1:25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</row>
    <row r="1053" spans="1:25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</row>
    <row r="1054" spans="1:25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</row>
    <row r="1055" spans="1:25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</row>
    <row r="1056" spans="1:25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</row>
    <row r="1057" spans="1:25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</row>
    <row r="1058" spans="1:25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</row>
    <row r="1059" spans="1:25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</row>
    <row r="1060" spans="1:25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</row>
    <row r="1061" spans="1:25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</row>
    <row r="1062" spans="1:25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</row>
    <row r="1063" spans="1:25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</row>
    <row r="1064" spans="1:25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</row>
    <row r="1065" spans="1:25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</row>
    <row r="1066" spans="1:25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</row>
    <row r="1067" spans="1:25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</row>
    <row r="1068" spans="1:25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</row>
    <row r="1069" spans="1:25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</row>
    <row r="1070" spans="1:25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</row>
    <row r="1071" spans="1:25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</row>
    <row r="1072" spans="1:25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</row>
    <row r="1073" spans="1:25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</row>
    <row r="1074" spans="1:25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</row>
    <row r="1075" spans="1:25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</row>
    <row r="1076" spans="1:25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</row>
    <row r="1077" spans="1:25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</row>
    <row r="1078" spans="1:25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</row>
    <row r="1079" spans="1:25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</row>
    <row r="1080" spans="1:25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</row>
    <row r="1081" spans="1:25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</row>
    <row r="1082" spans="1:25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</row>
    <row r="1083" spans="1:25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</row>
    <row r="1084" spans="1:25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</row>
    <row r="1085" spans="1:25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</row>
    <row r="1086" spans="1:25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</row>
    <row r="1087" spans="1:25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</row>
    <row r="1088" spans="1:25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</row>
    <row r="1089" spans="1:25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</row>
    <row r="1090" spans="1:25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</row>
    <row r="1091" spans="1:25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</row>
    <row r="1092" spans="1:25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</row>
    <row r="1093" spans="1:25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</row>
    <row r="1094" spans="1:25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</row>
    <row r="1095" spans="1:25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</row>
    <row r="1096" spans="1:25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</row>
    <row r="1097" spans="1:25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</row>
    <row r="1098" spans="1:25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</row>
    <row r="1099" spans="1:25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</row>
    <row r="1100" spans="1:25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</row>
    <row r="1101" spans="1:25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</row>
    <row r="1102" spans="1:25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</row>
    <row r="1103" spans="1:25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</row>
    <row r="1104" spans="1:25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</row>
    <row r="1105" spans="1:25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</row>
    <row r="1106" spans="1:25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</row>
    <row r="1107" spans="1:25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</row>
    <row r="1108" spans="1:25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</row>
    <row r="1109" spans="1:25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</row>
    <row r="1110" spans="1:25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</row>
    <row r="1111" spans="1:25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</row>
    <row r="1112" spans="1:25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</row>
    <row r="1113" spans="1:25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</row>
    <row r="1114" spans="1:25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</row>
    <row r="1115" spans="1:25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</row>
    <row r="1116" spans="1:25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</row>
    <row r="1117" spans="1:25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</row>
    <row r="1118" spans="1:25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</row>
    <row r="1119" spans="1:25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</row>
    <row r="1120" spans="1:25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</row>
    <row r="1121" spans="1:25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</row>
    <row r="1122" spans="1:25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</row>
    <row r="1123" spans="1:25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</row>
    <row r="1124" spans="1:25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</row>
    <row r="1125" spans="1:25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</row>
    <row r="1126" spans="1:25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</row>
    <row r="1127" spans="1:25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</row>
    <row r="1128" spans="1:25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</row>
    <row r="1129" spans="1:25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</row>
    <row r="1130" spans="1:25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</row>
    <row r="1131" spans="1:25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</row>
    <row r="1132" spans="1:25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</row>
    <row r="1133" spans="1:25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</row>
    <row r="1134" spans="1:25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</row>
    <row r="1135" spans="1:25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</row>
    <row r="1136" spans="1:25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</row>
    <row r="1137" spans="1:25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</row>
    <row r="1138" spans="1:25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</row>
    <row r="1139" spans="1:25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</row>
    <row r="1140" spans="1:25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</row>
    <row r="1141" spans="1:25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</row>
    <row r="1142" spans="1:25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</row>
    <row r="1143" spans="1:25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</row>
    <row r="1144" spans="1:25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</row>
    <row r="1145" spans="1:25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</row>
    <row r="1146" spans="1:25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</row>
    <row r="1147" spans="1:25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</row>
    <row r="1148" spans="1:25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</row>
    <row r="1149" spans="1:25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</row>
    <row r="1150" spans="1:25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</row>
    <row r="1151" spans="1:25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</row>
    <row r="1152" spans="1:25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</row>
    <row r="1153" spans="3:25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</row>
    <row r="1154" spans="3:25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</row>
  </sheetData>
  <mergeCells count="1">
    <mergeCell ref="A1:A2"/>
  </mergeCells>
  <conditionalFormatting sqref="J7:Y7">
    <cfRule type="expression" dxfId="115" priority="1">
      <formula>$Z7=0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70" zoomScaleNormal="70" workbookViewId="0">
      <pane ySplit="4" topLeftCell="A5" activePane="bottomLeft" state="frozen"/>
      <selection pane="bottomLeft" activeCell="J4" sqref="J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71"/>
      <c r="C1" s="135" t="s">
        <v>18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3" t="s">
        <v>1634</v>
      </c>
      <c r="W1" s="143"/>
      <c r="X1" s="143"/>
      <c r="Y1" s="58" t="s">
        <v>1176</v>
      </c>
      <c r="Z1" s="59"/>
      <c r="AA1" s="59"/>
      <c r="AB1" s="116" t="s">
        <v>1175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</row>
    <row r="2" spans="1:41" s="2" customFormat="1" x14ac:dyDescent="0.25">
      <c r="A2" s="17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793</v>
      </c>
      <c r="K3" s="48"/>
      <c r="L3" s="47"/>
      <c r="M3" s="48" t="s">
        <v>794</v>
      </c>
      <c r="N3" s="48"/>
      <c r="O3" s="48"/>
      <c r="P3" s="48"/>
      <c r="Q3" s="48"/>
      <c r="R3" s="48"/>
      <c r="S3" s="47"/>
      <c r="T3" s="48" t="s">
        <v>22</v>
      </c>
      <c r="U3" s="48"/>
      <c r="V3" s="149" t="s">
        <v>1632</v>
      </c>
      <c r="W3" s="154"/>
      <c r="X3" s="155"/>
      <c r="Y3" s="61" t="s">
        <v>91</v>
      </c>
      <c r="Z3" s="63"/>
      <c r="AA3" s="65"/>
      <c r="AB3" s="119" t="s">
        <v>793</v>
      </c>
      <c r="AC3" s="120"/>
      <c r="AD3" s="121"/>
      <c r="AE3" s="120" t="s">
        <v>794</v>
      </c>
      <c r="AF3" s="120"/>
      <c r="AG3" s="120"/>
      <c r="AH3" s="120"/>
      <c r="AI3" s="120"/>
      <c r="AJ3" s="120"/>
      <c r="AK3" s="121"/>
      <c r="AL3" s="120" t="s">
        <v>22</v>
      </c>
      <c r="AM3" s="121"/>
    </row>
    <row r="4" spans="1:41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308</v>
      </c>
      <c r="K4" s="13" t="s">
        <v>309</v>
      </c>
      <c r="L4" s="13" t="s">
        <v>310</v>
      </c>
      <c r="M4" s="8" t="s">
        <v>388</v>
      </c>
      <c r="N4" s="13" t="s">
        <v>389</v>
      </c>
      <c r="O4" s="13" t="s">
        <v>209</v>
      </c>
      <c r="P4" s="13" t="s">
        <v>311</v>
      </c>
      <c r="Q4" s="13" t="s">
        <v>312</v>
      </c>
      <c r="R4" s="13" t="s">
        <v>313</v>
      </c>
      <c r="S4" s="9" t="s">
        <v>314</v>
      </c>
      <c r="T4" s="13" t="s">
        <v>390</v>
      </c>
      <c r="U4" s="13" t="s">
        <v>391</v>
      </c>
      <c r="V4" s="150" t="s">
        <v>793</v>
      </c>
      <c r="W4" s="152" t="s">
        <v>794</v>
      </c>
      <c r="X4" s="156" t="s">
        <v>22</v>
      </c>
      <c r="Y4" s="10" t="s">
        <v>18</v>
      </c>
      <c r="Z4" s="11" t="s">
        <v>791</v>
      </c>
      <c r="AA4" s="12" t="s">
        <v>792</v>
      </c>
      <c r="AB4" s="123" t="s">
        <v>308</v>
      </c>
      <c r="AC4" s="123" t="s">
        <v>309</v>
      </c>
      <c r="AD4" s="123" t="s">
        <v>310</v>
      </c>
      <c r="AE4" s="122" t="s">
        <v>388</v>
      </c>
      <c r="AF4" s="123" t="s">
        <v>389</v>
      </c>
      <c r="AG4" s="123" t="s">
        <v>209</v>
      </c>
      <c r="AH4" s="123" t="s">
        <v>311</v>
      </c>
      <c r="AI4" s="123" t="s">
        <v>312</v>
      </c>
      <c r="AJ4" s="123" t="s">
        <v>313</v>
      </c>
      <c r="AK4" s="124" t="s">
        <v>314</v>
      </c>
      <c r="AL4" s="123" t="s">
        <v>390</v>
      </c>
      <c r="AM4" s="124" t="s">
        <v>391</v>
      </c>
    </row>
    <row r="5" spans="1:41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0">
        <f>SUBTOTAL(109,vmmc_circ_T[D_vmmc_circ_fy19])</f>
        <v>0</v>
      </c>
      <c r="Z5" s="60">
        <f>SUBTOTAL(109,vmmc_circ_T[D_vmmc_circ_1529_fy19])</f>
        <v>0</v>
      </c>
      <c r="AA5" s="60">
        <f>SUBTOTAL(109,vmmc_circ_T[D_vmmc_circ_othage_fy19])</f>
        <v>0</v>
      </c>
      <c r="AB5" s="60">
        <f>SUBTOTAL(109,vmmc_circ_T[vmmc_circ_1519_m])</f>
        <v>0</v>
      </c>
      <c r="AC5" s="60">
        <f>SUBTOTAL(109,vmmc_circ_T[vmmc_circ_2024_m])</f>
        <v>0</v>
      </c>
      <c r="AD5" s="60">
        <f>SUBTOTAL(109,vmmc_circ_T[vmmc_circ_2529_m])</f>
        <v>0</v>
      </c>
      <c r="AE5" s="60">
        <f>SUBTOTAL(109,vmmc_circ_T[vmmc_circ_u02mo_m])</f>
        <v>0</v>
      </c>
      <c r="AF5" s="60">
        <f>SUBTOTAL(109,vmmc_circ_T[vmmc_circ_02mo9_m])</f>
        <v>0</v>
      </c>
      <c r="AG5" s="60">
        <f>SUBTOTAL(109,vmmc_circ_T[vmmc_circ_1014_m])</f>
        <v>0</v>
      </c>
      <c r="AH5" s="60">
        <f>SUBTOTAL(109,vmmc_circ_T[vmmc_circ_3034_m])</f>
        <v>0</v>
      </c>
      <c r="AI5" s="60">
        <f>SUBTOTAL(109,vmmc_circ_T[vmmc_circ_3539_m])</f>
        <v>0</v>
      </c>
      <c r="AJ5" s="60">
        <f>SUBTOTAL(109,vmmc_circ_T[vmmc_circ_4049_m])</f>
        <v>0</v>
      </c>
      <c r="AK5" s="60">
        <f>SUBTOTAL(109,vmmc_circ_T[vmmc_circ_o50_m])</f>
        <v>0</v>
      </c>
      <c r="AL5" s="60">
        <f>SUBTOTAL(109,vmmc_circ_T[vmmc_circ_device_m])</f>
        <v>0</v>
      </c>
      <c r="AM5" s="60">
        <f>SUBTOTAL(109,vmmc_circ_T[vmmc_circ_surg_m])</f>
        <v>0</v>
      </c>
    </row>
    <row r="6" spans="1:41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1542</v>
      </c>
      <c r="K6" s="26" t="s">
        <v>1543</v>
      </c>
      <c r="L6" s="26" t="s">
        <v>1544</v>
      </c>
      <c r="M6" s="26" t="s">
        <v>1545</v>
      </c>
      <c r="N6" s="26" t="s">
        <v>1546</v>
      </c>
      <c r="O6" s="26" t="s">
        <v>1547</v>
      </c>
      <c r="P6" s="26" t="s">
        <v>1548</v>
      </c>
      <c r="Q6" s="26" t="s">
        <v>1549</v>
      </c>
      <c r="R6" s="26" t="s">
        <v>1550</v>
      </c>
      <c r="S6" s="26" t="s">
        <v>1551</v>
      </c>
      <c r="T6" s="26" t="s">
        <v>1552</v>
      </c>
      <c r="U6" s="26" t="s">
        <v>1553</v>
      </c>
      <c r="V6" s="26" t="s">
        <v>1630</v>
      </c>
      <c r="W6" s="26" t="s">
        <v>1631</v>
      </c>
      <c r="X6" s="26" t="s">
        <v>1633</v>
      </c>
      <c r="Y6" s="26" t="s">
        <v>973</v>
      </c>
      <c r="Z6" s="26" t="s">
        <v>1135</v>
      </c>
      <c r="AA6" s="26" t="s">
        <v>1614</v>
      </c>
      <c r="AB6" s="26" t="s">
        <v>720</v>
      </c>
      <c r="AC6" s="26" t="s">
        <v>721</v>
      </c>
      <c r="AD6" s="26" t="s">
        <v>722</v>
      </c>
      <c r="AE6" s="26" t="s">
        <v>795</v>
      </c>
      <c r="AF6" s="26" t="s">
        <v>729</v>
      </c>
      <c r="AG6" s="26" t="s">
        <v>719</v>
      </c>
      <c r="AH6" s="26" t="s">
        <v>723</v>
      </c>
      <c r="AI6" s="26" t="s">
        <v>724</v>
      </c>
      <c r="AJ6" s="26" t="s">
        <v>725</v>
      </c>
      <c r="AK6" s="26" t="s">
        <v>726</v>
      </c>
      <c r="AL6" s="26" t="s">
        <v>727</v>
      </c>
      <c r="AM6" s="26" t="s">
        <v>728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SUM(vmmc_circ_T[[#This Row],[A_vmmc_circ_1519_m]:[A_vmmc_circ_2529_m]])</f>
        <v>0</v>
      </c>
      <c r="W7" s="161">
        <f>SUM(vmmc_circ_T[[#This Row],[A_vmmc_circ_u02mo_m]:[A_vmmc_circ_o50_m]])</f>
        <v>0</v>
      </c>
      <c r="X7" s="161">
        <f>SUM(vmmc_circ_T[[#This Row],[A_vmmc_circ_device_m]:[A_vmmc_circ_surg_m]])</f>
        <v>0</v>
      </c>
      <c r="Y7" s="42"/>
      <c r="Z7" s="42"/>
      <c r="AA7" s="42"/>
      <c r="AB7" s="64">
        <f>vmmc_circ_T[[D_vmmc_circ_1529_fy19]:[D_vmmc_circ_1529_fy19]]*vmmc_circ_T[A_vmmc_circ_1519_m]</f>
        <v>0</v>
      </c>
      <c r="AC7" s="64">
        <f>vmmc_circ_T[[D_vmmc_circ_1529_fy19]:[D_vmmc_circ_1529_fy19]]*vmmc_circ_T[A_vmmc_circ_2024_m]</f>
        <v>0</v>
      </c>
      <c r="AD7" s="64">
        <f>vmmc_circ_T[[D_vmmc_circ_1529_fy19]:[D_vmmc_circ_1529_fy19]]*vmmc_circ_T[A_vmmc_circ_2529_m]</f>
        <v>0</v>
      </c>
      <c r="AE7" s="64">
        <f>vmmc_circ_T[[D_vmmc_circ_othage_fy19]:[D_vmmc_circ_othage_fy19]]*vmmc_circ_T[A_vmmc_circ_u02mo_m]</f>
        <v>0</v>
      </c>
      <c r="AF7" s="64">
        <f>vmmc_circ_T[[D_vmmc_circ_othage_fy19]:[D_vmmc_circ_othage_fy19]]*vmmc_circ_T[A_vmmc_circ_02mo9_m]</f>
        <v>0</v>
      </c>
      <c r="AG7" s="64">
        <f>vmmc_circ_T[[D_vmmc_circ_othage_fy19]:[D_vmmc_circ_othage_fy19]]*vmmc_circ_T[A_vmmc_circ_1014_m]</f>
        <v>0</v>
      </c>
      <c r="AH7" s="64">
        <f>vmmc_circ_T[[D_vmmc_circ_othage_fy19]:[D_vmmc_circ_othage_fy19]]*vmmc_circ_T[A_vmmc_circ_3034_m]</f>
        <v>0</v>
      </c>
      <c r="AI7" s="64">
        <f>vmmc_circ_T[[D_vmmc_circ_othage_fy19]:[D_vmmc_circ_othage_fy19]]*vmmc_circ_T[A_vmmc_circ_3539_m]</f>
        <v>0</v>
      </c>
      <c r="AJ7" s="64">
        <f>vmmc_circ_T[[D_vmmc_circ_othage_fy19]:[D_vmmc_circ_othage_fy19]]*vmmc_circ_T[A_vmmc_circ_4049_m]</f>
        <v>0</v>
      </c>
      <c r="AK7" s="64">
        <f>vmmc_circ_T[[D_vmmc_circ_othage_fy19]:[D_vmmc_circ_othage_fy19]]*vmmc_circ_T[A_vmmc_circ_o50_m]</f>
        <v>0</v>
      </c>
      <c r="AL7" s="64">
        <f>vmmc_circ_T[[D_vmmc_circ_fy19]:[D_vmmc_circ_fy19]]*vmmc_circ_T[A_vmmc_circ_device_m]</f>
        <v>0</v>
      </c>
      <c r="AM7" s="64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</row>
    <row r="13" spans="1:41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</row>
    <row r="14" spans="1:41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</row>
    <row r="15" spans="1:41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</row>
    <row r="16" spans="1:41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</row>
    <row r="17" spans="1:24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</row>
    <row r="18" spans="1:24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</row>
    <row r="19" spans="1:24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</row>
    <row r="20" spans="1:24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</row>
    <row r="21" spans="1:24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</row>
    <row r="22" spans="1:24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</row>
    <row r="23" spans="1:24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</row>
    <row r="24" spans="1:24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</row>
    <row r="25" spans="1:24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</row>
    <row r="26" spans="1:24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</row>
    <row r="27" spans="1:24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</row>
    <row r="28" spans="1:24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</row>
    <row r="29" spans="1:24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</row>
    <row r="30" spans="1:24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</row>
    <row r="31" spans="1:24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</row>
    <row r="32" spans="1:24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</row>
    <row r="33" spans="1:24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</row>
    <row r="34" spans="1:24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</row>
    <row r="35" spans="1:24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</row>
    <row r="36" spans="1:24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</row>
    <row r="37" spans="1:24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</row>
    <row r="38" spans="1:24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</row>
    <row r="39" spans="1:24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</row>
    <row r="40" spans="1:24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</row>
    <row r="41" spans="1:24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</row>
    <row r="42" spans="1:24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</row>
    <row r="43" spans="1:24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</row>
    <row r="44" spans="1:24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</row>
    <row r="45" spans="1:24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24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</row>
    <row r="47" spans="1:24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</row>
    <row r="48" spans="1:24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</row>
    <row r="49" spans="1:24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</row>
    <row r="50" spans="1:24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</row>
    <row r="51" spans="1:24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</row>
    <row r="52" spans="1:24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</row>
    <row r="53" spans="1:24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</row>
    <row r="54" spans="1:24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</row>
    <row r="55" spans="1:24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</row>
    <row r="56" spans="1:24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</row>
    <row r="57" spans="1:24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</row>
    <row r="58" spans="1:24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</row>
    <row r="59" spans="1:24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</row>
    <row r="60" spans="1:24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</row>
    <row r="61" spans="1:24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</row>
    <row r="62" spans="1:24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</row>
    <row r="63" spans="1:24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</row>
    <row r="64" spans="1:24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</row>
    <row r="65" spans="1:24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</row>
    <row r="66" spans="1:24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</row>
    <row r="67" spans="1:24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</row>
    <row r="68" spans="1:24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</row>
    <row r="69" spans="1:24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</row>
    <row r="70" spans="1:24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</row>
    <row r="71" spans="1:24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</row>
    <row r="73" spans="1:24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</row>
    <row r="74" spans="1:24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</row>
    <row r="75" spans="1:24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</row>
    <row r="76" spans="1:24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</row>
    <row r="77" spans="1:24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</row>
    <row r="78" spans="1:24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</row>
    <row r="79" spans="1:24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</row>
    <row r="80" spans="1:24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</row>
    <row r="81" spans="1:24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</row>
    <row r="82" spans="1:24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</row>
    <row r="83" spans="1:24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</row>
    <row r="84" spans="1:24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</row>
    <row r="85" spans="1:24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</row>
    <row r="86" spans="1:24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</row>
    <row r="87" spans="1:24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</row>
    <row r="88" spans="1:24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</row>
    <row r="89" spans="1:24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</row>
    <row r="90" spans="1:24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</row>
    <row r="91" spans="1:24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</row>
    <row r="92" spans="1:24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</row>
    <row r="93" spans="1:24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</row>
    <row r="94" spans="1:24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</row>
    <row r="95" spans="1:24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</row>
    <row r="96" spans="1:24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</row>
    <row r="97" spans="1:24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</row>
    <row r="98" spans="1:24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</row>
    <row r="99" spans="1:24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</row>
    <row r="100" spans="1:24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</row>
    <row r="101" spans="1:24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</row>
    <row r="102" spans="1:24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</row>
    <row r="103" spans="1:24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</row>
    <row r="104" spans="1:24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</row>
    <row r="105" spans="1:24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</row>
    <row r="106" spans="1:24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</row>
    <row r="107" spans="1:24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</row>
    <row r="108" spans="1:24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</row>
    <row r="109" spans="1:24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</row>
    <row r="110" spans="1:24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</row>
    <row r="111" spans="1:24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</row>
    <row r="112" spans="1:24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</row>
    <row r="113" spans="1:24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</row>
    <row r="114" spans="1:24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</row>
    <row r="115" spans="1:24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</row>
    <row r="116" spans="1:24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</row>
    <row r="117" spans="1:24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</row>
    <row r="118" spans="1:24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</row>
    <row r="119" spans="1:24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</row>
    <row r="120" spans="1:24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</row>
    <row r="121" spans="1:24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</row>
    <row r="122" spans="1:24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</row>
    <row r="123" spans="1:24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</row>
    <row r="124" spans="1:24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</row>
    <row r="125" spans="1:24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</row>
    <row r="126" spans="1:24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</row>
    <row r="127" spans="1:24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</row>
    <row r="128" spans="1:24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</row>
    <row r="129" spans="1:24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</row>
    <row r="130" spans="1:24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</row>
    <row r="131" spans="1:24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</row>
    <row r="132" spans="1:24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</row>
    <row r="133" spans="1:24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</row>
    <row r="134" spans="1:24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</row>
    <row r="135" spans="1:24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</row>
    <row r="136" spans="1:24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</row>
    <row r="137" spans="1:24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</row>
    <row r="138" spans="1:24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</row>
    <row r="139" spans="1:24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</row>
    <row r="140" spans="1:24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</row>
    <row r="141" spans="1:24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</row>
    <row r="142" spans="1:24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</row>
    <row r="143" spans="1:24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</row>
    <row r="144" spans="1:24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</row>
    <row r="145" spans="1:24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</row>
    <row r="146" spans="1:24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</row>
    <row r="147" spans="1:24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</row>
    <row r="148" spans="1:24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</row>
    <row r="149" spans="1:24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</row>
    <row r="150" spans="1:24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</row>
    <row r="151" spans="1:24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</row>
    <row r="152" spans="1:24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</row>
    <row r="153" spans="1:24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</row>
    <row r="154" spans="1:24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</row>
    <row r="155" spans="1:24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</row>
    <row r="156" spans="1:24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</row>
    <row r="157" spans="1:24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</row>
    <row r="158" spans="1:24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</row>
    <row r="159" spans="1:24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</row>
    <row r="160" spans="1:24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</row>
    <row r="161" spans="1:24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</row>
    <row r="162" spans="1:24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</row>
    <row r="163" spans="1:24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</row>
    <row r="164" spans="1:24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</row>
    <row r="165" spans="1:24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</row>
    <row r="166" spans="1:24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</row>
    <row r="167" spans="1:24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</row>
    <row r="168" spans="1:24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</row>
    <row r="169" spans="1:24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</row>
    <row r="170" spans="1:24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</row>
    <row r="171" spans="1:24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</row>
    <row r="172" spans="1:24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</row>
    <row r="173" spans="1:24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</row>
    <row r="174" spans="1:24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</row>
    <row r="175" spans="1:24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</row>
    <row r="176" spans="1:24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</row>
    <row r="177" spans="1:24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</row>
    <row r="178" spans="1:24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</row>
    <row r="179" spans="1:24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</row>
    <row r="180" spans="1:24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</row>
    <row r="181" spans="1:24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</row>
    <row r="182" spans="1:24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</row>
    <row r="183" spans="1:24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</row>
    <row r="184" spans="1:24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</row>
    <row r="185" spans="1:24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</row>
    <row r="186" spans="1:24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</row>
    <row r="187" spans="1:24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</row>
    <row r="188" spans="1:24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</row>
    <row r="189" spans="1:24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</row>
    <row r="190" spans="1:24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</row>
    <row r="191" spans="1:24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</row>
    <row r="192" spans="1:24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</row>
    <row r="193" spans="1:24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</row>
    <row r="194" spans="1:24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</row>
    <row r="195" spans="1:24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</row>
    <row r="196" spans="1:24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</row>
    <row r="197" spans="1:24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</row>
    <row r="198" spans="1:24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</row>
    <row r="199" spans="1:24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</row>
    <row r="200" spans="1:24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</row>
    <row r="201" spans="1:24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</row>
    <row r="202" spans="1:24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</row>
    <row r="203" spans="1:24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</row>
    <row r="204" spans="1:24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</row>
    <row r="205" spans="1:24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</row>
    <row r="206" spans="1:24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</row>
    <row r="207" spans="1:24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</row>
    <row r="208" spans="1:24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</row>
    <row r="209" spans="1:24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</row>
    <row r="210" spans="1:24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</row>
    <row r="211" spans="1:24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</row>
    <row r="212" spans="1:24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</row>
    <row r="213" spans="1:24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</row>
    <row r="214" spans="1:24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</row>
    <row r="215" spans="1:24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</row>
    <row r="216" spans="1:24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</row>
    <row r="217" spans="1:24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</row>
    <row r="218" spans="1:24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</row>
    <row r="219" spans="1:24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</row>
    <row r="220" spans="1:24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</row>
    <row r="221" spans="1:24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</row>
    <row r="222" spans="1:24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</row>
    <row r="223" spans="1:24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</row>
    <row r="224" spans="1:24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</row>
    <row r="225" spans="1:24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</row>
    <row r="226" spans="1:24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</row>
    <row r="227" spans="1:24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</row>
    <row r="228" spans="1:24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</row>
    <row r="229" spans="1:24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</row>
    <row r="230" spans="1:24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</row>
    <row r="231" spans="1:24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</row>
    <row r="232" spans="1:24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</row>
    <row r="233" spans="1:24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</row>
    <row r="234" spans="1:24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</row>
    <row r="235" spans="1:24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</row>
    <row r="236" spans="1:24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</row>
    <row r="237" spans="1:24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</row>
    <row r="238" spans="1:24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</row>
    <row r="239" spans="1:24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</row>
    <row r="240" spans="1:24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</row>
    <row r="241" spans="1:24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</row>
    <row r="242" spans="1:24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</row>
    <row r="243" spans="1:24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</row>
    <row r="244" spans="1:24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</row>
    <row r="245" spans="1:24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</row>
    <row r="246" spans="1:24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</row>
    <row r="247" spans="1:24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</row>
    <row r="248" spans="1:24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</row>
    <row r="249" spans="1:24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</row>
    <row r="250" spans="1:24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</row>
    <row r="251" spans="1:24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</row>
    <row r="252" spans="1:24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</row>
    <row r="253" spans="1:24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</row>
    <row r="254" spans="1:24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</row>
    <row r="255" spans="1:24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</row>
    <row r="256" spans="1:24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</row>
    <row r="257" spans="1:24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</row>
    <row r="258" spans="1:24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</row>
    <row r="259" spans="1:24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</row>
    <row r="260" spans="1:24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</row>
    <row r="261" spans="1:24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</row>
    <row r="262" spans="1:24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</row>
    <row r="263" spans="1:24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</row>
    <row r="264" spans="1:24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</row>
    <row r="265" spans="1:24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</row>
    <row r="266" spans="1:24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</row>
    <row r="267" spans="1:24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</row>
    <row r="268" spans="1:24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</row>
    <row r="269" spans="1:24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</row>
    <row r="270" spans="1:24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</row>
    <row r="271" spans="1:24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</row>
    <row r="272" spans="1:24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</row>
    <row r="273" spans="1:24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</row>
    <row r="274" spans="1:24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</row>
    <row r="275" spans="1:24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</row>
    <row r="276" spans="1:24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</row>
    <row r="277" spans="1:24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</row>
    <row r="278" spans="1:24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</row>
    <row r="279" spans="1:24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</row>
    <row r="280" spans="1:24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</row>
    <row r="281" spans="1:24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</row>
    <row r="282" spans="1:24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</row>
    <row r="283" spans="1:24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</row>
    <row r="284" spans="1:24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</row>
    <row r="285" spans="1:24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</row>
    <row r="286" spans="1:24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</row>
    <row r="287" spans="1:24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</row>
    <row r="288" spans="1:24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</row>
    <row r="289" spans="1:24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</row>
    <row r="290" spans="1:24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</row>
    <row r="291" spans="1:24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</row>
    <row r="292" spans="1:24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</row>
    <row r="293" spans="1:24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</row>
    <row r="294" spans="1:24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</row>
    <row r="295" spans="1:24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</row>
    <row r="296" spans="1:24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</row>
    <row r="297" spans="1:24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</row>
    <row r="298" spans="1:24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</row>
    <row r="299" spans="1:24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</row>
    <row r="300" spans="1:24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</row>
    <row r="301" spans="1:24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</row>
    <row r="302" spans="1:24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</row>
    <row r="303" spans="1:24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</row>
    <row r="304" spans="1:24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</row>
    <row r="305" spans="1:24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</row>
    <row r="306" spans="1:24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</row>
    <row r="307" spans="1:24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</row>
    <row r="308" spans="1:24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</row>
    <row r="309" spans="1:24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</row>
    <row r="310" spans="1:24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</row>
    <row r="311" spans="1:24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</row>
    <row r="312" spans="1:24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</row>
    <row r="313" spans="1:24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</row>
    <row r="314" spans="1:24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</row>
    <row r="315" spans="1:24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</row>
    <row r="316" spans="1:24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</row>
    <row r="317" spans="1:24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</row>
    <row r="318" spans="1:24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</row>
    <row r="319" spans="1:24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</row>
    <row r="320" spans="1:24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</row>
    <row r="321" spans="1:24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</row>
    <row r="322" spans="1:24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</row>
    <row r="323" spans="1:24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</row>
    <row r="324" spans="1:24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</row>
    <row r="325" spans="1:24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</row>
    <row r="326" spans="1:24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</row>
    <row r="327" spans="1:24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</row>
    <row r="328" spans="1:24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</row>
    <row r="329" spans="1:24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</row>
    <row r="330" spans="1:24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</row>
    <row r="331" spans="1:24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</row>
    <row r="332" spans="1:24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</row>
    <row r="333" spans="1:24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</row>
    <row r="334" spans="1:24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</row>
    <row r="335" spans="1:24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</row>
    <row r="336" spans="1:24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</row>
    <row r="337" spans="1:24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</row>
    <row r="338" spans="1:24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</row>
    <row r="339" spans="1:24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</row>
    <row r="340" spans="1:24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</row>
    <row r="341" spans="1:24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</row>
    <row r="342" spans="1:24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</row>
    <row r="343" spans="1:24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</row>
    <row r="344" spans="1:24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</row>
    <row r="345" spans="1:24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</row>
    <row r="346" spans="1:24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</row>
    <row r="347" spans="1:24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</row>
    <row r="348" spans="1:24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</row>
    <row r="349" spans="1:24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</row>
    <row r="350" spans="1:24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</row>
    <row r="351" spans="1:24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</row>
    <row r="352" spans="1:24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</row>
    <row r="353" spans="1:24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</row>
    <row r="354" spans="1:24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</row>
    <row r="355" spans="1:24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</row>
    <row r="356" spans="1:24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</row>
    <row r="357" spans="1:24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</row>
    <row r="358" spans="1:24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</row>
    <row r="359" spans="1:24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</row>
    <row r="360" spans="1:24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</row>
    <row r="361" spans="1:24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</row>
    <row r="362" spans="1:24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</row>
    <row r="363" spans="1:24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</row>
    <row r="364" spans="1:24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</row>
    <row r="365" spans="1:24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</row>
    <row r="366" spans="1:24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</row>
    <row r="367" spans="1:24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</row>
    <row r="368" spans="1:24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</row>
    <row r="369" spans="1:24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</row>
    <row r="370" spans="1:24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</row>
    <row r="371" spans="1:24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</row>
    <row r="372" spans="1:24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</row>
    <row r="373" spans="1:24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</row>
    <row r="374" spans="1:24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</row>
    <row r="375" spans="1:24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</row>
    <row r="376" spans="1:24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</row>
    <row r="377" spans="1:24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</row>
    <row r="378" spans="1:24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</row>
    <row r="379" spans="1:24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</row>
    <row r="380" spans="1:24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</row>
    <row r="381" spans="1:24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</row>
    <row r="382" spans="1:24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</row>
    <row r="383" spans="1:24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</row>
    <row r="384" spans="1:24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</row>
    <row r="385" spans="1:24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</row>
    <row r="386" spans="1:24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</row>
    <row r="387" spans="1:24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</row>
    <row r="388" spans="1:24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</row>
    <row r="389" spans="1:24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</row>
    <row r="390" spans="1:24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</row>
    <row r="391" spans="1:24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</row>
    <row r="392" spans="1:24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</row>
    <row r="393" spans="1:24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</row>
    <row r="394" spans="1:24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</row>
    <row r="395" spans="1:24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</row>
    <row r="396" spans="1:24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</row>
    <row r="397" spans="1:24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</row>
    <row r="398" spans="1:24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</row>
    <row r="399" spans="1:24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</row>
    <row r="400" spans="1:24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</row>
    <row r="401" spans="1:24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</row>
    <row r="402" spans="1:24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</row>
    <row r="403" spans="1:24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</row>
    <row r="404" spans="1:24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</row>
    <row r="405" spans="1:24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</row>
    <row r="406" spans="1:24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</row>
    <row r="407" spans="1:24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</row>
    <row r="408" spans="1:24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</row>
    <row r="409" spans="1:24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</row>
    <row r="410" spans="1:24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</row>
    <row r="411" spans="1:24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</row>
    <row r="412" spans="1:24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</row>
    <row r="413" spans="1:24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</row>
    <row r="414" spans="1:24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</row>
    <row r="415" spans="1:24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</row>
    <row r="416" spans="1:24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</row>
    <row r="417" spans="1:24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</row>
    <row r="418" spans="1:24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</row>
    <row r="419" spans="1:24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</row>
    <row r="420" spans="1:24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</row>
    <row r="421" spans="1:24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</row>
    <row r="422" spans="1:24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</row>
    <row r="423" spans="1:24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</row>
    <row r="424" spans="1:24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</row>
    <row r="425" spans="1:24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</row>
    <row r="426" spans="1:24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</row>
    <row r="427" spans="1:24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</row>
    <row r="428" spans="1:24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</row>
    <row r="429" spans="1:24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</row>
    <row r="430" spans="1:24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</row>
    <row r="431" spans="1:24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</row>
    <row r="432" spans="1:24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</row>
    <row r="433" spans="1:24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</row>
    <row r="434" spans="1:24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</row>
    <row r="435" spans="1:24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</row>
    <row r="436" spans="1:24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</row>
    <row r="437" spans="1:24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</row>
    <row r="438" spans="1:24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</row>
    <row r="439" spans="1:24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</row>
    <row r="440" spans="1:24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</row>
    <row r="441" spans="1:24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</row>
    <row r="442" spans="1:24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</row>
    <row r="443" spans="1:24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</row>
    <row r="444" spans="1:24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</row>
    <row r="445" spans="1:24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</row>
    <row r="446" spans="1:24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</row>
    <row r="447" spans="1:24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</row>
    <row r="448" spans="1:24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</row>
    <row r="449" spans="1:24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</row>
    <row r="450" spans="1:24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</row>
    <row r="451" spans="1:24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</row>
    <row r="452" spans="1:24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</row>
    <row r="453" spans="1:24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</row>
    <row r="454" spans="1:24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</row>
    <row r="455" spans="1:24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</row>
    <row r="456" spans="1:24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</row>
    <row r="457" spans="1:24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</row>
    <row r="458" spans="1:24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</row>
    <row r="459" spans="1:24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</row>
    <row r="460" spans="1:24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</row>
    <row r="461" spans="1:24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</row>
    <row r="462" spans="1:24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</row>
    <row r="463" spans="1:24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</row>
    <row r="464" spans="1:24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</row>
    <row r="465" spans="1:24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</row>
    <row r="466" spans="1:24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</row>
    <row r="467" spans="1:24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</row>
    <row r="468" spans="1:24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</row>
    <row r="469" spans="1:24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</row>
    <row r="470" spans="1:24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</row>
    <row r="471" spans="1:24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</row>
    <row r="472" spans="1:24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</row>
    <row r="473" spans="1:24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</row>
    <row r="474" spans="1:24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</row>
    <row r="475" spans="1:24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</row>
    <row r="476" spans="1:24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</row>
    <row r="477" spans="1:24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</row>
    <row r="478" spans="1:24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</row>
    <row r="479" spans="1:24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</row>
    <row r="480" spans="1:24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</row>
    <row r="481" spans="1:24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</row>
    <row r="482" spans="1:24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</row>
    <row r="483" spans="1:24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</row>
    <row r="484" spans="1:24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</row>
    <row r="485" spans="1:24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</row>
    <row r="486" spans="1:24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</row>
    <row r="487" spans="1:24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</row>
    <row r="488" spans="1:24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</row>
    <row r="489" spans="1:24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</row>
    <row r="490" spans="1:24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</row>
    <row r="491" spans="1:24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</row>
    <row r="492" spans="1:24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</row>
    <row r="493" spans="1:24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</row>
    <row r="494" spans="1:24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</row>
    <row r="495" spans="1:24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</row>
    <row r="496" spans="1:24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</row>
    <row r="497" spans="1:24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</row>
    <row r="498" spans="1:24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</row>
    <row r="499" spans="1:24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</row>
    <row r="500" spans="1:24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</row>
    <row r="501" spans="1:24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</row>
    <row r="502" spans="1:24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</row>
    <row r="503" spans="1:24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</row>
    <row r="504" spans="1:24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</row>
    <row r="505" spans="1:24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</row>
    <row r="506" spans="1:24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</row>
    <row r="507" spans="1:24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</row>
    <row r="508" spans="1:24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</row>
    <row r="509" spans="1:24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</row>
    <row r="510" spans="1:24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</row>
    <row r="511" spans="1:24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</row>
    <row r="512" spans="1:24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</row>
    <row r="513" spans="1:24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</row>
    <row r="514" spans="1:24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</row>
    <row r="515" spans="1:24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</row>
    <row r="516" spans="1:24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</row>
    <row r="517" spans="1:24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</row>
    <row r="518" spans="1:24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</row>
    <row r="519" spans="1:24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</row>
    <row r="520" spans="1:24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</row>
    <row r="521" spans="1:24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</row>
    <row r="522" spans="1:24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</row>
    <row r="523" spans="1:24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</row>
    <row r="524" spans="1:24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</row>
    <row r="525" spans="1:24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</row>
    <row r="526" spans="1:24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</row>
    <row r="527" spans="1:24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</row>
    <row r="528" spans="1:24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</row>
    <row r="529" spans="1:24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</row>
    <row r="530" spans="1:24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</row>
    <row r="531" spans="1:24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</row>
    <row r="532" spans="1:24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</row>
    <row r="533" spans="1:24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</row>
    <row r="534" spans="1:24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</row>
    <row r="535" spans="1:24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</row>
    <row r="536" spans="1:24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</row>
    <row r="537" spans="1:24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</row>
    <row r="538" spans="1:24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</row>
    <row r="539" spans="1:24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</row>
    <row r="540" spans="1:24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</row>
    <row r="541" spans="1:24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</row>
    <row r="542" spans="1:24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</row>
    <row r="543" spans="1:24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</row>
    <row r="544" spans="1:24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</row>
    <row r="545" spans="1:24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</row>
    <row r="546" spans="1:24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</row>
    <row r="547" spans="1:24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</row>
    <row r="548" spans="1:24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</row>
    <row r="549" spans="1:24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</row>
    <row r="550" spans="1:24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</row>
    <row r="551" spans="1:24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</row>
    <row r="552" spans="1:24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</row>
    <row r="553" spans="1:24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</row>
    <row r="554" spans="1:24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</row>
    <row r="555" spans="1:24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</row>
    <row r="556" spans="1:24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</row>
    <row r="557" spans="1:24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</row>
    <row r="558" spans="1:24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</row>
    <row r="559" spans="1:24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</row>
    <row r="560" spans="1:24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</row>
    <row r="561" spans="1:24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</row>
    <row r="562" spans="1:24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</row>
    <row r="563" spans="1:24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</row>
    <row r="564" spans="1:24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</row>
    <row r="565" spans="1:24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</row>
    <row r="566" spans="1:24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</row>
    <row r="567" spans="1:24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</row>
    <row r="568" spans="1:24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</row>
    <row r="569" spans="1:24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</row>
    <row r="570" spans="1:24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</row>
    <row r="571" spans="1:24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</row>
    <row r="572" spans="1:24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</row>
    <row r="573" spans="1:24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</row>
    <row r="574" spans="1:24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</row>
    <row r="575" spans="1:24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</row>
    <row r="576" spans="1:24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</row>
    <row r="577" spans="1:24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</row>
    <row r="578" spans="1:24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</row>
    <row r="579" spans="1:24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</row>
    <row r="580" spans="1:24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</row>
    <row r="581" spans="1:24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</row>
    <row r="582" spans="1:24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</row>
    <row r="583" spans="1:24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</row>
    <row r="584" spans="1:24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</row>
    <row r="585" spans="1:24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</row>
    <row r="586" spans="1:24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</row>
    <row r="587" spans="1:24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</row>
    <row r="588" spans="1:24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</row>
    <row r="589" spans="1:24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</row>
    <row r="590" spans="1:24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</row>
    <row r="591" spans="1:24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</row>
    <row r="592" spans="1:24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</row>
    <row r="593" spans="1:24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</row>
    <row r="594" spans="1:24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</row>
    <row r="595" spans="1:24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</row>
    <row r="596" spans="1:24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</row>
    <row r="597" spans="1:24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</row>
    <row r="598" spans="1:24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</row>
    <row r="599" spans="1:24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</row>
    <row r="600" spans="1:24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</row>
    <row r="601" spans="1:24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</row>
    <row r="602" spans="1:24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</row>
    <row r="603" spans="1:24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</row>
    <row r="604" spans="1:24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</row>
    <row r="605" spans="1:24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</row>
    <row r="606" spans="1:24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</row>
    <row r="607" spans="1:24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</row>
    <row r="608" spans="1:24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</row>
    <row r="609" spans="1:24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</row>
    <row r="610" spans="1:24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</row>
    <row r="611" spans="1:24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</row>
    <row r="612" spans="1:24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</row>
    <row r="613" spans="1:24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</row>
    <row r="614" spans="1:24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</row>
    <row r="615" spans="1:24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</row>
    <row r="616" spans="1:24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</row>
    <row r="617" spans="1:24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</row>
    <row r="618" spans="1:24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</row>
    <row r="619" spans="1:24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</row>
    <row r="620" spans="1:24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</row>
    <row r="621" spans="1:24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</row>
    <row r="622" spans="1:24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</row>
    <row r="623" spans="1:24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</row>
    <row r="624" spans="1:24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</row>
    <row r="625" spans="1:24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</row>
    <row r="626" spans="1:24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</row>
    <row r="627" spans="1:24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</row>
    <row r="628" spans="1:24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</row>
    <row r="629" spans="1:24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</row>
    <row r="630" spans="1:24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</row>
    <row r="631" spans="1:24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</row>
    <row r="632" spans="1:24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</row>
    <row r="633" spans="1:24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</row>
    <row r="634" spans="1:24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</row>
    <row r="635" spans="1:24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</row>
    <row r="636" spans="1:24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</row>
    <row r="637" spans="1:24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</row>
    <row r="638" spans="1:24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</row>
    <row r="639" spans="1:24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</row>
    <row r="640" spans="1:24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</row>
    <row r="641" spans="1:24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</row>
    <row r="642" spans="1:24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</row>
    <row r="643" spans="1:24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</row>
    <row r="644" spans="1:24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</row>
    <row r="645" spans="1:24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</row>
    <row r="646" spans="1:24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</row>
    <row r="647" spans="1:24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</row>
    <row r="648" spans="1:24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</row>
    <row r="649" spans="1:24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</row>
    <row r="650" spans="1:24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</row>
    <row r="651" spans="1:24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</row>
    <row r="652" spans="1:24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</row>
    <row r="653" spans="1:24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</row>
    <row r="654" spans="1:24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</row>
    <row r="655" spans="1:24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</row>
    <row r="656" spans="1:24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</row>
    <row r="657" spans="1:24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</row>
    <row r="658" spans="1:24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</row>
    <row r="659" spans="1:24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</row>
    <row r="660" spans="1:24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</row>
    <row r="661" spans="1:24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</row>
    <row r="662" spans="1:24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</row>
    <row r="663" spans="1:24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</row>
    <row r="664" spans="1:24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</row>
    <row r="665" spans="1:24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</row>
    <row r="666" spans="1:24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</row>
    <row r="667" spans="1:24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</row>
    <row r="668" spans="1:24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</row>
    <row r="669" spans="1:24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</row>
    <row r="670" spans="1:24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</row>
    <row r="671" spans="1:24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</row>
    <row r="672" spans="1:24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</row>
    <row r="673" spans="1:24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</row>
    <row r="674" spans="1:24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</row>
    <row r="675" spans="1:24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</row>
    <row r="676" spans="1:24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</row>
    <row r="677" spans="1:24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</row>
    <row r="678" spans="1:24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</row>
    <row r="679" spans="1:24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</row>
    <row r="680" spans="1:24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</row>
    <row r="681" spans="1:24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</row>
    <row r="682" spans="1:24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</row>
    <row r="683" spans="1:24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</row>
    <row r="684" spans="1:24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</row>
    <row r="685" spans="1:24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</row>
    <row r="686" spans="1:24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</row>
    <row r="687" spans="1:24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</row>
    <row r="688" spans="1:24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</row>
    <row r="689" spans="1:24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</row>
    <row r="690" spans="1:24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</row>
    <row r="691" spans="1:24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</row>
    <row r="692" spans="1:24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</row>
    <row r="693" spans="1:24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</row>
    <row r="694" spans="1:24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</row>
    <row r="695" spans="1:24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</row>
    <row r="696" spans="1:24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</row>
    <row r="697" spans="1:24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</row>
    <row r="698" spans="1:24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</row>
    <row r="699" spans="1:24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</row>
    <row r="700" spans="1:24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</row>
    <row r="701" spans="1:24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</row>
    <row r="702" spans="1:24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</row>
    <row r="703" spans="1:24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</row>
    <row r="704" spans="1:24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</row>
    <row r="705" spans="1:24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</row>
    <row r="706" spans="1:24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</row>
    <row r="707" spans="1:24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</row>
    <row r="708" spans="1:24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</row>
    <row r="709" spans="1:24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</row>
    <row r="710" spans="1:24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</row>
    <row r="711" spans="1:24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</row>
    <row r="712" spans="1:24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</row>
    <row r="713" spans="1:24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</row>
    <row r="714" spans="1:24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</row>
    <row r="715" spans="1:24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</row>
    <row r="716" spans="1:24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</row>
    <row r="717" spans="1:24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</row>
    <row r="718" spans="1:24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</row>
    <row r="719" spans="1:24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</row>
    <row r="720" spans="1:24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</row>
    <row r="721" spans="1:24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</row>
    <row r="722" spans="1:24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</row>
    <row r="723" spans="1:24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</row>
    <row r="724" spans="1:24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</row>
    <row r="725" spans="1:24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</row>
    <row r="726" spans="1:24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</row>
    <row r="727" spans="1:24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</row>
    <row r="728" spans="1:24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</row>
    <row r="729" spans="1:24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</row>
    <row r="730" spans="1:24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</row>
    <row r="731" spans="1:24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</row>
    <row r="732" spans="1:24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</row>
    <row r="733" spans="1:24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</row>
    <row r="734" spans="1:24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</row>
    <row r="735" spans="1:24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</row>
    <row r="736" spans="1:24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</row>
    <row r="737" spans="1:24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</row>
    <row r="738" spans="1:24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</row>
    <row r="739" spans="1:24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</row>
    <row r="740" spans="1:24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</row>
    <row r="741" spans="1:24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</row>
    <row r="742" spans="1:24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</row>
    <row r="743" spans="1:24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</row>
    <row r="744" spans="1:24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</row>
    <row r="745" spans="1:24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</row>
    <row r="746" spans="1:24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</row>
    <row r="747" spans="1:24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</row>
    <row r="748" spans="1:24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</row>
    <row r="749" spans="1:24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</row>
    <row r="750" spans="1:24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</row>
    <row r="751" spans="1:24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</row>
    <row r="752" spans="1:24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</row>
    <row r="753" spans="1:24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</row>
    <row r="754" spans="1:24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</row>
    <row r="755" spans="1:24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</row>
    <row r="756" spans="1:24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</row>
    <row r="757" spans="1:24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</row>
    <row r="758" spans="1:24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</row>
    <row r="759" spans="1:24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</row>
    <row r="760" spans="1:24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</row>
    <row r="761" spans="1:24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</row>
    <row r="762" spans="1:24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</row>
    <row r="763" spans="1:24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</row>
    <row r="764" spans="1:24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</row>
    <row r="765" spans="1:24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</row>
    <row r="766" spans="1:24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</row>
    <row r="767" spans="1:24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</row>
    <row r="768" spans="1:24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</row>
    <row r="769" spans="1:24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</row>
    <row r="770" spans="1:24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</row>
    <row r="771" spans="1:24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</row>
    <row r="772" spans="1:24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</row>
    <row r="773" spans="1:24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</row>
    <row r="774" spans="1:24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</row>
    <row r="775" spans="1:24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</row>
    <row r="776" spans="1:24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</row>
    <row r="777" spans="1:24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</row>
    <row r="778" spans="1:24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</row>
    <row r="779" spans="1:24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</row>
    <row r="780" spans="1:24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</row>
    <row r="781" spans="1:24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</row>
    <row r="782" spans="1:24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</row>
    <row r="783" spans="1:24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</row>
    <row r="784" spans="1:24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</row>
    <row r="785" spans="1:24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</row>
    <row r="786" spans="1:24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</row>
    <row r="787" spans="1:24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</row>
    <row r="788" spans="1:24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</row>
    <row r="789" spans="1:24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</row>
    <row r="790" spans="1:24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</row>
    <row r="791" spans="1:24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</row>
    <row r="792" spans="1:24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</row>
    <row r="793" spans="1:24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</row>
    <row r="794" spans="1:24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</row>
    <row r="795" spans="1:24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</row>
    <row r="796" spans="1:24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</row>
    <row r="797" spans="1:24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</row>
    <row r="798" spans="1:24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</row>
    <row r="799" spans="1:24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</row>
    <row r="800" spans="1:24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</row>
    <row r="801" spans="1:24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</row>
    <row r="802" spans="1:24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</row>
    <row r="803" spans="1:24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</row>
    <row r="804" spans="1:24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</row>
    <row r="805" spans="1:24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</row>
    <row r="806" spans="1:24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</row>
    <row r="807" spans="1:24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</row>
    <row r="808" spans="1:24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</row>
    <row r="809" spans="1:24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</row>
    <row r="810" spans="1:24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</row>
    <row r="811" spans="1:24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</row>
    <row r="812" spans="1:24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</row>
    <row r="813" spans="1:24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</row>
    <row r="814" spans="1:24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</row>
    <row r="815" spans="1:24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</row>
    <row r="816" spans="1:24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</row>
    <row r="817" spans="1:24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</row>
    <row r="818" spans="1:24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</row>
    <row r="819" spans="1:24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</row>
    <row r="820" spans="1:24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</row>
    <row r="821" spans="1:24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</row>
    <row r="822" spans="1:24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</row>
    <row r="823" spans="1:24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</row>
    <row r="824" spans="1:24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</row>
    <row r="825" spans="1:24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</row>
    <row r="826" spans="1:24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</row>
    <row r="827" spans="1:24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</row>
    <row r="828" spans="1:24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</row>
    <row r="829" spans="1:24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</row>
    <row r="830" spans="1:24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</row>
    <row r="831" spans="1:24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</row>
    <row r="832" spans="1:24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</row>
    <row r="833" spans="1:24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</row>
    <row r="834" spans="1:24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</row>
    <row r="835" spans="1:24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</row>
    <row r="836" spans="1:24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</row>
    <row r="837" spans="1:24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</row>
    <row r="838" spans="1:24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</row>
    <row r="839" spans="1:24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</row>
    <row r="840" spans="1:24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</row>
    <row r="841" spans="1:24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</row>
    <row r="842" spans="1:24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</row>
    <row r="843" spans="1:24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</row>
    <row r="844" spans="1:24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</row>
    <row r="845" spans="1:24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</row>
    <row r="846" spans="1:24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</row>
    <row r="847" spans="1:24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</row>
    <row r="848" spans="1:24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</row>
    <row r="849" spans="1:24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</row>
    <row r="850" spans="1:24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</row>
    <row r="851" spans="1:24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</row>
    <row r="852" spans="1:24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</row>
    <row r="853" spans="1:24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</row>
    <row r="854" spans="1:24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</row>
    <row r="855" spans="1:24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</row>
    <row r="856" spans="1:24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</row>
    <row r="857" spans="1:24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</row>
    <row r="858" spans="1:24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</row>
    <row r="859" spans="1:24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</row>
    <row r="860" spans="1:24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</row>
    <row r="861" spans="1:24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</row>
    <row r="862" spans="1:24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</row>
    <row r="863" spans="1:24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</row>
    <row r="864" spans="1:24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</row>
    <row r="865" spans="1:24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</row>
    <row r="866" spans="1:24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</row>
    <row r="867" spans="1:24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</row>
    <row r="868" spans="1:24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</row>
    <row r="869" spans="1:24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</row>
    <row r="870" spans="1:24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</row>
    <row r="871" spans="1:24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</row>
    <row r="872" spans="1:24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</row>
    <row r="873" spans="1:24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</row>
    <row r="874" spans="1:24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</row>
    <row r="875" spans="1:24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</row>
    <row r="876" spans="1:24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</row>
    <row r="877" spans="1:24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</row>
    <row r="878" spans="1:24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</row>
    <row r="879" spans="1:24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</row>
    <row r="880" spans="1:24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</row>
    <row r="881" spans="1:24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</row>
    <row r="882" spans="1:24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</row>
    <row r="883" spans="1:24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</row>
    <row r="884" spans="1:24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</row>
    <row r="885" spans="1:24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</row>
    <row r="886" spans="1:24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</row>
    <row r="887" spans="1:24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</row>
    <row r="888" spans="1:24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</row>
    <row r="889" spans="1:24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</row>
    <row r="890" spans="1:24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</row>
    <row r="891" spans="1:24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</row>
    <row r="892" spans="1:24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</row>
    <row r="893" spans="1:24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</row>
    <row r="894" spans="1:24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</row>
    <row r="895" spans="1:24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</row>
    <row r="896" spans="1:24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</row>
    <row r="897" spans="1:24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</row>
    <row r="898" spans="1:24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</row>
    <row r="899" spans="1:24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</row>
    <row r="900" spans="1:24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</row>
    <row r="901" spans="1:24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</row>
    <row r="902" spans="1:24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</row>
    <row r="903" spans="1:24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</row>
    <row r="904" spans="1:24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</row>
    <row r="905" spans="1:24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</row>
    <row r="906" spans="1:24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</row>
    <row r="907" spans="1:24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</row>
    <row r="908" spans="1:24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</row>
    <row r="909" spans="1:24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</row>
    <row r="910" spans="1:24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</row>
    <row r="911" spans="1:24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</row>
    <row r="912" spans="1:24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</row>
    <row r="913" spans="1:24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</row>
    <row r="914" spans="1:24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</row>
    <row r="915" spans="1:24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</row>
    <row r="916" spans="1:24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</row>
    <row r="917" spans="1:24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</row>
    <row r="918" spans="1:24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</row>
    <row r="919" spans="1:24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</row>
    <row r="920" spans="1:24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</row>
    <row r="921" spans="1:24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</row>
    <row r="922" spans="1:24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</row>
    <row r="923" spans="1:24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</row>
    <row r="924" spans="1:24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</row>
    <row r="925" spans="1:24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</row>
    <row r="926" spans="1:24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</row>
    <row r="927" spans="1:24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</row>
    <row r="928" spans="1:24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</row>
    <row r="929" spans="1:24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</row>
    <row r="930" spans="1:24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</row>
    <row r="931" spans="1:24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</row>
    <row r="932" spans="1:24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</row>
    <row r="933" spans="1:24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</row>
    <row r="934" spans="1:24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</row>
    <row r="935" spans="1:24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</row>
    <row r="936" spans="1:24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</row>
    <row r="937" spans="1:24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</row>
    <row r="938" spans="1:24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</row>
    <row r="939" spans="1:24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</row>
    <row r="940" spans="1:24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</row>
    <row r="941" spans="1:24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</row>
    <row r="942" spans="1:24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</row>
    <row r="943" spans="1:24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</row>
    <row r="944" spans="1:24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</row>
    <row r="945" spans="1:24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</row>
    <row r="946" spans="1:24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</row>
    <row r="947" spans="1:24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</row>
    <row r="948" spans="1:24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</row>
    <row r="949" spans="1:24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</row>
    <row r="950" spans="1:24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</row>
    <row r="951" spans="1:24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</row>
    <row r="952" spans="1:24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</row>
    <row r="953" spans="1:24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</row>
    <row r="954" spans="1:24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</row>
    <row r="955" spans="1:24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</row>
    <row r="956" spans="1:24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</row>
    <row r="957" spans="1:24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</row>
    <row r="958" spans="1:24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</row>
    <row r="959" spans="1:24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</row>
    <row r="960" spans="1:24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</row>
    <row r="961" spans="1:24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</row>
    <row r="962" spans="1:24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</row>
    <row r="963" spans="1:24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</row>
    <row r="964" spans="1:24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</row>
    <row r="965" spans="1:24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</row>
    <row r="966" spans="1:24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</row>
    <row r="967" spans="1:24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</row>
    <row r="968" spans="1:24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</row>
    <row r="969" spans="1:24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</row>
    <row r="970" spans="1:24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</row>
    <row r="971" spans="1:24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</row>
    <row r="972" spans="1:24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</row>
    <row r="973" spans="1:24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</row>
    <row r="974" spans="1:24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</row>
    <row r="975" spans="1:24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</row>
    <row r="976" spans="1:24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</row>
    <row r="977" spans="1:24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</row>
    <row r="978" spans="1:24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</row>
    <row r="979" spans="1:24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</row>
    <row r="980" spans="1:24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</row>
    <row r="981" spans="1:24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</row>
    <row r="982" spans="1:24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</row>
    <row r="983" spans="1:24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</row>
    <row r="984" spans="1:24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</row>
    <row r="985" spans="1:24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</row>
    <row r="986" spans="1:24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</row>
    <row r="987" spans="1:24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</row>
    <row r="988" spans="1:24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</row>
    <row r="989" spans="1:24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</row>
    <row r="990" spans="1:24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</row>
    <row r="991" spans="1:24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</row>
    <row r="992" spans="1:24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</row>
    <row r="993" spans="1:24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</row>
    <row r="994" spans="1:24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</row>
    <row r="995" spans="1:24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</row>
    <row r="996" spans="1:24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</row>
    <row r="997" spans="1:24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</row>
    <row r="998" spans="1:24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</row>
    <row r="999" spans="1:24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</row>
    <row r="1000" spans="1:24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</row>
    <row r="1001" spans="1:24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</row>
    <row r="1002" spans="1:24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</row>
    <row r="1003" spans="1:24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</row>
    <row r="1004" spans="1:24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</row>
    <row r="1005" spans="1:24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</row>
    <row r="1006" spans="1:24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</row>
    <row r="1007" spans="1:24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</row>
    <row r="1008" spans="1:24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</row>
    <row r="1009" spans="1:24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</row>
    <row r="1010" spans="1:24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</row>
    <row r="1011" spans="1:24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</row>
    <row r="1012" spans="1:24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</row>
    <row r="1013" spans="1:24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</row>
    <row r="1014" spans="1:24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</row>
    <row r="1015" spans="1:24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</row>
    <row r="1016" spans="1:24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</row>
    <row r="1017" spans="1:24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</row>
    <row r="1018" spans="1:24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</row>
    <row r="1019" spans="1:24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</row>
    <row r="1020" spans="1:24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</row>
    <row r="1021" spans="1:24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</row>
    <row r="1022" spans="1:24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</row>
    <row r="1023" spans="1:24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</row>
    <row r="1024" spans="1:24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</row>
    <row r="1025" spans="1:24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</row>
    <row r="1026" spans="1:24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</row>
    <row r="1027" spans="1:24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</row>
    <row r="1028" spans="1:24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</row>
    <row r="1029" spans="1:24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</row>
    <row r="1030" spans="1:24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</row>
    <row r="1031" spans="1:24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</row>
    <row r="1032" spans="1:24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</row>
    <row r="1033" spans="1:24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</row>
    <row r="1034" spans="1:24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</row>
    <row r="1035" spans="1:24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</row>
    <row r="1036" spans="1:24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</row>
    <row r="1037" spans="1:24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</row>
    <row r="1038" spans="1:24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</row>
    <row r="1039" spans="1:24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</row>
    <row r="1040" spans="1:24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</row>
    <row r="1041" spans="1:24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</row>
    <row r="1042" spans="1:24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</row>
    <row r="1043" spans="1:24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</row>
    <row r="1044" spans="1:24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</row>
    <row r="1045" spans="1:24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</row>
    <row r="1046" spans="1:24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</row>
    <row r="1047" spans="1:24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</row>
    <row r="1048" spans="1:24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</row>
    <row r="1049" spans="1:24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</row>
    <row r="1050" spans="1:24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</row>
    <row r="1051" spans="1:24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</row>
    <row r="1052" spans="1:24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</row>
    <row r="1053" spans="1:24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</row>
    <row r="1054" spans="1:24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</row>
    <row r="1055" spans="1:24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</row>
    <row r="1056" spans="1:24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</row>
    <row r="1057" spans="1:24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</row>
    <row r="1058" spans="1:24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</row>
    <row r="1059" spans="1:24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</row>
    <row r="1060" spans="1:24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</row>
    <row r="1061" spans="1:24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</row>
    <row r="1062" spans="1:24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</row>
    <row r="1063" spans="1:24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</row>
    <row r="1064" spans="1:24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</row>
    <row r="1065" spans="1:24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</row>
    <row r="1066" spans="1:24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</row>
    <row r="1067" spans="1:24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</row>
    <row r="1068" spans="1:24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</row>
    <row r="1069" spans="1:24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</row>
    <row r="1070" spans="1:24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</row>
    <row r="1071" spans="1:24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</row>
    <row r="1072" spans="1:24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</row>
    <row r="1073" spans="1:24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</row>
    <row r="1074" spans="1:24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</row>
    <row r="1075" spans="1:24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</row>
    <row r="1076" spans="1:24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</row>
    <row r="1077" spans="1:24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</row>
    <row r="1078" spans="1:24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</row>
    <row r="1079" spans="1:24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</row>
    <row r="1080" spans="1:24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</row>
    <row r="1081" spans="1:24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</row>
    <row r="1082" spans="1:24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</row>
    <row r="1083" spans="1:24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</row>
    <row r="1084" spans="1:24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</row>
    <row r="1085" spans="1:24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</row>
    <row r="1086" spans="1:24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</row>
    <row r="1087" spans="1:24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</row>
    <row r="1088" spans="1:24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</row>
    <row r="1089" spans="1:24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</row>
    <row r="1090" spans="1:24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</row>
    <row r="1091" spans="1:24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</row>
    <row r="1092" spans="1:24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</row>
    <row r="1093" spans="1:24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</row>
    <row r="1094" spans="1:24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</row>
    <row r="1095" spans="1:24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</row>
    <row r="1096" spans="1:24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</row>
    <row r="1097" spans="1:24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</row>
    <row r="1098" spans="1:24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</row>
    <row r="1099" spans="1:24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</row>
    <row r="1100" spans="1:24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</row>
    <row r="1101" spans="1:24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</row>
    <row r="1102" spans="1:24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</row>
    <row r="1103" spans="1:24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</row>
    <row r="1104" spans="1:24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</row>
    <row r="1105" spans="1:24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</row>
    <row r="1106" spans="1:24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</row>
    <row r="1107" spans="1:24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</row>
    <row r="1108" spans="1:24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</row>
    <row r="1109" spans="1:24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</row>
    <row r="1110" spans="1:24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</row>
    <row r="1111" spans="1:24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</row>
    <row r="1112" spans="1:24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</row>
    <row r="1113" spans="1:24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</row>
    <row r="1114" spans="1:24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</row>
    <row r="1115" spans="1:24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</row>
    <row r="1116" spans="1:24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</row>
    <row r="1117" spans="1:24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</row>
    <row r="1118" spans="1:24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</row>
    <row r="1119" spans="1:24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</row>
    <row r="1120" spans="1:24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</row>
    <row r="1121" spans="1:24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</row>
    <row r="1122" spans="1:24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</row>
    <row r="1123" spans="1:24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</row>
    <row r="1124" spans="1:24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</row>
    <row r="1125" spans="1:24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</row>
    <row r="1126" spans="1:24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</row>
    <row r="1127" spans="1:24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</row>
    <row r="1128" spans="1:24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</row>
    <row r="1129" spans="1:24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</row>
    <row r="1130" spans="1:24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</row>
    <row r="1131" spans="1:24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</row>
    <row r="1132" spans="1:24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</row>
    <row r="1133" spans="1:24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</row>
    <row r="1134" spans="1:24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</row>
    <row r="1135" spans="1:24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</row>
    <row r="1136" spans="1:24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</row>
    <row r="1137" spans="1:24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</row>
    <row r="1138" spans="1:24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</row>
    <row r="1139" spans="1:24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</row>
    <row r="1140" spans="1:24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</row>
    <row r="1141" spans="1:24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</row>
    <row r="1142" spans="1:24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</row>
    <row r="1143" spans="1:24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</row>
    <row r="1144" spans="1:24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</row>
    <row r="1145" spans="1:24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</row>
    <row r="1146" spans="1:24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</row>
    <row r="1147" spans="1:24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</row>
    <row r="1148" spans="1:24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</row>
    <row r="1149" spans="1:24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</row>
    <row r="1150" spans="1:24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</row>
    <row r="1151" spans="1:24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</row>
    <row r="1152" spans="1:24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</row>
    <row r="1153" spans="3:24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</row>
    <row r="1154" spans="3:24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</row>
  </sheetData>
  <mergeCells count="1">
    <mergeCell ref="A1:A2"/>
  </mergeCells>
  <conditionalFormatting sqref="J7:X7">
    <cfRule type="expression" dxfId="76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topLeftCell="C1" zoomScale="85" zoomScaleNormal="85" workbookViewId="0">
      <pane ySplit="4" topLeftCell="A5" activePane="bottomLeft" state="frozen"/>
      <selection pane="bottomLeft" activeCell="W6" sqref="W6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71" t="s">
        <v>142</v>
      </c>
      <c r="C1" s="2" t="s">
        <v>0</v>
      </c>
      <c r="D1" s="2"/>
      <c r="J1" s="44" t="s">
        <v>196</v>
      </c>
      <c r="K1" s="45"/>
      <c r="L1" s="45"/>
      <c r="M1" s="45"/>
      <c r="N1" s="45"/>
      <c r="O1" s="45"/>
      <c r="P1" s="45"/>
      <c r="Q1" s="45"/>
      <c r="R1" s="58" t="s">
        <v>195</v>
      </c>
      <c r="S1" s="59"/>
      <c r="T1" s="44" t="s">
        <v>206</v>
      </c>
      <c r="U1" s="44" t="s">
        <v>267</v>
      </c>
      <c r="V1" s="44"/>
      <c r="W1" s="110" t="s">
        <v>37</v>
      </c>
      <c r="X1" s="111"/>
    </row>
    <row r="2" spans="1:24" s="2" customFormat="1" x14ac:dyDescent="0.25">
      <c r="A2" s="171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19" t="s">
        <v>197</v>
      </c>
      <c r="K3" s="120"/>
      <c r="L3" s="120"/>
      <c r="M3" s="120"/>
      <c r="N3" s="120"/>
      <c r="O3" s="120"/>
      <c r="P3" s="120"/>
      <c r="Q3" s="120"/>
      <c r="R3" s="119" t="s">
        <v>12</v>
      </c>
      <c r="S3" s="121"/>
      <c r="T3" s="130"/>
      <c r="U3" s="119" t="s">
        <v>268</v>
      </c>
      <c r="V3" s="121"/>
      <c r="W3" s="119" t="s">
        <v>15</v>
      </c>
      <c r="X3" s="121"/>
    </row>
    <row r="4" spans="1:24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122" t="s">
        <v>198</v>
      </c>
      <c r="K4" s="123" t="s">
        <v>199</v>
      </c>
      <c r="L4" s="123" t="s">
        <v>200</v>
      </c>
      <c r="M4" s="123" t="s">
        <v>201</v>
      </c>
      <c r="N4" s="123" t="s">
        <v>202</v>
      </c>
      <c r="O4" s="123" t="s">
        <v>203</v>
      </c>
      <c r="P4" s="123" t="s">
        <v>204</v>
      </c>
      <c r="Q4" s="123" t="s">
        <v>205</v>
      </c>
      <c r="R4" s="122" t="s">
        <v>13</v>
      </c>
      <c r="S4" s="124" t="s">
        <v>14</v>
      </c>
      <c r="T4" s="131" t="s">
        <v>39</v>
      </c>
      <c r="U4" s="122" t="s">
        <v>269</v>
      </c>
      <c r="V4" s="124" t="s">
        <v>270</v>
      </c>
      <c r="W4" s="122" t="s">
        <v>271</v>
      </c>
      <c r="X4" s="124" t="s">
        <v>272</v>
      </c>
    </row>
    <row r="5" spans="1:24" x14ac:dyDescent="0.25">
      <c r="A5" s="14"/>
      <c r="C5" s="1" t="s">
        <v>1101</v>
      </c>
      <c r="J5" s="60">
        <f>SUBTOTAL(109,oth_T[kp_prev_f_pwid])</f>
        <v>0</v>
      </c>
      <c r="K5" s="60">
        <f>SUBTOTAL(109,oth_T[kp_prev_fsw])</f>
        <v>0</v>
      </c>
      <c r="L5" s="60">
        <f>SUBTOTAL(109,oth_T[kp_prev_m_pwid])</f>
        <v>0</v>
      </c>
      <c r="M5" s="60">
        <f>SUBTOTAL(109,oth_T[kp_prev_msm_notsw])</f>
        <v>0</v>
      </c>
      <c r="N5" s="60">
        <f>SUBTOTAL(109,oth_T[kp_prev_msm_sw])</f>
        <v>0</v>
      </c>
      <c r="O5" s="60">
        <f>SUBTOTAL(109,oth_T[kp_prev_prison])</f>
        <v>0</v>
      </c>
      <c r="P5" s="60">
        <f>SUBTOTAL(109,oth_T[kp_prev_tg_notsw])</f>
        <v>0</v>
      </c>
      <c r="Q5" s="60">
        <f>SUBTOTAL(109,oth_T[kp_prev_tg_sw])</f>
        <v>0</v>
      </c>
      <c r="R5" s="60">
        <f>SUBTOTAL(109,oth_T[kp_mat_f])</f>
        <v>0</v>
      </c>
      <c r="S5" s="60">
        <f>SUBTOTAL(109,oth_T[kp_mat_m])</f>
        <v>0</v>
      </c>
      <c r="T5" s="60">
        <f>SUBTOTAL(109,oth_T[ovc_hivstat])</f>
        <v>0</v>
      </c>
      <c r="U5" s="60">
        <f>SUBTOTAL(109,oth_T[D_pmtct_art_already_fy19])</f>
        <v>0</v>
      </c>
      <c r="V5" s="60">
        <f>SUBTOTAL(109,oth_T[D_pmtct_art_new_fy19])</f>
        <v>0</v>
      </c>
      <c r="W5" s="60">
        <f>SUBTOTAL(109,oth_T[D_pmtct_eid_u2mo_fy19 ])</f>
        <v>0</v>
      </c>
      <c r="X5" s="60">
        <f>SUBTOTAL(109,oth_T[D_pmtct_eid_o2mo_fy19])</f>
        <v>0</v>
      </c>
    </row>
    <row r="6" spans="1:24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170" t="s">
        <v>483</v>
      </c>
      <c r="K6" s="170" t="s">
        <v>484</v>
      </c>
      <c r="L6" s="170" t="s">
        <v>485</v>
      </c>
      <c r="M6" s="170" t="s">
        <v>486</v>
      </c>
      <c r="N6" s="170" t="s">
        <v>487</v>
      </c>
      <c r="O6" s="170" t="s">
        <v>488</v>
      </c>
      <c r="P6" s="170" t="s">
        <v>489</v>
      </c>
      <c r="Q6" s="170" t="s">
        <v>490</v>
      </c>
      <c r="R6" s="26" t="s">
        <v>481</v>
      </c>
      <c r="S6" s="26" t="s">
        <v>482</v>
      </c>
      <c r="T6" s="170" t="s">
        <v>539</v>
      </c>
      <c r="U6" s="26" t="s">
        <v>920</v>
      </c>
      <c r="V6" s="26" t="s">
        <v>919</v>
      </c>
      <c r="W6" s="170" t="s">
        <v>1640</v>
      </c>
      <c r="X6" s="26" t="s">
        <v>1130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kp_mat_T[kp_mat_f]</f>
        <v>0</v>
      </c>
      <c r="S7" s="42">
        <f>kp_mat_T[kp_mat_m]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4"/>
      <c r="E12"/>
      <c r="F12"/>
      <c r="G12"/>
      <c r="H12"/>
      <c r="I12" s="104"/>
    </row>
    <row r="13" spans="1:24" x14ac:dyDescent="0.25">
      <c r="A13" s="19"/>
      <c r="C13"/>
      <c r="D13" s="104"/>
      <c r="E13"/>
      <c r="F13"/>
      <c r="G13"/>
      <c r="H13"/>
      <c r="I13" s="104"/>
      <c r="K13" s="19"/>
    </row>
    <row r="14" spans="1:24" x14ac:dyDescent="0.25">
      <c r="A14" s="19"/>
      <c r="C14"/>
      <c r="D14" s="104"/>
      <c r="E14"/>
      <c r="F14"/>
      <c r="G14"/>
      <c r="H14"/>
      <c r="I14" s="104"/>
      <c r="K14" s="19"/>
    </row>
    <row r="15" spans="1:24" x14ac:dyDescent="0.25">
      <c r="A15" s="19"/>
      <c r="C15"/>
      <c r="D15" s="104"/>
      <c r="E15"/>
      <c r="F15"/>
      <c r="G15"/>
      <c r="H15"/>
      <c r="I15" s="104"/>
      <c r="K15" s="19"/>
    </row>
    <row r="16" spans="1:24" x14ac:dyDescent="0.25">
      <c r="A16" s="19"/>
      <c r="C16"/>
      <c r="D16" s="104"/>
      <c r="E16"/>
      <c r="F16"/>
      <c r="G16"/>
      <c r="H16"/>
      <c r="I16" s="104"/>
      <c r="K16" s="19"/>
    </row>
    <row r="17" spans="1:9" x14ac:dyDescent="0.25">
      <c r="A17" s="19"/>
      <c r="C17"/>
      <c r="D17" s="104"/>
      <c r="E17"/>
      <c r="F17"/>
      <c r="G17"/>
      <c r="H17"/>
      <c r="I17" s="104"/>
    </row>
    <row r="18" spans="1:9" x14ac:dyDescent="0.25">
      <c r="A18" s="19"/>
      <c r="C18"/>
      <c r="D18" s="104"/>
      <c r="E18"/>
      <c r="F18"/>
      <c r="G18"/>
      <c r="H18"/>
      <c r="I18" s="104"/>
    </row>
    <row r="19" spans="1:9" x14ac:dyDescent="0.25">
      <c r="A19" s="19"/>
      <c r="C19"/>
      <c r="D19" s="104"/>
      <c r="E19"/>
      <c r="F19"/>
      <c r="G19"/>
      <c r="H19"/>
      <c r="I19" s="104"/>
    </row>
    <row r="20" spans="1:9" x14ac:dyDescent="0.25">
      <c r="A20" s="19"/>
      <c r="C20"/>
      <c r="D20" s="104"/>
      <c r="E20"/>
      <c r="F20"/>
      <c r="G20"/>
      <c r="H20"/>
      <c r="I20" s="104"/>
    </row>
    <row r="21" spans="1:9" x14ac:dyDescent="0.25">
      <c r="A21" s="19"/>
      <c r="C21"/>
      <c r="D21" s="104"/>
      <c r="E21"/>
      <c r="F21"/>
      <c r="G21"/>
      <c r="H21"/>
      <c r="I21" s="104"/>
    </row>
    <row r="22" spans="1:9" x14ac:dyDescent="0.25">
      <c r="A22" s="19"/>
      <c r="C22"/>
      <c r="D22" s="104"/>
      <c r="E22"/>
      <c r="F22"/>
      <c r="G22"/>
      <c r="H22"/>
      <c r="I22" s="104"/>
    </row>
    <row r="23" spans="1:9" x14ac:dyDescent="0.25">
      <c r="A23" s="19"/>
      <c r="C23"/>
      <c r="D23" s="104"/>
      <c r="E23"/>
      <c r="F23"/>
      <c r="G23"/>
      <c r="H23"/>
      <c r="I23" s="104"/>
    </row>
    <row r="24" spans="1:9" x14ac:dyDescent="0.25">
      <c r="A24" s="19"/>
      <c r="C24"/>
      <c r="D24" s="104"/>
      <c r="E24"/>
      <c r="F24"/>
      <c r="G24"/>
      <c r="H24"/>
      <c r="I24" s="104"/>
    </row>
    <row r="25" spans="1:9" x14ac:dyDescent="0.25">
      <c r="A25" s="19"/>
      <c r="C25"/>
      <c r="D25" s="104"/>
      <c r="E25"/>
      <c r="F25"/>
      <c r="G25"/>
      <c r="H25"/>
      <c r="I25" s="104"/>
    </row>
    <row r="26" spans="1:9" x14ac:dyDescent="0.25">
      <c r="A26" s="19"/>
      <c r="C26"/>
      <c r="D26" s="104"/>
      <c r="E26"/>
      <c r="F26"/>
      <c r="G26"/>
      <c r="H26"/>
      <c r="I26" s="104"/>
    </row>
    <row r="27" spans="1:9" x14ac:dyDescent="0.25">
      <c r="A27" s="19"/>
      <c r="C27"/>
      <c r="D27" s="104"/>
      <c r="E27"/>
      <c r="F27"/>
      <c r="G27"/>
      <c r="H27"/>
      <c r="I27" s="104"/>
    </row>
    <row r="28" spans="1:9" x14ac:dyDescent="0.25">
      <c r="A28" s="19"/>
      <c r="C28"/>
      <c r="D28" s="104"/>
      <c r="E28"/>
      <c r="F28"/>
      <c r="G28"/>
      <c r="H28"/>
      <c r="I28" s="104"/>
    </row>
    <row r="29" spans="1:9" x14ac:dyDescent="0.25">
      <c r="A29" s="19"/>
      <c r="C29"/>
      <c r="D29" s="104"/>
      <c r="E29"/>
      <c r="F29"/>
      <c r="G29"/>
      <c r="H29"/>
      <c r="I29" s="104"/>
    </row>
    <row r="30" spans="1:9" x14ac:dyDescent="0.25">
      <c r="A30" s="19"/>
      <c r="C30"/>
      <c r="D30" s="104"/>
      <c r="E30"/>
      <c r="F30"/>
      <c r="G30"/>
      <c r="H30"/>
      <c r="I30" s="104"/>
    </row>
    <row r="31" spans="1:9" x14ac:dyDescent="0.25">
      <c r="A31" s="19"/>
      <c r="C31"/>
      <c r="D31" s="104"/>
      <c r="E31"/>
      <c r="F31"/>
      <c r="G31"/>
      <c r="H31"/>
      <c r="I31" s="104"/>
    </row>
    <row r="32" spans="1:9" x14ac:dyDescent="0.25">
      <c r="A32" s="19"/>
      <c r="C32"/>
      <c r="D32" s="104"/>
      <c r="E32"/>
      <c r="F32"/>
      <c r="G32"/>
      <c r="H32"/>
      <c r="I32" s="104"/>
    </row>
    <row r="33" spans="1:9" x14ac:dyDescent="0.25">
      <c r="A33" s="19"/>
      <c r="C33"/>
      <c r="D33" s="104"/>
      <c r="E33"/>
      <c r="F33"/>
      <c r="G33"/>
      <c r="H33"/>
      <c r="I33" s="104"/>
    </row>
    <row r="34" spans="1:9" x14ac:dyDescent="0.25">
      <c r="A34" s="19"/>
      <c r="C34"/>
      <c r="D34" s="104"/>
      <c r="E34"/>
      <c r="F34"/>
      <c r="G34"/>
      <c r="H34"/>
      <c r="I34" s="104"/>
    </row>
    <row r="35" spans="1:9" x14ac:dyDescent="0.25">
      <c r="A35" s="19"/>
      <c r="C35"/>
      <c r="D35" s="104"/>
      <c r="E35"/>
      <c r="F35"/>
      <c r="G35"/>
      <c r="H35"/>
      <c r="I35" s="104"/>
    </row>
    <row r="36" spans="1:9" x14ac:dyDescent="0.25">
      <c r="A36" s="19"/>
      <c r="C36"/>
      <c r="D36" s="104"/>
      <c r="E36"/>
      <c r="F36"/>
      <c r="G36"/>
      <c r="H36"/>
      <c r="I36" s="104"/>
    </row>
    <row r="37" spans="1:9" x14ac:dyDescent="0.25">
      <c r="A37" s="19"/>
      <c r="C37"/>
      <c r="D37" s="104"/>
      <c r="E37"/>
      <c r="F37"/>
      <c r="G37"/>
      <c r="H37"/>
      <c r="I37" s="104"/>
    </row>
    <row r="38" spans="1:9" x14ac:dyDescent="0.25">
      <c r="A38" s="19"/>
      <c r="C38"/>
      <c r="D38" s="104"/>
      <c r="E38"/>
      <c r="F38"/>
      <c r="G38"/>
      <c r="H38"/>
      <c r="I38" s="104"/>
    </row>
    <row r="39" spans="1:9" x14ac:dyDescent="0.25">
      <c r="A39" s="19"/>
      <c r="C39"/>
      <c r="D39" s="104"/>
      <c r="E39"/>
      <c r="F39"/>
      <c r="G39"/>
      <c r="H39"/>
      <c r="I39" s="104"/>
    </row>
    <row r="40" spans="1:9" x14ac:dyDescent="0.25">
      <c r="A40" s="19"/>
      <c r="C40"/>
      <c r="D40" s="104"/>
      <c r="E40"/>
      <c r="F40"/>
      <c r="G40"/>
      <c r="H40"/>
      <c r="I40" s="104"/>
    </row>
    <row r="41" spans="1:9" x14ac:dyDescent="0.25">
      <c r="A41" s="19"/>
      <c r="C41"/>
      <c r="D41" s="104"/>
      <c r="E41"/>
      <c r="F41"/>
      <c r="G41"/>
      <c r="H41"/>
      <c r="I41" s="104"/>
    </row>
    <row r="42" spans="1:9" x14ac:dyDescent="0.25">
      <c r="A42" s="19"/>
      <c r="C42"/>
      <c r="D42" s="104"/>
      <c r="E42"/>
      <c r="F42"/>
      <c r="G42"/>
      <c r="H42"/>
      <c r="I42" s="104"/>
    </row>
    <row r="43" spans="1:9" x14ac:dyDescent="0.25">
      <c r="A43" s="19"/>
      <c r="C43"/>
      <c r="D43" s="104"/>
      <c r="E43"/>
      <c r="F43"/>
      <c r="G43"/>
      <c r="H43"/>
      <c r="I43" s="104"/>
    </row>
    <row r="44" spans="1:9" x14ac:dyDescent="0.25">
      <c r="A44" s="19"/>
      <c r="C44"/>
      <c r="D44" s="104"/>
      <c r="E44"/>
      <c r="F44"/>
      <c r="G44"/>
      <c r="H44"/>
      <c r="I44" s="104"/>
    </row>
    <row r="45" spans="1:9" x14ac:dyDescent="0.25">
      <c r="A45" s="19"/>
      <c r="C45"/>
      <c r="D45" s="104"/>
      <c r="E45"/>
      <c r="F45"/>
      <c r="G45"/>
      <c r="H45"/>
      <c r="I45" s="104"/>
    </row>
    <row r="46" spans="1:9" x14ac:dyDescent="0.25">
      <c r="A46" s="19"/>
      <c r="C46"/>
      <c r="D46" s="104"/>
      <c r="E46"/>
      <c r="F46"/>
      <c r="G46"/>
      <c r="H46"/>
      <c r="I46" s="104"/>
    </row>
    <row r="47" spans="1:9" x14ac:dyDescent="0.25">
      <c r="A47" s="19"/>
      <c r="C47"/>
      <c r="D47" s="104"/>
      <c r="E47"/>
      <c r="F47"/>
      <c r="G47"/>
      <c r="H47"/>
      <c r="I47" s="104"/>
    </row>
    <row r="48" spans="1:9" x14ac:dyDescent="0.25">
      <c r="A48" s="19"/>
      <c r="C48"/>
      <c r="D48" s="104"/>
      <c r="E48"/>
      <c r="F48"/>
      <c r="G48"/>
      <c r="H48"/>
      <c r="I48" s="104"/>
    </row>
    <row r="49" spans="1:9" x14ac:dyDescent="0.25">
      <c r="A49" s="19"/>
      <c r="C49"/>
      <c r="D49" s="104"/>
      <c r="E49"/>
      <c r="F49"/>
      <c r="G49"/>
      <c r="H49"/>
      <c r="I49" s="104"/>
    </row>
    <row r="50" spans="1:9" x14ac:dyDescent="0.25">
      <c r="A50" s="19"/>
      <c r="C50"/>
      <c r="D50" s="104"/>
      <c r="E50"/>
      <c r="F50"/>
      <c r="G50"/>
      <c r="H50"/>
      <c r="I50" s="104"/>
    </row>
    <row r="51" spans="1:9" x14ac:dyDescent="0.25">
      <c r="A51" s="19"/>
      <c r="C51"/>
      <c r="D51" s="104"/>
      <c r="E51"/>
      <c r="F51"/>
      <c r="G51"/>
      <c r="H51"/>
      <c r="I51" s="104"/>
    </row>
    <row r="52" spans="1:9" x14ac:dyDescent="0.25">
      <c r="A52" s="19"/>
      <c r="C52"/>
      <c r="D52" s="104"/>
      <c r="E52"/>
      <c r="F52"/>
      <c r="G52"/>
      <c r="H52"/>
      <c r="I52" s="104"/>
    </row>
    <row r="53" spans="1:9" x14ac:dyDescent="0.25">
      <c r="A53" s="19"/>
      <c r="C53"/>
      <c r="D53" s="104"/>
      <c r="E53"/>
      <c r="F53"/>
      <c r="G53"/>
      <c r="H53"/>
      <c r="I53" s="104"/>
    </row>
    <row r="54" spans="1:9" x14ac:dyDescent="0.25">
      <c r="A54" s="19"/>
      <c r="C54"/>
      <c r="D54" s="104"/>
      <c r="E54"/>
      <c r="F54"/>
      <c r="G54"/>
      <c r="H54"/>
      <c r="I54" s="104"/>
    </row>
    <row r="55" spans="1:9" x14ac:dyDescent="0.25">
      <c r="A55" s="19"/>
      <c r="C55"/>
      <c r="D55" s="104"/>
      <c r="E55"/>
      <c r="F55"/>
      <c r="G55"/>
      <c r="H55"/>
      <c r="I55" s="104"/>
    </row>
    <row r="56" spans="1:9" x14ac:dyDescent="0.25">
      <c r="A56" s="19"/>
      <c r="C56"/>
      <c r="D56" s="104"/>
      <c r="E56"/>
      <c r="F56"/>
      <c r="G56"/>
      <c r="H56"/>
      <c r="I56" s="104"/>
    </row>
    <row r="57" spans="1:9" x14ac:dyDescent="0.25">
      <c r="A57" s="19"/>
      <c r="C57"/>
      <c r="D57" s="104"/>
      <c r="E57"/>
      <c r="F57"/>
      <c r="G57"/>
      <c r="H57"/>
      <c r="I57" s="104"/>
    </row>
    <row r="58" spans="1:9" x14ac:dyDescent="0.25">
      <c r="A58" s="19"/>
      <c r="C58"/>
      <c r="D58" s="104"/>
      <c r="E58"/>
      <c r="F58"/>
      <c r="G58"/>
      <c r="H58"/>
      <c r="I58" s="104"/>
    </row>
    <row r="59" spans="1:9" x14ac:dyDescent="0.25">
      <c r="A59" s="19"/>
      <c r="C59"/>
      <c r="D59" s="104"/>
      <c r="E59"/>
      <c r="F59"/>
      <c r="G59"/>
      <c r="H59"/>
      <c r="I59" s="104"/>
    </row>
    <row r="60" spans="1:9" x14ac:dyDescent="0.25">
      <c r="A60" s="19"/>
      <c r="C60"/>
      <c r="D60" s="104"/>
      <c r="E60"/>
      <c r="F60"/>
      <c r="G60"/>
      <c r="H60"/>
      <c r="I60" s="104"/>
    </row>
    <row r="61" spans="1:9" x14ac:dyDescent="0.25">
      <c r="A61" s="19"/>
      <c r="C61"/>
      <c r="D61" s="104"/>
      <c r="E61"/>
      <c r="F61"/>
      <c r="G61"/>
      <c r="H61"/>
      <c r="I61" s="104"/>
    </row>
    <row r="62" spans="1:9" x14ac:dyDescent="0.25">
      <c r="A62" s="19"/>
      <c r="C62"/>
      <c r="D62" s="104"/>
      <c r="E62"/>
      <c r="F62"/>
      <c r="G62"/>
      <c r="H62"/>
      <c r="I62" s="104"/>
    </row>
    <row r="63" spans="1:9" x14ac:dyDescent="0.25">
      <c r="A63" s="19"/>
      <c r="C63"/>
      <c r="D63" s="104"/>
      <c r="E63"/>
      <c r="F63"/>
      <c r="G63"/>
      <c r="H63"/>
      <c r="I63" s="104"/>
    </row>
    <row r="64" spans="1:9" x14ac:dyDescent="0.25">
      <c r="A64" s="19"/>
      <c r="C64"/>
      <c r="D64" s="104"/>
      <c r="E64"/>
      <c r="F64"/>
      <c r="G64"/>
      <c r="H64"/>
      <c r="I64" s="104"/>
    </row>
    <row r="65" spans="1:9" x14ac:dyDescent="0.25">
      <c r="A65" s="19"/>
      <c r="C65"/>
      <c r="D65" s="104"/>
      <c r="E65"/>
      <c r="F65"/>
      <c r="G65"/>
      <c r="H65"/>
      <c r="I65" s="104"/>
    </row>
    <row r="66" spans="1:9" x14ac:dyDescent="0.25">
      <c r="A66" s="19"/>
      <c r="C66"/>
      <c r="D66" s="104"/>
      <c r="E66"/>
      <c r="F66"/>
      <c r="G66"/>
      <c r="H66"/>
      <c r="I66" s="104"/>
    </row>
    <row r="67" spans="1:9" x14ac:dyDescent="0.25">
      <c r="A67" s="19"/>
      <c r="C67"/>
      <c r="D67" s="104"/>
      <c r="E67"/>
      <c r="F67"/>
      <c r="G67"/>
      <c r="H67"/>
      <c r="I67" s="104"/>
    </row>
    <row r="68" spans="1:9" x14ac:dyDescent="0.25">
      <c r="A68" s="19"/>
      <c r="C68"/>
      <c r="D68" s="104"/>
      <c r="E68"/>
      <c r="F68"/>
      <c r="G68"/>
      <c r="H68"/>
      <c r="I68" s="104"/>
    </row>
    <row r="69" spans="1:9" x14ac:dyDescent="0.25">
      <c r="A69" s="19"/>
      <c r="C69"/>
      <c r="D69" s="104"/>
      <c r="E69"/>
      <c r="F69"/>
      <c r="G69"/>
      <c r="H69"/>
      <c r="I69" s="104"/>
    </row>
    <row r="70" spans="1:9" x14ac:dyDescent="0.25">
      <c r="A70" s="19"/>
      <c r="C70"/>
      <c r="D70" s="104"/>
      <c r="E70"/>
      <c r="F70"/>
      <c r="G70"/>
      <c r="H70"/>
      <c r="I70" s="104"/>
    </row>
    <row r="71" spans="1:9" x14ac:dyDescent="0.25">
      <c r="A71" s="19"/>
      <c r="C71"/>
      <c r="D71" s="104"/>
      <c r="E71"/>
      <c r="F71"/>
      <c r="G71"/>
      <c r="H71"/>
      <c r="I71" s="104"/>
    </row>
    <row r="72" spans="1:9" x14ac:dyDescent="0.25">
      <c r="A72" s="19"/>
      <c r="C72"/>
      <c r="D72" s="104"/>
      <c r="E72"/>
      <c r="F72"/>
      <c r="G72"/>
      <c r="H72"/>
      <c r="I72" s="104"/>
    </row>
    <row r="73" spans="1:9" x14ac:dyDescent="0.25">
      <c r="A73" s="19"/>
      <c r="C73"/>
      <c r="D73" s="104"/>
      <c r="E73"/>
      <c r="F73"/>
      <c r="G73"/>
      <c r="H73"/>
      <c r="I73" s="104"/>
    </row>
    <row r="74" spans="1:9" x14ac:dyDescent="0.25">
      <c r="A74" s="19"/>
      <c r="C74"/>
      <c r="D74" s="104"/>
      <c r="E74"/>
      <c r="F74"/>
      <c r="G74"/>
      <c r="H74"/>
      <c r="I74" s="104"/>
    </row>
    <row r="75" spans="1:9" x14ac:dyDescent="0.25">
      <c r="A75" s="19"/>
      <c r="C75"/>
      <c r="D75" s="104"/>
      <c r="E75"/>
      <c r="F75"/>
      <c r="G75"/>
      <c r="H75"/>
      <c r="I75" s="104"/>
    </row>
    <row r="76" spans="1:9" x14ac:dyDescent="0.25">
      <c r="A76" s="19"/>
      <c r="C76"/>
      <c r="D76" s="104"/>
      <c r="E76"/>
      <c r="F76"/>
      <c r="G76"/>
      <c r="H76"/>
      <c r="I76" s="104"/>
    </row>
    <row r="77" spans="1:9" x14ac:dyDescent="0.25">
      <c r="A77" s="19"/>
      <c r="C77"/>
      <c r="D77" s="104"/>
      <c r="E77"/>
      <c r="F77"/>
      <c r="G77"/>
      <c r="H77"/>
      <c r="I77" s="104"/>
    </row>
    <row r="78" spans="1:9" x14ac:dyDescent="0.25">
      <c r="A78" s="19"/>
      <c r="C78"/>
      <c r="D78" s="104"/>
      <c r="E78"/>
      <c r="F78"/>
      <c r="G78"/>
      <c r="H78"/>
      <c r="I78" s="104"/>
    </row>
    <row r="79" spans="1:9" x14ac:dyDescent="0.25">
      <c r="A79" s="19"/>
      <c r="C79"/>
      <c r="D79" s="104"/>
      <c r="E79"/>
      <c r="F79"/>
      <c r="G79"/>
      <c r="H79"/>
      <c r="I79" s="104"/>
    </row>
    <row r="80" spans="1:9" x14ac:dyDescent="0.25">
      <c r="A80" s="19"/>
      <c r="C80"/>
      <c r="D80" s="104"/>
      <c r="E80"/>
      <c r="F80"/>
      <c r="G80"/>
      <c r="H80"/>
      <c r="I80" s="104"/>
    </row>
    <row r="81" spans="1:9" x14ac:dyDescent="0.25">
      <c r="A81" s="19"/>
      <c r="C81"/>
      <c r="D81" s="104"/>
      <c r="E81"/>
      <c r="F81"/>
      <c r="G81"/>
      <c r="H81"/>
      <c r="I81" s="104"/>
    </row>
    <row r="82" spans="1:9" x14ac:dyDescent="0.25">
      <c r="A82" s="19"/>
      <c r="C82"/>
      <c r="D82" s="104"/>
      <c r="E82"/>
      <c r="F82"/>
      <c r="G82"/>
      <c r="H82"/>
      <c r="I82" s="104"/>
    </row>
    <row r="83" spans="1:9" x14ac:dyDescent="0.25">
      <c r="A83" s="19"/>
      <c r="C83"/>
      <c r="D83" s="104"/>
      <c r="E83"/>
      <c r="F83"/>
      <c r="G83"/>
      <c r="H83"/>
      <c r="I83" s="104"/>
    </row>
    <row r="84" spans="1:9" x14ac:dyDescent="0.25">
      <c r="A84" s="19"/>
      <c r="C84"/>
      <c r="D84" s="104"/>
      <c r="E84"/>
      <c r="F84"/>
      <c r="G84"/>
      <c r="H84"/>
      <c r="I84" s="104"/>
    </row>
    <row r="85" spans="1:9" x14ac:dyDescent="0.25">
      <c r="A85" s="19"/>
      <c r="C85"/>
      <c r="D85" s="104"/>
      <c r="E85"/>
      <c r="F85"/>
      <c r="G85"/>
      <c r="H85"/>
      <c r="I85" s="104"/>
    </row>
    <row r="86" spans="1:9" x14ac:dyDescent="0.25">
      <c r="A86" s="19"/>
      <c r="C86"/>
      <c r="D86" s="104"/>
      <c r="E86"/>
      <c r="F86"/>
      <c r="G86"/>
      <c r="H86"/>
      <c r="I86" s="104"/>
    </row>
    <row r="87" spans="1:9" x14ac:dyDescent="0.25">
      <c r="A87" s="19"/>
      <c r="C87"/>
      <c r="D87" s="104"/>
      <c r="E87"/>
      <c r="F87"/>
      <c r="G87"/>
      <c r="H87"/>
      <c r="I87" s="104"/>
    </row>
    <row r="88" spans="1:9" x14ac:dyDescent="0.25">
      <c r="A88" s="19"/>
      <c r="C88"/>
      <c r="D88" s="104"/>
      <c r="E88"/>
      <c r="F88"/>
      <c r="G88"/>
      <c r="H88"/>
      <c r="I88" s="104"/>
    </row>
    <row r="89" spans="1:9" x14ac:dyDescent="0.25">
      <c r="A89" s="19"/>
      <c r="C89"/>
      <c r="D89" s="104"/>
      <c r="E89"/>
      <c r="F89"/>
      <c r="G89"/>
      <c r="H89"/>
      <c r="I89" s="104"/>
    </row>
    <row r="90" spans="1:9" x14ac:dyDescent="0.25">
      <c r="A90" s="19"/>
      <c r="C90"/>
      <c r="D90" s="104"/>
      <c r="E90"/>
      <c r="F90"/>
      <c r="G90"/>
      <c r="H90"/>
      <c r="I90" s="104"/>
    </row>
    <row r="91" spans="1:9" x14ac:dyDescent="0.25">
      <c r="A91" s="19"/>
      <c r="C91"/>
      <c r="D91" s="104"/>
      <c r="E91"/>
      <c r="F91"/>
      <c r="G91"/>
      <c r="H91"/>
      <c r="I91" s="104"/>
    </row>
    <row r="92" spans="1:9" x14ac:dyDescent="0.25">
      <c r="A92" s="19"/>
      <c r="C92"/>
      <c r="D92" s="104"/>
      <c r="E92"/>
      <c r="F92"/>
      <c r="G92"/>
      <c r="H92"/>
      <c r="I92" s="104"/>
    </row>
    <row r="93" spans="1:9" x14ac:dyDescent="0.25">
      <c r="A93" s="19"/>
      <c r="C93"/>
      <c r="D93" s="104"/>
      <c r="E93"/>
      <c r="F93"/>
      <c r="G93"/>
      <c r="H93"/>
      <c r="I93" s="104"/>
    </row>
    <row r="94" spans="1:9" x14ac:dyDescent="0.25">
      <c r="A94" s="19"/>
      <c r="C94"/>
      <c r="D94" s="104"/>
      <c r="E94"/>
      <c r="F94"/>
      <c r="G94"/>
      <c r="H94"/>
      <c r="I94" s="104"/>
    </row>
    <row r="95" spans="1:9" x14ac:dyDescent="0.25">
      <c r="A95" s="19"/>
      <c r="C95"/>
      <c r="D95" s="104"/>
      <c r="E95"/>
      <c r="F95"/>
      <c r="G95"/>
      <c r="H95"/>
      <c r="I95" s="104"/>
    </row>
    <row r="96" spans="1:9" x14ac:dyDescent="0.25">
      <c r="A96" s="19"/>
      <c r="C96"/>
      <c r="D96" s="104"/>
      <c r="E96"/>
      <c r="F96"/>
      <c r="G96"/>
      <c r="H96"/>
      <c r="I96" s="104"/>
    </row>
    <row r="97" spans="1:9" x14ac:dyDescent="0.25">
      <c r="A97" s="19"/>
      <c r="C97"/>
      <c r="D97" s="104"/>
      <c r="E97"/>
      <c r="F97"/>
      <c r="G97"/>
      <c r="H97"/>
      <c r="I97" s="104"/>
    </row>
    <row r="98" spans="1:9" x14ac:dyDescent="0.25">
      <c r="A98" s="19"/>
      <c r="C98"/>
      <c r="D98" s="104"/>
      <c r="E98"/>
      <c r="F98"/>
      <c r="G98"/>
      <c r="H98"/>
      <c r="I98" s="104"/>
    </row>
    <row r="99" spans="1:9" x14ac:dyDescent="0.25">
      <c r="A99" s="19"/>
      <c r="C99"/>
      <c r="D99" s="104"/>
      <c r="E99"/>
      <c r="F99"/>
      <c r="G99"/>
      <c r="H99"/>
      <c r="I99" s="104"/>
    </row>
    <row r="100" spans="1:9" x14ac:dyDescent="0.25">
      <c r="A100" s="19"/>
      <c r="C100"/>
      <c r="D100" s="104"/>
      <c r="E100"/>
      <c r="F100"/>
      <c r="G100"/>
      <c r="H100"/>
      <c r="I100" s="104"/>
    </row>
    <row r="101" spans="1:9" x14ac:dyDescent="0.25">
      <c r="A101" s="19"/>
      <c r="C101"/>
      <c r="D101" s="104"/>
      <c r="E101"/>
      <c r="F101"/>
      <c r="G101"/>
      <c r="H101"/>
      <c r="I101" s="104"/>
    </row>
    <row r="102" spans="1:9" x14ac:dyDescent="0.25">
      <c r="A102" s="19"/>
      <c r="C102"/>
      <c r="D102" s="104"/>
      <c r="E102"/>
      <c r="F102"/>
      <c r="G102"/>
      <c r="H102"/>
      <c r="I102" s="104"/>
    </row>
    <row r="103" spans="1:9" x14ac:dyDescent="0.25">
      <c r="A103" s="19"/>
      <c r="C103"/>
      <c r="D103" s="104"/>
      <c r="E103"/>
      <c r="F103"/>
      <c r="G103"/>
      <c r="H103"/>
      <c r="I103" s="104"/>
    </row>
    <row r="104" spans="1:9" x14ac:dyDescent="0.25">
      <c r="A104" s="19"/>
      <c r="C104"/>
      <c r="D104" s="104"/>
      <c r="E104"/>
      <c r="F104"/>
      <c r="G104"/>
      <c r="H104"/>
      <c r="I104" s="104"/>
    </row>
    <row r="105" spans="1:9" x14ac:dyDescent="0.25">
      <c r="A105" s="19"/>
      <c r="C105"/>
      <c r="D105" s="104"/>
      <c r="E105"/>
      <c r="F105"/>
      <c r="G105"/>
      <c r="H105"/>
      <c r="I105" s="104"/>
    </row>
    <row r="106" spans="1:9" x14ac:dyDescent="0.25">
      <c r="A106" s="19"/>
      <c r="C106"/>
      <c r="D106" s="104"/>
      <c r="E106"/>
      <c r="F106"/>
      <c r="G106"/>
      <c r="H106"/>
      <c r="I106" s="104"/>
    </row>
    <row r="107" spans="1:9" x14ac:dyDescent="0.25">
      <c r="A107" s="19"/>
      <c r="C107"/>
      <c r="D107" s="104"/>
      <c r="E107"/>
      <c r="F107"/>
      <c r="G107"/>
      <c r="H107"/>
      <c r="I107" s="104"/>
    </row>
    <row r="108" spans="1:9" x14ac:dyDescent="0.25">
      <c r="A108" s="19"/>
      <c r="C108"/>
      <c r="D108" s="104"/>
      <c r="E108"/>
      <c r="F108"/>
      <c r="G108"/>
      <c r="H108"/>
      <c r="I108" s="104"/>
    </row>
    <row r="109" spans="1:9" x14ac:dyDescent="0.25">
      <c r="A109" s="19"/>
      <c r="C109"/>
      <c r="D109" s="104"/>
      <c r="E109"/>
      <c r="F109"/>
      <c r="G109"/>
      <c r="H109"/>
      <c r="I109" s="104"/>
    </row>
    <row r="110" spans="1:9" x14ac:dyDescent="0.25">
      <c r="A110" s="19"/>
      <c r="C110"/>
      <c r="D110" s="104"/>
      <c r="E110"/>
      <c r="F110"/>
      <c r="G110"/>
      <c r="H110"/>
      <c r="I110" s="104"/>
    </row>
    <row r="111" spans="1:9" x14ac:dyDescent="0.25">
      <c r="A111" s="19"/>
      <c r="C111"/>
      <c r="D111" s="104"/>
      <c r="E111"/>
      <c r="F111"/>
      <c r="G111"/>
      <c r="H111"/>
      <c r="I111" s="104"/>
    </row>
    <row r="112" spans="1:9" x14ac:dyDescent="0.25">
      <c r="A112" s="19"/>
      <c r="C112"/>
      <c r="D112" s="104"/>
      <c r="E112"/>
      <c r="F112"/>
      <c r="G112"/>
      <c r="H112"/>
      <c r="I112" s="104"/>
    </row>
    <row r="113" spans="1:9" x14ac:dyDescent="0.25">
      <c r="A113" s="19"/>
      <c r="C113"/>
      <c r="D113" s="104"/>
      <c r="E113"/>
      <c r="F113"/>
      <c r="G113"/>
      <c r="H113"/>
      <c r="I113" s="104"/>
    </row>
    <row r="114" spans="1:9" x14ac:dyDescent="0.25">
      <c r="A114" s="19"/>
      <c r="C114"/>
      <c r="D114" s="104"/>
      <c r="E114"/>
      <c r="F114"/>
      <c r="G114"/>
      <c r="H114"/>
      <c r="I114" s="104"/>
    </row>
    <row r="115" spans="1:9" x14ac:dyDescent="0.25">
      <c r="A115" s="19"/>
      <c r="C115"/>
      <c r="D115" s="104"/>
      <c r="E115"/>
      <c r="F115"/>
      <c r="G115"/>
      <c r="H115"/>
      <c r="I115" s="104"/>
    </row>
    <row r="116" spans="1:9" x14ac:dyDescent="0.25">
      <c r="A116" s="19"/>
      <c r="C116"/>
      <c r="D116" s="104"/>
      <c r="E116"/>
      <c r="F116"/>
      <c r="G116"/>
      <c r="H116"/>
      <c r="I116" s="104"/>
    </row>
    <row r="117" spans="1:9" x14ac:dyDescent="0.25">
      <c r="A117" s="19"/>
      <c r="C117"/>
      <c r="D117" s="104"/>
      <c r="E117"/>
      <c r="F117"/>
      <c r="G117"/>
      <c r="H117"/>
      <c r="I117" s="104"/>
    </row>
    <row r="118" spans="1:9" x14ac:dyDescent="0.25">
      <c r="A118" s="19"/>
      <c r="C118"/>
      <c r="D118" s="104"/>
      <c r="E118"/>
      <c r="F118"/>
      <c r="G118"/>
      <c r="H118"/>
      <c r="I118" s="104"/>
    </row>
    <row r="119" spans="1:9" x14ac:dyDescent="0.25">
      <c r="A119" s="19"/>
      <c r="C119"/>
      <c r="D119" s="104"/>
      <c r="E119"/>
      <c r="F119"/>
      <c r="G119"/>
      <c r="H119"/>
      <c r="I119" s="104"/>
    </row>
    <row r="120" spans="1:9" x14ac:dyDescent="0.25">
      <c r="A120" s="19"/>
      <c r="C120"/>
      <c r="D120" s="104"/>
      <c r="E120"/>
      <c r="F120"/>
      <c r="G120"/>
      <c r="H120"/>
      <c r="I120" s="104"/>
    </row>
    <row r="121" spans="1:9" x14ac:dyDescent="0.25">
      <c r="A121" s="19"/>
      <c r="C121"/>
      <c r="D121" s="104"/>
      <c r="E121"/>
      <c r="F121"/>
      <c r="G121"/>
      <c r="H121"/>
      <c r="I121" s="104"/>
    </row>
    <row r="122" spans="1:9" x14ac:dyDescent="0.25">
      <c r="A122" s="19"/>
      <c r="C122"/>
      <c r="D122" s="104"/>
      <c r="E122"/>
      <c r="F122"/>
      <c r="G122"/>
      <c r="H122"/>
      <c r="I122" s="104"/>
    </row>
    <row r="123" spans="1:9" x14ac:dyDescent="0.25">
      <c r="A123" s="19"/>
      <c r="C123"/>
      <c r="D123" s="104"/>
      <c r="E123"/>
      <c r="F123"/>
      <c r="G123"/>
      <c r="H123"/>
      <c r="I123" s="104"/>
    </row>
    <row r="124" spans="1:9" x14ac:dyDescent="0.25">
      <c r="A124" s="19"/>
      <c r="C124"/>
      <c r="D124" s="104"/>
      <c r="E124"/>
      <c r="F124"/>
      <c r="G124"/>
      <c r="H124"/>
      <c r="I124" s="104"/>
    </row>
    <row r="125" spans="1:9" x14ac:dyDescent="0.25">
      <c r="A125" s="19"/>
      <c r="C125"/>
      <c r="D125" s="104"/>
      <c r="E125"/>
      <c r="F125"/>
      <c r="G125"/>
      <c r="H125"/>
      <c r="I125" s="104"/>
    </row>
    <row r="126" spans="1:9" x14ac:dyDescent="0.25">
      <c r="A126" s="19"/>
      <c r="C126"/>
      <c r="D126" s="104"/>
      <c r="E126"/>
      <c r="F126"/>
      <c r="G126"/>
      <c r="H126"/>
      <c r="I126" s="104"/>
    </row>
    <row r="127" spans="1:9" x14ac:dyDescent="0.25">
      <c r="A127" s="19"/>
      <c r="C127"/>
      <c r="D127" s="104"/>
      <c r="E127"/>
      <c r="F127"/>
      <c r="G127"/>
      <c r="H127"/>
      <c r="I127" s="104"/>
    </row>
    <row r="128" spans="1:9" x14ac:dyDescent="0.25">
      <c r="A128" s="19"/>
      <c r="C128"/>
      <c r="D128" s="104"/>
      <c r="E128"/>
      <c r="F128"/>
      <c r="G128"/>
      <c r="H128"/>
      <c r="I128" s="104"/>
    </row>
    <row r="129" spans="1:9" x14ac:dyDescent="0.25">
      <c r="A129" s="19"/>
      <c r="C129"/>
      <c r="D129" s="104"/>
      <c r="E129"/>
      <c r="F129"/>
      <c r="G129"/>
      <c r="H129"/>
      <c r="I129" s="104"/>
    </row>
    <row r="130" spans="1:9" x14ac:dyDescent="0.25">
      <c r="A130" s="19"/>
      <c r="C130"/>
      <c r="D130" s="104"/>
      <c r="E130"/>
      <c r="F130"/>
      <c r="G130"/>
      <c r="H130"/>
      <c r="I130" s="104"/>
    </row>
    <row r="131" spans="1:9" x14ac:dyDescent="0.25">
      <c r="A131" s="19"/>
      <c r="C131"/>
      <c r="D131" s="104"/>
      <c r="E131"/>
      <c r="F131"/>
      <c r="G131"/>
      <c r="H131"/>
      <c r="I131" s="104"/>
    </row>
    <row r="132" spans="1:9" x14ac:dyDescent="0.25">
      <c r="A132" s="19"/>
      <c r="C132"/>
      <c r="D132" s="104"/>
      <c r="E132"/>
      <c r="F132"/>
      <c r="G132"/>
      <c r="H132"/>
      <c r="I132" s="104"/>
    </row>
    <row r="133" spans="1:9" x14ac:dyDescent="0.25">
      <c r="A133" s="19"/>
      <c r="C133"/>
      <c r="D133" s="104"/>
      <c r="E133"/>
      <c r="F133"/>
      <c r="G133"/>
      <c r="H133"/>
      <c r="I133" s="104"/>
    </row>
    <row r="134" spans="1:9" x14ac:dyDescent="0.25">
      <c r="A134" s="19"/>
      <c r="C134"/>
      <c r="D134" s="104"/>
      <c r="E134"/>
      <c r="F134"/>
      <c r="G134"/>
      <c r="H134"/>
      <c r="I134" s="104"/>
    </row>
    <row r="135" spans="1:9" x14ac:dyDescent="0.25">
      <c r="A135" s="19"/>
      <c r="C135"/>
      <c r="D135" s="104"/>
      <c r="E135"/>
      <c r="F135"/>
      <c r="G135"/>
      <c r="H135"/>
      <c r="I135" s="104"/>
    </row>
    <row r="136" spans="1:9" x14ac:dyDescent="0.25">
      <c r="A136" s="19"/>
      <c r="C136"/>
      <c r="D136" s="104"/>
      <c r="E136"/>
      <c r="F136"/>
      <c r="G136"/>
      <c r="H136"/>
      <c r="I136" s="104"/>
    </row>
    <row r="137" spans="1:9" x14ac:dyDescent="0.25">
      <c r="A137" s="19"/>
      <c r="C137"/>
      <c r="D137" s="104"/>
      <c r="E137"/>
      <c r="F137"/>
      <c r="G137"/>
      <c r="H137"/>
      <c r="I137" s="104"/>
    </row>
    <row r="138" spans="1:9" x14ac:dyDescent="0.25">
      <c r="A138" s="19"/>
      <c r="C138"/>
      <c r="D138" s="104"/>
      <c r="E138"/>
      <c r="F138"/>
      <c r="G138"/>
      <c r="H138"/>
      <c r="I138" s="104"/>
    </row>
    <row r="139" spans="1:9" x14ac:dyDescent="0.25">
      <c r="A139" s="19"/>
      <c r="C139"/>
      <c r="D139" s="104"/>
      <c r="E139"/>
      <c r="F139"/>
      <c r="G139"/>
      <c r="H139"/>
      <c r="I139" s="104"/>
    </row>
    <row r="140" spans="1:9" x14ac:dyDescent="0.25">
      <c r="A140" s="19"/>
      <c r="C140"/>
      <c r="D140" s="104"/>
      <c r="E140"/>
      <c r="F140"/>
      <c r="G140"/>
      <c r="H140"/>
      <c r="I140" s="104"/>
    </row>
    <row r="141" spans="1:9" x14ac:dyDescent="0.25">
      <c r="A141" s="19"/>
      <c r="C141"/>
      <c r="D141" s="104"/>
      <c r="E141"/>
      <c r="F141"/>
      <c r="G141"/>
      <c r="H141"/>
      <c r="I141" s="104"/>
    </row>
    <row r="142" spans="1:9" x14ac:dyDescent="0.25">
      <c r="A142" s="19"/>
      <c r="C142"/>
      <c r="D142" s="104"/>
      <c r="E142"/>
      <c r="F142"/>
      <c r="G142"/>
      <c r="H142"/>
      <c r="I142" s="104"/>
    </row>
    <row r="143" spans="1:9" x14ac:dyDescent="0.25">
      <c r="A143" s="19"/>
      <c r="C143"/>
      <c r="D143" s="104"/>
      <c r="E143"/>
      <c r="F143"/>
      <c r="G143"/>
      <c r="H143"/>
      <c r="I143" s="104"/>
    </row>
    <row r="144" spans="1:9" x14ac:dyDescent="0.25">
      <c r="A144" s="19"/>
      <c r="C144"/>
      <c r="D144" s="104"/>
      <c r="E144"/>
      <c r="F144"/>
      <c r="G144"/>
      <c r="H144"/>
      <c r="I144" s="104"/>
    </row>
    <row r="145" spans="1:9" x14ac:dyDescent="0.25">
      <c r="A145" s="19"/>
      <c r="C145"/>
      <c r="D145" s="104"/>
      <c r="E145"/>
      <c r="F145"/>
      <c r="G145"/>
      <c r="H145"/>
      <c r="I145" s="104"/>
    </row>
    <row r="146" spans="1:9" x14ac:dyDescent="0.25">
      <c r="A146" s="19"/>
      <c r="C146"/>
      <c r="D146" s="104"/>
      <c r="E146"/>
      <c r="F146"/>
      <c r="G146"/>
      <c r="H146"/>
      <c r="I146" s="104"/>
    </row>
    <row r="147" spans="1:9" x14ac:dyDescent="0.25">
      <c r="A147" s="19"/>
      <c r="C147"/>
      <c r="D147" s="104"/>
      <c r="E147"/>
      <c r="F147"/>
      <c r="G147"/>
      <c r="H147"/>
      <c r="I147" s="104"/>
    </row>
    <row r="148" spans="1:9" x14ac:dyDescent="0.25">
      <c r="A148" s="19"/>
      <c r="C148"/>
      <c r="D148" s="104"/>
      <c r="E148"/>
      <c r="F148"/>
      <c r="G148"/>
      <c r="H148"/>
      <c r="I148" s="104"/>
    </row>
    <row r="149" spans="1:9" x14ac:dyDescent="0.25">
      <c r="A149" s="19"/>
      <c r="C149"/>
      <c r="D149" s="104"/>
      <c r="E149"/>
      <c r="F149"/>
      <c r="G149"/>
      <c r="H149"/>
      <c r="I149" s="104"/>
    </row>
    <row r="150" spans="1:9" x14ac:dyDescent="0.25">
      <c r="A150" s="19"/>
      <c r="C150"/>
      <c r="D150" s="104"/>
      <c r="E150"/>
      <c r="F150"/>
      <c r="G150"/>
      <c r="H150"/>
      <c r="I150" s="104"/>
    </row>
    <row r="151" spans="1:9" x14ac:dyDescent="0.25">
      <c r="A151" s="19"/>
      <c r="C151"/>
      <c r="D151" s="104"/>
      <c r="E151"/>
      <c r="F151"/>
      <c r="G151"/>
      <c r="H151"/>
      <c r="I151" s="104"/>
    </row>
    <row r="152" spans="1:9" x14ac:dyDescent="0.25">
      <c r="A152" s="19"/>
      <c r="C152"/>
      <c r="D152" s="104"/>
      <c r="E152"/>
      <c r="F152"/>
      <c r="G152"/>
      <c r="H152"/>
      <c r="I152" s="104"/>
    </row>
    <row r="153" spans="1:9" x14ac:dyDescent="0.25">
      <c r="A153" s="19"/>
      <c r="C153"/>
      <c r="D153" s="104"/>
      <c r="E153"/>
      <c r="F153"/>
      <c r="G153"/>
      <c r="H153"/>
      <c r="I153" s="104"/>
    </row>
    <row r="154" spans="1:9" x14ac:dyDescent="0.25">
      <c r="A154" s="19"/>
      <c r="C154"/>
      <c r="D154" s="104"/>
      <c r="E154"/>
      <c r="F154"/>
      <c r="G154"/>
      <c r="H154"/>
      <c r="I154" s="104"/>
    </row>
    <row r="155" spans="1:9" x14ac:dyDescent="0.25">
      <c r="A155" s="19"/>
      <c r="C155"/>
      <c r="D155" s="104"/>
      <c r="E155"/>
      <c r="F155"/>
      <c r="G155"/>
      <c r="H155"/>
      <c r="I155" s="104"/>
    </row>
    <row r="156" spans="1:9" x14ac:dyDescent="0.25">
      <c r="A156" s="19"/>
      <c r="C156"/>
      <c r="D156" s="104"/>
      <c r="E156"/>
      <c r="F156"/>
      <c r="G156"/>
      <c r="H156"/>
      <c r="I156" s="104"/>
    </row>
    <row r="157" spans="1:9" x14ac:dyDescent="0.25">
      <c r="A157" s="19"/>
      <c r="C157"/>
      <c r="D157" s="104"/>
      <c r="E157"/>
      <c r="F157"/>
      <c r="G157"/>
      <c r="H157"/>
      <c r="I157" s="104"/>
    </row>
    <row r="158" spans="1:9" x14ac:dyDescent="0.25">
      <c r="A158" s="19"/>
      <c r="C158"/>
      <c r="D158" s="104"/>
      <c r="E158"/>
      <c r="F158"/>
      <c r="G158"/>
      <c r="H158"/>
      <c r="I158" s="104"/>
    </row>
    <row r="159" spans="1:9" x14ac:dyDescent="0.25">
      <c r="A159" s="19"/>
      <c r="C159"/>
      <c r="D159" s="104"/>
      <c r="E159"/>
      <c r="F159"/>
      <c r="G159"/>
      <c r="H159"/>
      <c r="I159" s="104"/>
    </row>
    <row r="160" spans="1:9" x14ac:dyDescent="0.25">
      <c r="A160" s="19"/>
      <c r="C160"/>
      <c r="D160" s="104"/>
      <c r="E160"/>
      <c r="F160"/>
      <c r="G160"/>
      <c r="H160"/>
      <c r="I160" s="104"/>
    </row>
    <row r="161" spans="1:9" x14ac:dyDescent="0.25">
      <c r="A161" s="19"/>
      <c r="C161"/>
      <c r="D161" s="104"/>
      <c r="E161"/>
      <c r="F161"/>
      <c r="G161"/>
      <c r="H161"/>
      <c r="I161" s="104"/>
    </row>
    <row r="162" spans="1:9" x14ac:dyDescent="0.25">
      <c r="A162" s="19"/>
      <c r="C162"/>
      <c r="D162" s="104"/>
      <c r="E162"/>
      <c r="F162"/>
      <c r="G162"/>
      <c r="H162"/>
      <c r="I162" s="104"/>
    </row>
    <row r="163" spans="1:9" x14ac:dyDescent="0.25">
      <c r="A163" s="19"/>
      <c r="C163"/>
      <c r="D163" s="104"/>
      <c r="E163"/>
      <c r="F163"/>
      <c r="G163"/>
      <c r="H163"/>
      <c r="I163" s="104"/>
    </row>
    <row r="164" spans="1:9" x14ac:dyDescent="0.25">
      <c r="A164" s="19"/>
      <c r="C164"/>
      <c r="D164" s="104"/>
      <c r="E164"/>
      <c r="F164"/>
      <c r="G164"/>
      <c r="H164"/>
      <c r="I164" s="104"/>
    </row>
    <row r="165" spans="1:9" x14ac:dyDescent="0.25">
      <c r="A165" s="19"/>
      <c r="C165"/>
      <c r="D165" s="104"/>
      <c r="E165"/>
      <c r="F165"/>
      <c r="G165"/>
      <c r="H165"/>
      <c r="I165" s="104"/>
    </row>
    <row r="166" spans="1:9" x14ac:dyDescent="0.25">
      <c r="A166" s="19"/>
      <c r="C166"/>
      <c r="D166" s="104"/>
      <c r="E166"/>
      <c r="F166"/>
      <c r="G166"/>
      <c r="H166"/>
      <c r="I166" s="104"/>
    </row>
    <row r="167" spans="1:9" x14ac:dyDescent="0.25">
      <c r="A167" s="19"/>
      <c r="C167"/>
      <c r="D167" s="104"/>
      <c r="E167"/>
      <c r="F167"/>
      <c r="G167"/>
      <c r="H167"/>
      <c r="I167" s="104"/>
    </row>
    <row r="168" spans="1:9" x14ac:dyDescent="0.25">
      <c r="A168" s="19"/>
      <c r="C168"/>
      <c r="D168" s="104"/>
      <c r="E168"/>
      <c r="F168"/>
      <c r="G168"/>
      <c r="H168"/>
      <c r="I168" s="104"/>
    </row>
    <row r="169" spans="1:9" x14ac:dyDescent="0.25">
      <c r="A169" s="19"/>
      <c r="C169"/>
      <c r="D169" s="104"/>
      <c r="E169"/>
      <c r="F169"/>
      <c r="G169"/>
      <c r="H169"/>
      <c r="I169" s="104"/>
    </row>
    <row r="170" spans="1:9" x14ac:dyDescent="0.25">
      <c r="A170" s="19"/>
      <c r="C170"/>
      <c r="D170" s="104"/>
      <c r="E170"/>
      <c r="F170"/>
      <c r="G170"/>
      <c r="H170"/>
      <c r="I170" s="104"/>
    </row>
    <row r="171" spans="1:9" x14ac:dyDescent="0.25">
      <c r="A171" s="19"/>
      <c r="C171"/>
      <c r="D171" s="104"/>
      <c r="E171"/>
      <c r="F171"/>
      <c r="G171"/>
      <c r="H171"/>
      <c r="I171" s="104"/>
    </row>
    <row r="172" spans="1:9" x14ac:dyDescent="0.25">
      <c r="A172" s="19"/>
      <c r="C172"/>
      <c r="D172" s="104"/>
      <c r="E172"/>
      <c r="F172"/>
      <c r="G172"/>
      <c r="H172"/>
      <c r="I172" s="104"/>
    </row>
    <row r="173" spans="1:9" x14ac:dyDescent="0.25">
      <c r="A173" s="19"/>
      <c r="C173"/>
      <c r="D173" s="104"/>
      <c r="E173"/>
      <c r="F173"/>
      <c r="G173"/>
      <c r="H173"/>
      <c r="I173" s="104"/>
    </row>
    <row r="174" spans="1:9" x14ac:dyDescent="0.25">
      <c r="A174" s="19"/>
      <c r="C174"/>
      <c r="D174" s="104"/>
      <c r="E174"/>
      <c r="F174"/>
      <c r="G174"/>
      <c r="H174"/>
      <c r="I174" s="104"/>
    </row>
    <row r="175" spans="1:9" x14ac:dyDescent="0.25">
      <c r="A175" s="19"/>
      <c r="C175"/>
      <c r="D175" s="104"/>
      <c r="E175"/>
      <c r="F175"/>
      <c r="G175"/>
      <c r="H175"/>
      <c r="I175" s="104"/>
    </row>
    <row r="176" spans="1:9" x14ac:dyDescent="0.25">
      <c r="A176" s="19"/>
      <c r="C176"/>
      <c r="D176" s="104"/>
      <c r="E176"/>
      <c r="F176"/>
      <c r="G176"/>
      <c r="H176"/>
      <c r="I176" s="104"/>
    </row>
    <row r="177" spans="1:9" x14ac:dyDescent="0.25">
      <c r="A177" s="19"/>
      <c r="C177"/>
      <c r="D177" s="104"/>
      <c r="E177"/>
      <c r="F177"/>
      <c r="G177"/>
      <c r="H177"/>
      <c r="I177" s="104"/>
    </row>
    <row r="178" spans="1:9" x14ac:dyDescent="0.25">
      <c r="A178" s="19"/>
      <c r="C178"/>
      <c r="D178" s="104"/>
      <c r="E178"/>
      <c r="F178"/>
      <c r="G178"/>
      <c r="H178"/>
      <c r="I178" s="104"/>
    </row>
    <row r="179" spans="1:9" x14ac:dyDescent="0.25">
      <c r="A179" s="19"/>
      <c r="C179"/>
      <c r="D179" s="104"/>
      <c r="E179"/>
      <c r="F179"/>
      <c r="G179"/>
      <c r="H179"/>
      <c r="I179" s="104"/>
    </row>
    <row r="180" spans="1:9" x14ac:dyDescent="0.25">
      <c r="A180" s="19"/>
      <c r="C180"/>
      <c r="D180" s="104"/>
      <c r="E180"/>
      <c r="F180"/>
      <c r="G180"/>
      <c r="H180"/>
      <c r="I180" s="104"/>
    </row>
    <row r="181" spans="1:9" x14ac:dyDescent="0.25">
      <c r="A181" s="19"/>
      <c r="C181"/>
      <c r="D181" s="104"/>
      <c r="E181"/>
      <c r="F181"/>
      <c r="G181"/>
      <c r="H181"/>
      <c r="I181" s="104"/>
    </row>
    <row r="182" spans="1:9" x14ac:dyDescent="0.25">
      <c r="A182" s="19"/>
      <c r="C182"/>
      <c r="D182" s="104"/>
      <c r="E182"/>
      <c r="F182"/>
      <c r="G182"/>
      <c r="H182"/>
      <c r="I182" s="104"/>
    </row>
    <row r="183" spans="1:9" x14ac:dyDescent="0.25">
      <c r="A183" s="19"/>
      <c r="C183"/>
      <c r="D183" s="104"/>
      <c r="E183"/>
      <c r="F183"/>
      <c r="G183"/>
      <c r="H183"/>
      <c r="I183" s="104"/>
    </row>
    <row r="184" spans="1:9" x14ac:dyDescent="0.25">
      <c r="A184" s="19"/>
      <c r="C184"/>
      <c r="D184" s="104"/>
      <c r="E184"/>
      <c r="F184"/>
      <c r="G184"/>
      <c r="H184"/>
      <c r="I184" s="104"/>
    </row>
    <row r="185" spans="1:9" x14ac:dyDescent="0.25">
      <c r="A185" s="19"/>
      <c r="C185"/>
      <c r="D185" s="104"/>
      <c r="E185"/>
      <c r="F185"/>
      <c r="G185"/>
      <c r="H185"/>
      <c r="I185" s="104"/>
    </row>
    <row r="186" spans="1:9" x14ac:dyDescent="0.25">
      <c r="A186" s="19"/>
      <c r="C186"/>
      <c r="D186" s="104"/>
      <c r="E186"/>
      <c r="F186"/>
      <c r="G186"/>
      <c r="H186"/>
      <c r="I186" s="104"/>
    </row>
    <row r="187" spans="1:9" x14ac:dyDescent="0.25">
      <c r="A187" s="19"/>
      <c r="C187"/>
      <c r="D187" s="104"/>
      <c r="E187"/>
      <c r="F187"/>
      <c r="G187"/>
      <c r="H187"/>
      <c r="I187" s="104"/>
    </row>
    <row r="188" spans="1:9" x14ac:dyDescent="0.25">
      <c r="A188" s="19"/>
      <c r="C188"/>
      <c r="D188" s="104"/>
      <c r="E188"/>
      <c r="F188"/>
      <c r="G188"/>
      <c r="H188"/>
      <c r="I188" s="104"/>
    </row>
    <row r="189" spans="1:9" x14ac:dyDescent="0.25">
      <c r="A189" s="19"/>
      <c r="C189"/>
      <c r="D189" s="104"/>
      <c r="E189"/>
      <c r="F189"/>
      <c r="G189"/>
      <c r="H189"/>
      <c r="I189" s="104"/>
    </row>
    <row r="190" spans="1:9" x14ac:dyDescent="0.25">
      <c r="A190" s="19"/>
      <c r="C190"/>
      <c r="D190" s="104"/>
      <c r="E190"/>
      <c r="F190"/>
      <c r="G190"/>
      <c r="H190"/>
      <c r="I190" s="104"/>
    </row>
    <row r="191" spans="1:9" x14ac:dyDescent="0.25">
      <c r="A191" s="19"/>
      <c r="C191"/>
      <c r="D191" s="104"/>
      <c r="E191"/>
      <c r="F191"/>
      <c r="G191"/>
      <c r="H191"/>
      <c r="I191" s="104"/>
    </row>
    <row r="192" spans="1:9" x14ac:dyDescent="0.25">
      <c r="A192" s="19"/>
      <c r="C192"/>
      <c r="D192" s="104"/>
      <c r="E192"/>
      <c r="F192"/>
      <c r="G192"/>
      <c r="H192"/>
      <c r="I192" s="104"/>
    </row>
    <row r="193" spans="1:9" x14ac:dyDescent="0.25">
      <c r="A193" s="19"/>
      <c r="C193"/>
      <c r="D193" s="104"/>
      <c r="E193"/>
      <c r="F193"/>
      <c r="G193"/>
      <c r="H193"/>
      <c r="I193" s="104"/>
    </row>
    <row r="194" spans="1:9" x14ac:dyDescent="0.25">
      <c r="A194" s="19"/>
      <c r="C194"/>
      <c r="D194" s="104"/>
      <c r="E194"/>
      <c r="F194"/>
      <c r="G194"/>
      <c r="H194"/>
      <c r="I194" s="104"/>
    </row>
    <row r="195" spans="1:9" x14ac:dyDescent="0.25">
      <c r="A195" s="19"/>
      <c r="C195"/>
      <c r="D195" s="104"/>
      <c r="E195"/>
      <c r="F195"/>
      <c r="G195"/>
      <c r="H195"/>
      <c r="I195" s="104"/>
    </row>
    <row r="196" spans="1:9" x14ac:dyDescent="0.25">
      <c r="A196" s="19"/>
      <c r="C196"/>
      <c r="D196" s="104"/>
      <c r="E196"/>
      <c r="F196"/>
      <c r="G196"/>
      <c r="H196"/>
      <c r="I196" s="104"/>
    </row>
    <row r="197" spans="1:9" x14ac:dyDescent="0.25">
      <c r="A197" s="19"/>
      <c r="C197"/>
      <c r="D197" s="104"/>
      <c r="E197"/>
      <c r="F197"/>
      <c r="G197"/>
      <c r="H197"/>
      <c r="I197" s="104"/>
    </row>
    <row r="198" spans="1:9" x14ac:dyDescent="0.25">
      <c r="A198" s="19"/>
      <c r="C198"/>
      <c r="D198" s="104"/>
      <c r="E198"/>
      <c r="F198"/>
      <c r="G198"/>
      <c r="H198"/>
      <c r="I198" s="104"/>
    </row>
    <row r="199" spans="1:9" x14ac:dyDescent="0.25">
      <c r="A199" s="19"/>
      <c r="C199"/>
      <c r="D199" s="104"/>
      <c r="E199"/>
      <c r="F199"/>
      <c r="G199"/>
      <c r="H199"/>
      <c r="I199" s="104"/>
    </row>
    <row r="200" spans="1:9" x14ac:dyDescent="0.25">
      <c r="A200" s="19"/>
      <c r="C200"/>
      <c r="D200" s="104"/>
      <c r="E200"/>
      <c r="F200"/>
      <c r="G200"/>
      <c r="H200"/>
      <c r="I200" s="104"/>
    </row>
    <row r="201" spans="1:9" x14ac:dyDescent="0.25">
      <c r="A201" s="19"/>
      <c r="C201"/>
      <c r="D201" s="104"/>
      <c r="E201"/>
      <c r="F201"/>
      <c r="G201"/>
      <c r="H201"/>
      <c r="I201" s="104"/>
    </row>
    <row r="202" spans="1:9" x14ac:dyDescent="0.25">
      <c r="A202" s="19"/>
      <c r="C202"/>
      <c r="D202" s="104"/>
      <c r="E202"/>
      <c r="F202"/>
      <c r="G202"/>
      <c r="H202"/>
      <c r="I202" s="104"/>
    </row>
    <row r="203" spans="1:9" x14ac:dyDescent="0.25">
      <c r="A203" s="19"/>
      <c r="C203"/>
      <c r="D203" s="104"/>
      <c r="E203"/>
      <c r="F203"/>
      <c r="G203"/>
      <c r="H203"/>
      <c r="I203" s="104"/>
    </row>
    <row r="204" spans="1:9" x14ac:dyDescent="0.25">
      <c r="A204" s="19"/>
      <c r="C204"/>
      <c r="D204" s="104"/>
      <c r="E204"/>
      <c r="F204"/>
      <c r="G204"/>
      <c r="H204"/>
      <c r="I204" s="104"/>
    </row>
    <row r="205" spans="1:9" x14ac:dyDescent="0.25">
      <c r="A205" s="19"/>
      <c r="C205"/>
      <c r="D205" s="104"/>
      <c r="E205"/>
      <c r="F205"/>
      <c r="G205"/>
      <c r="H205"/>
      <c r="I205" s="104"/>
    </row>
    <row r="206" spans="1:9" x14ac:dyDescent="0.25">
      <c r="A206" s="19"/>
      <c r="C206"/>
      <c r="D206" s="104"/>
      <c r="E206"/>
      <c r="F206"/>
      <c r="G206"/>
      <c r="H206"/>
      <c r="I206" s="104"/>
    </row>
    <row r="207" spans="1:9" x14ac:dyDescent="0.25">
      <c r="A207" s="19"/>
      <c r="C207"/>
      <c r="D207" s="104"/>
      <c r="E207"/>
      <c r="F207"/>
      <c r="G207"/>
      <c r="H207"/>
      <c r="I207" s="104"/>
    </row>
    <row r="208" spans="1:9" x14ac:dyDescent="0.25">
      <c r="A208" s="19"/>
      <c r="C208"/>
      <c r="D208" s="104"/>
      <c r="E208"/>
      <c r="F208"/>
      <c r="G208"/>
      <c r="H208"/>
      <c r="I208" s="104"/>
    </row>
    <row r="209" spans="1:9" x14ac:dyDescent="0.25">
      <c r="A209" s="19"/>
      <c r="C209"/>
      <c r="D209" s="104"/>
      <c r="E209"/>
      <c r="F209"/>
      <c r="G209"/>
      <c r="H209"/>
      <c r="I209" s="104"/>
    </row>
    <row r="210" spans="1:9" x14ac:dyDescent="0.25">
      <c r="A210" s="19"/>
      <c r="C210"/>
      <c r="D210" s="104"/>
      <c r="E210"/>
      <c r="F210"/>
      <c r="G210"/>
      <c r="H210"/>
      <c r="I210" s="104"/>
    </row>
    <row r="211" spans="1:9" x14ac:dyDescent="0.25">
      <c r="A211" s="19"/>
      <c r="C211"/>
      <c r="D211" s="104"/>
      <c r="E211"/>
      <c r="F211"/>
      <c r="G211"/>
      <c r="H211"/>
      <c r="I211" s="104"/>
    </row>
    <row r="212" spans="1:9" x14ac:dyDescent="0.25">
      <c r="A212" s="19"/>
      <c r="C212"/>
      <c r="D212" s="104"/>
      <c r="E212"/>
      <c r="F212"/>
      <c r="G212"/>
      <c r="H212"/>
      <c r="I212" s="104"/>
    </row>
    <row r="213" spans="1:9" x14ac:dyDescent="0.25">
      <c r="A213" s="19"/>
      <c r="C213"/>
      <c r="D213" s="104"/>
      <c r="E213"/>
      <c r="F213"/>
      <c r="G213"/>
      <c r="H213"/>
      <c r="I213" s="104"/>
    </row>
    <row r="214" spans="1:9" x14ac:dyDescent="0.25">
      <c r="A214" s="19"/>
      <c r="C214"/>
      <c r="D214" s="104"/>
      <c r="E214"/>
      <c r="F214"/>
      <c r="G214"/>
      <c r="H214"/>
      <c r="I214" s="104"/>
    </row>
    <row r="215" spans="1:9" x14ac:dyDescent="0.25">
      <c r="A215" s="19"/>
      <c r="C215"/>
      <c r="D215" s="104"/>
      <c r="E215"/>
      <c r="F215"/>
      <c r="G215"/>
      <c r="H215"/>
      <c r="I215" s="104"/>
    </row>
    <row r="216" spans="1:9" x14ac:dyDescent="0.25">
      <c r="A216" s="19"/>
      <c r="C216"/>
      <c r="D216" s="104"/>
      <c r="E216"/>
      <c r="F216"/>
      <c r="G216"/>
      <c r="H216"/>
      <c r="I216" s="104"/>
    </row>
    <row r="217" spans="1:9" x14ac:dyDescent="0.25">
      <c r="A217" s="19"/>
      <c r="C217"/>
      <c r="D217" s="104"/>
      <c r="E217"/>
      <c r="F217"/>
      <c r="G217"/>
      <c r="H217"/>
      <c r="I217" s="104"/>
    </row>
    <row r="218" spans="1:9" x14ac:dyDescent="0.25">
      <c r="A218" s="19"/>
      <c r="C218"/>
      <c r="D218" s="104"/>
      <c r="E218"/>
      <c r="F218"/>
      <c r="G218"/>
      <c r="H218"/>
      <c r="I218" s="104"/>
    </row>
    <row r="219" spans="1:9" x14ac:dyDescent="0.25">
      <c r="A219" s="19"/>
      <c r="C219"/>
      <c r="D219" s="104"/>
      <c r="E219"/>
      <c r="F219"/>
      <c r="G219"/>
      <c r="H219"/>
      <c r="I219" s="104"/>
    </row>
    <row r="220" spans="1:9" x14ac:dyDescent="0.25">
      <c r="A220" s="19"/>
      <c r="C220"/>
      <c r="D220" s="104"/>
      <c r="E220"/>
      <c r="F220"/>
      <c r="G220"/>
      <c r="H220"/>
      <c r="I220" s="104"/>
    </row>
    <row r="221" spans="1:9" x14ac:dyDescent="0.25">
      <c r="A221" s="19"/>
      <c r="C221"/>
      <c r="D221" s="104"/>
      <c r="E221"/>
      <c r="F221"/>
      <c r="G221"/>
      <c r="H221"/>
      <c r="I221" s="104"/>
    </row>
    <row r="222" spans="1:9" x14ac:dyDescent="0.25">
      <c r="A222" s="19"/>
      <c r="C222"/>
      <c r="D222" s="104"/>
      <c r="E222"/>
      <c r="F222"/>
      <c r="G222"/>
      <c r="H222"/>
      <c r="I222" s="104"/>
    </row>
    <row r="223" spans="1:9" x14ac:dyDescent="0.25">
      <c r="A223" s="19"/>
      <c r="C223"/>
      <c r="D223" s="104"/>
      <c r="E223"/>
      <c r="F223"/>
      <c r="G223"/>
      <c r="H223"/>
      <c r="I223" s="104"/>
    </row>
    <row r="224" spans="1:9" x14ac:dyDescent="0.25">
      <c r="A224" s="19"/>
      <c r="C224"/>
      <c r="D224" s="104"/>
      <c r="E224"/>
      <c r="F224"/>
      <c r="G224"/>
      <c r="H224"/>
      <c r="I224" s="104"/>
    </row>
    <row r="225" spans="1:9" x14ac:dyDescent="0.25">
      <c r="A225" s="19"/>
      <c r="C225"/>
      <c r="D225" s="104"/>
      <c r="E225"/>
      <c r="F225"/>
      <c r="G225"/>
      <c r="H225"/>
      <c r="I225" s="104"/>
    </row>
    <row r="226" spans="1:9" x14ac:dyDescent="0.25">
      <c r="A226" s="19"/>
      <c r="C226"/>
      <c r="D226" s="104"/>
      <c r="E226"/>
      <c r="F226"/>
      <c r="G226"/>
      <c r="H226"/>
      <c r="I226" s="104"/>
    </row>
    <row r="227" spans="1:9" x14ac:dyDescent="0.25">
      <c r="A227" s="19"/>
      <c r="C227"/>
      <c r="D227" s="104"/>
      <c r="E227"/>
      <c r="F227"/>
      <c r="G227"/>
      <c r="H227"/>
      <c r="I227" s="104"/>
    </row>
    <row r="228" spans="1:9" x14ac:dyDescent="0.25">
      <c r="A228" s="19"/>
      <c r="C228"/>
      <c r="D228" s="104"/>
      <c r="E228"/>
      <c r="F228"/>
      <c r="G228"/>
      <c r="H228"/>
      <c r="I228" s="104"/>
    </row>
    <row r="229" spans="1:9" x14ac:dyDescent="0.25">
      <c r="A229" s="19"/>
      <c r="C229"/>
      <c r="D229" s="104"/>
      <c r="E229"/>
      <c r="F229"/>
      <c r="G229"/>
      <c r="H229"/>
      <c r="I229" s="104"/>
    </row>
    <row r="230" spans="1:9" x14ac:dyDescent="0.25">
      <c r="A230" s="19"/>
      <c r="C230"/>
      <c r="D230" s="104"/>
      <c r="E230"/>
      <c r="F230"/>
      <c r="G230"/>
      <c r="H230"/>
      <c r="I230" s="104"/>
    </row>
    <row r="231" spans="1:9" x14ac:dyDescent="0.25">
      <c r="A231" s="19"/>
      <c r="C231"/>
      <c r="D231" s="104"/>
      <c r="E231"/>
      <c r="F231"/>
      <c r="G231"/>
      <c r="H231"/>
      <c r="I231" s="104"/>
    </row>
    <row r="232" spans="1:9" x14ac:dyDescent="0.25">
      <c r="A232" s="19"/>
      <c r="C232"/>
      <c r="D232" s="104"/>
      <c r="E232"/>
      <c r="F232"/>
      <c r="G232"/>
      <c r="H232"/>
      <c r="I232" s="104"/>
    </row>
    <row r="233" spans="1:9" x14ac:dyDescent="0.25">
      <c r="A233" s="19"/>
      <c r="C233"/>
      <c r="D233" s="104"/>
      <c r="E233"/>
      <c r="F233"/>
      <c r="G233"/>
      <c r="H233"/>
      <c r="I233" s="104"/>
    </row>
    <row r="234" spans="1:9" x14ac:dyDescent="0.25">
      <c r="A234" s="19"/>
      <c r="C234"/>
      <c r="D234" s="104"/>
      <c r="E234"/>
      <c r="F234"/>
      <c r="G234"/>
      <c r="H234"/>
      <c r="I234" s="104"/>
    </row>
    <row r="235" spans="1:9" x14ac:dyDescent="0.25">
      <c r="A235" s="19"/>
      <c r="C235"/>
      <c r="D235" s="104"/>
      <c r="E235"/>
      <c r="F235"/>
      <c r="G235"/>
      <c r="H235"/>
      <c r="I235" s="104"/>
    </row>
    <row r="236" spans="1:9" x14ac:dyDescent="0.25">
      <c r="A236" s="19"/>
      <c r="C236"/>
      <c r="D236" s="104"/>
      <c r="E236"/>
      <c r="F236"/>
      <c r="G236"/>
      <c r="H236"/>
      <c r="I236" s="104"/>
    </row>
    <row r="237" spans="1:9" x14ac:dyDescent="0.25">
      <c r="A237" s="19"/>
      <c r="C237"/>
      <c r="D237" s="104"/>
      <c r="E237"/>
      <c r="F237"/>
      <c r="G237"/>
      <c r="H237"/>
      <c r="I237" s="104"/>
    </row>
    <row r="238" spans="1:9" x14ac:dyDescent="0.25">
      <c r="A238" s="19"/>
      <c r="C238"/>
      <c r="D238" s="104"/>
      <c r="E238"/>
      <c r="F238"/>
      <c r="G238"/>
      <c r="H238"/>
      <c r="I238" s="104"/>
    </row>
    <row r="239" spans="1:9" x14ac:dyDescent="0.25">
      <c r="A239" s="19"/>
      <c r="C239"/>
      <c r="D239" s="104"/>
      <c r="E239"/>
      <c r="F239"/>
      <c r="G239"/>
      <c r="H239"/>
      <c r="I239" s="104"/>
    </row>
    <row r="240" spans="1:9" x14ac:dyDescent="0.25">
      <c r="A240" s="19"/>
      <c r="C240"/>
      <c r="D240" s="104"/>
      <c r="E240"/>
      <c r="F240"/>
      <c r="G240"/>
      <c r="H240"/>
      <c r="I240" s="104"/>
    </row>
    <row r="241" spans="1:9" x14ac:dyDescent="0.25">
      <c r="A241" s="19"/>
      <c r="C241"/>
      <c r="D241" s="104"/>
      <c r="E241"/>
      <c r="F241"/>
      <c r="G241"/>
      <c r="H241"/>
      <c r="I241" s="104"/>
    </row>
    <row r="242" spans="1:9" x14ac:dyDescent="0.25">
      <c r="A242" s="19"/>
      <c r="C242"/>
      <c r="D242" s="104"/>
      <c r="E242"/>
      <c r="F242"/>
      <c r="G242"/>
      <c r="H242"/>
      <c r="I242" s="104"/>
    </row>
    <row r="243" spans="1:9" x14ac:dyDescent="0.25">
      <c r="A243" s="19"/>
      <c r="C243"/>
      <c r="D243" s="104"/>
      <c r="E243"/>
      <c r="F243"/>
      <c r="G243"/>
      <c r="H243"/>
      <c r="I243" s="104"/>
    </row>
    <row r="244" spans="1:9" x14ac:dyDescent="0.25">
      <c r="A244" s="19"/>
      <c r="C244"/>
      <c r="D244" s="104"/>
      <c r="E244"/>
      <c r="F244"/>
      <c r="G244"/>
      <c r="H244"/>
      <c r="I244" s="104"/>
    </row>
    <row r="245" spans="1:9" x14ac:dyDescent="0.25">
      <c r="A245" s="19"/>
      <c r="C245"/>
      <c r="D245" s="104"/>
      <c r="E245"/>
      <c r="F245"/>
      <c r="G245"/>
      <c r="H245"/>
      <c r="I245" s="104"/>
    </row>
    <row r="246" spans="1:9" x14ac:dyDescent="0.25">
      <c r="A246" s="19"/>
      <c r="C246"/>
      <c r="D246" s="104"/>
      <c r="E246"/>
      <c r="F246"/>
      <c r="G246"/>
      <c r="H246"/>
      <c r="I246" s="104"/>
    </row>
    <row r="247" spans="1:9" x14ac:dyDescent="0.25">
      <c r="A247" s="19"/>
      <c r="C247"/>
      <c r="D247" s="104"/>
      <c r="E247"/>
      <c r="F247"/>
      <c r="G247"/>
      <c r="H247"/>
      <c r="I247" s="104"/>
    </row>
    <row r="248" spans="1:9" x14ac:dyDescent="0.25">
      <c r="A248" s="19"/>
      <c r="C248"/>
      <c r="D248" s="104"/>
      <c r="E248"/>
      <c r="F248"/>
      <c r="G248"/>
      <c r="H248"/>
      <c r="I248" s="104"/>
    </row>
    <row r="249" spans="1:9" x14ac:dyDescent="0.25">
      <c r="A249" s="19"/>
      <c r="C249"/>
      <c r="D249" s="104"/>
      <c r="E249"/>
      <c r="F249"/>
      <c r="G249"/>
      <c r="H249"/>
      <c r="I249" s="104"/>
    </row>
    <row r="250" spans="1:9" x14ac:dyDescent="0.25">
      <c r="A250" s="19"/>
      <c r="C250"/>
      <c r="D250" s="104"/>
      <c r="E250"/>
      <c r="F250"/>
      <c r="G250"/>
      <c r="H250"/>
      <c r="I250" s="104"/>
    </row>
    <row r="251" spans="1:9" x14ac:dyDescent="0.25">
      <c r="A251" s="19"/>
      <c r="C251"/>
      <c r="D251" s="104"/>
      <c r="E251"/>
      <c r="F251"/>
      <c r="G251"/>
      <c r="H251"/>
      <c r="I251" s="104"/>
    </row>
    <row r="252" spans="1:9" x14ac:dyDescent="0.25">
      <c r="A252" s="19"/>
      <c r="C252"/>
      <c r="D252" s="104"/>
      <c r="E252"/>
      <c r="F252"/>
      <c r="G252"/>
      <c r="H252"/>
      <c r="I252" s="104"/>
    </row>
    <row r="253" spans="1:9" x14ac:dyDescent="0.25">
      <c r="A253" s="19"/>
      <c r="C253"/>
      <c r="D253" s="104"/>
      <c r="E253"/>
      <c r="F253"/>
      <c r="G253"/>
      <c r="H253"/>
      <c r="I253" s="104"/>
    </row>
    <row r="254" spans="1:9" x14ac:dyDescent="0.25">
      <c r="A254" s="19"/>
      <c r="C254"/>
      <c r="D254" s="104"/>
      <c r="E254"/>
      <c r="F254"/>
      <c r="G254"/>
      <c r="H254"/>
      <c r="I254" s="104"/>
    </row>
    <row r="255" spans="1:9" x14ac:dyDescent="0.25">
      <c r="A255" s="19"/>
      <c r="C255"/>
      <c r="D255" s="104"/>
      <c r="E255"/>
      <c r="F255"/>
      <c r="G255"/>
      <c r="H255"/>
      <c r="I255" s="104"/>
    </row>
    <row r="256" spans="1:9" x14ac:dyDescent="0.25">
      <c r="A256" s="19"/>
      <c r="C256"/>
      <c r="D256" s="104"/>
      <c r="E256"/>
      <c r="F256"/>
      <c r="G256"/>
      <c r="H256"/>
      <c r="I256" s="104"/>
    </row>
    <row r="257" spans="1:9" x14ac:dyDescent="0.25">
      <c r="A257" s="19"/>
      <c r="C257"/>
      <c r="D257" s="104"/>
      <c r="E257"/>
      <c r="F257"/>
      <c r="G257"/>
      <c r="H257"/>
      <c r="I257" s="104"/>
    </row>
    <row r="258" spans="1:9" x14ac:dyDescent="0.25">
      <c r="A258" s="19"/>
      <c r="C258"/>
      <c r="D258" s="104"/>
      <c r="E258"/>
      <c r="F258"/>
      <c r="G258"/>
      <c r="H258"/>
      <c r="I258" s="104"/>
    </row>
    <row r="259" spans="1:9" x14ac:dyDescent="0.25">
      <c r="A259" s="19"/>
      <c r="C259"/>
      <c r="D259" s="104"/>
      <c r="E259"/>
      <c r="F259"/>
      <c r="G259"/>
      <c r="H259"/>
      <c r="I259" s="104"/>
    </row>
    <row r="260" spans="1:9" x14ac:dyDescent="0.25">
      <c r="A260" s="19"/>
      <c r="C260"/>
      <c r="D260" s="104"/>
      <c r="E260"/>
      <c r="F260"/>
      <c r="G260"/>
      <c r="H260"/>
      <c r="I260" s="104"/>
    </row>
    <row r="261" spans="1:9" x14ac:dyDescent="0.25">
      <c r="A261" s="19"/>
      <c r="C261"/>
      <c r="D261" s="104"/>
      <c r="E261"/>
      <c r="F261"/>
      <c r="G261"/>
      <c r="H261"/>
      <c r="I261" s="104"/>
    </row>
    <row r="262" spans="1:9" x14ac:dyDescent="0.25">
      <c r="A262" s="19"/>
      <c r="C262"/>
      <c r="D262" s="104"/>
      <c r="E262"/>
      <c r="F262"/>
      <c r="G262"/>
      <c r="H262"/>
      <c r="I262" s="104"/>
    </row>
    <row r="263" spans="1:9" x14ac:dyDescent="0.25">
      <c r="A263" s="19"/>
      <c r="C263"/>
      <c r="D263" s="104"/>
      <c r="E263"/>
      <c r="F263"/>
      <c r="G263"/>
      <c r="H263"/>
      <c r="I263" s="104"/>
    </row>
    <row r="264" spans="1:9" x14ac:dyDescent="0.25">
      <c r="A264" s="19"/>
      <c r="C264"/>
      <c r="D264" s="104"/>
      <c r="E264"/>
      <c r="F264"/>
      <c r="G264"/>
      <c r="H264"/>
      <c r="I264" s="104"/>
    </row>
    <row r="265" spans="1:9" x14ac:dyDescent="0.25">
      <c r="A265" s="19"/>
      <c r="C265"/>
      <c r="D265" s="104"/>
      <c r="E265"/>
      <c r="F265"/>
      <c r="G265"/>
      <c r="H265"/>
      <c r="I265" s="104"/>
    </row>
    <row r="266" spans="1:9" x14ac:dyDescent="0.25">
      <c r="A266" s="19"/>
      <c r="C266"/>
      <c r="D266" s="104"/>
      <c r="E266"/>
      <c r="F266"/>
      <c r="G266"/>
      <c r="H266"/>
      <c r="I266" s="104"/>
    </row>
    <row r="267" spans="1:9" x14ac:dyDescent="0.25">
      <c r="A267" s="19"/>
      <c r="C267"/>
      <c r="D267" s="104"/>
      <c r="E267"/>
      <c r="F267"/>
      <c r="G267"/>
      <c r="H267"/>
      <c r="I267" s="104"/>
    </row>
    <row r="268" spans="1:9" x14ac:dyDescent="0.25">
      <c r="A268" s="19"/>
      <c r="C268"/>
      <c r="D268" s="104"/>
      <c r="E268"/>
      <c r="F268"/>
      <c r="G268"/>
      <c r="H268"/>
      <c r="I268" s="104"/>
    </row>
    <row r="269" spans="1:9" x14ac:dyDescent="0.25">
      <c r="A269" s="19"/>
      <c r="C269"/>
      <c r="D269" s="104"/>
      <c r="E269"/>
      <c r="F269"/>
      <c r="G269"/>
      <c r="H269"/>
      <c r="I269" s="104"/>
    </row>
    <row r="270" spans="1:9" x14ac:dyDescent="0.25">
      <c r="A270" s="19"/>
      <c r="C270"/>
      <c r="D270" s="104"/>
      <c r="E270"/>
      <c r="F270"/>
      <c r="G270"/>
      <c r="H270"/>
      <c r="I270" s="104"/>
    </row>
    <row r="271" spans="1:9" x14ac:dyDescent="0.25">
      <c r="A271" s="19"/>
      <c r="C271"/>
      <c r="D271" s="104"/>
      <c r="E271"/>
      <c r="F271"/>
      <c r="G271"/>
      <c r="H271"/>
      <c r="I271" s="104"/>
    </row>
    <row r="272" spans="1:9" x14ac:dyDescent="0.25">
      <c r="A272" s="19"/>
      <c r="C272"/>
      <c r="D272" s="104"/>
      <c r="E272"/>
      <c r="F272"/>
      <c r="G272"/>
      <c r="H272"/>
      <c r="I272" s="104"/>
    </row>
    <row r="273" spans="1:9" x14ac:dyDescent="0.25">
      <c r="A273" s="19"/>
      <c r="C273"/>
      <c r="D273" s="104"/>
      <c r="E273"/>
      <c r="F273"/>
      <c r="G273"/>
      <c r="H273"/>
      <c r="I273" s="104"/>
    </row>
    <row r="274" spans="1:9" x14ac:dyDescent="0.25">
      <c r="A274" s="19"/>
      <c r="C274"/>
      <c r="D274" s="104"/>
      <c r="E274"/>
      <c r="F274"/>
      <c r="G274"/>
      <c r="H274"/>
      <c r="I274" s="104"/>
    </row>
    <row r="275" spans="1:9" x14ac:dyDescent="0.25">
      <c r="A275" s="19"/>
      <c r="C275"/>
      <c r="D275" s="104"/>
      <c r="E275"/>
      <c r="F275"/>
      <c r="G275"/>
      <c r="H275"/>
      <c r="I275" s="104"/>
    </row>
    <row r="276" spans="1:9" x14ac:dyDescent="0.25">
      <c r="A276" s="19"/>
      <c r="C276"/>
      <c r="D276" s="104"/>
      <c r="E276"/>
      <c r="F276"/>
      <c r="G276"/>
      <c r="H276"/>
      <c r="I276" s="104"/>
    </row>
    <row r="277" spans="1:9" x14ac:dyDescent="0.25">
      <c r="A277" s="19"/>
      <c r="C277"/>
      <c r="D277" s="104"/>
      <c r="E277"/>
      <c r="F277"/>
      <c r="G277"/>
      <c r="H277"/>
      <c r="I277" s="104"/>
    </row>
    <row r="278" spans="1:9" x14ac:dyDescent="0.25">
      <c r="A278" s="19"/>
      <c r="C278"/>
      <c r="D278" s="104"/>
      <c r="E278"/>
      <c r="F278"/>
      <c r="G278"/>
      <c r="H278"/>
      <c r="I278" s="104"/>
    </row>
    <row r="279" spans="1:9" x14ac:dyDescent="0.25">
      <c r="A279" s="19"/>
      <c r="C279"/>
      <c r="D279" s="104"/>
      <c r="E279"/>
      <c r="F279"/>
      <c r="G279"/>
      <c r="H279"/>
      <c r="I279" s="104"/>
    </row>
    <row r="280" spans="1:9" x14ac:dyDescent="0.25">
      <c r="A280" s="19"/>
      <c r="C280"/>
      <c r="D280" s="104"/>
      <c r="E280"/>
      <c r="F280"/>
      <c r="G280"/>
      <c r="H280"/>
      <c r="I280" s="104"/>
    </row>
    <row r="281" spans="1:9" x14ac:dyDescent="0.25">
      <c r="A281" s="19"/>
      <c r="C281"/>
      <c r="D281" s="104"/>
      <c r="E281"/>
      <c r="F281"/>
      <c r="G281"/>
      <c r="H281"/>
      <c r="I281" s="104"/>
    </row>
    <row r="282" spans="1:9" x14ac:dyDescent="0.25">
      <c r="A282" s="19"/>
      <c r="C282"/>
      <c r="D282" s="104"/>
      <c r="E282"/>
      <c r="F282"/>
      <c r="G282"/>
      <c r="H282"/>
      <c r="I282" s="104"/>
    </row>
    <row r="283" spans="1:9" x14ac:dyDescent="0.25">
      <c r="A283" s="19"/>
      <c r="C283"/>
      <c r="D283" s="104"/>
      <c r="E283"/>
      <c r="F283"/>
      <c r="G283"/>
      <c r="H283"/>
      <c r="I283" s="104"/>
    </row>
    <row r="284" spans="1:9" x14ac:dyDescent="0.25">
      <c r="A284" s="19"/>
      <c r="C284"/>
      <c r="D284" s="104"/>
      <c r="E284"/>
      <c r="F284"/>
      <c r="G284"/>
      <c r="H284"/>
      <c r="I284" s="104"/>
    </row>
    <row r="285" spans="1:9" x14ac:dyDescent="0.25">
      <c r="A285" s="19"/>
      <c r="C285"/>
      <c r="D285" s="104"/>
      <c r="E285"/>
      <c r="F285"/>
      <c r="G285"/>
      <c r="H285"/>
      <c r="I285" s="104"/>
    </row>
    <row r="286" spans="1:9" x14ac:dyDescent="0.25">
      <c r="A286" s="19"/>
      <c r="C286"/>
      <c r="D286" s="104"/>
      <c r="E286"/>
      <c r="F286"/>
      <c r="G286"/>
      <c r="H286"/>
      <c r="I286" s="104"/>
    </row>
    <row r="287" spans="1:9" x14ac:dyDescent="0.25">
      <c r="A287" s="19"/>
      <c r="C287"/>
      <c r="D287" s="104"/>
      <c r="E287"/>
      <c r="F287"/>
      <c r="G287"/>
      <c r="H287"/>
      <c r="I287" s="104"/>
    </row>
    <row r="288" spans="1:9" x14ac:dyDescent="0.25">
      <c r="A288" s="19"/>
      <c r="C288"/>
      <c r="D288" s="104"/>
      <c r="E288"/>
      <c r="F288"/>
      <c r="G288"/>
      <c r="H288"/>
      <c r="I288" s="104"/>
    </row>
    <row r="289" spans="1:9" x14ac:dyDescent="0.25">
      <c r="A289" s="19"/>
      <c r="C289"/>
      <c r="D289" s="104"/>
      <c r="E289"/>
      <c r="F289"/>
      <c r="G289"/>
      <c r="H289"/>
      <c r="I289" s="104"/>
    </row>
    <row r="290" spans="1:9" x14ac:dyDescent="0.25">
      <c r="A290" s="19"/>
      <c r="C290"/>
      <c r="D290" s="104"/>
      <c r="E290"/>
      <c r="F290"/>
      <c r="G290"/>
      <c r="H290"/>
      <c r="I290" s="104"/>
    </row>
    <row r="291" spans="1:9" x14ac:dyDescent="0.25">
      <c r="A291" s="19"/>
      <c r="C291"/>
      <c r="D291" s="104"/>
      <c r="E291"/>
      <c r="F291"/>
      <c r="G291"/>
      <c r="H291"/>
      <c r="I291" s="104"/>
    </row>
    <row r="292" spans="1:9" x14ac:dyDescent="0.25">
      <c r="A292" s="19"/>
      <c r="C292"/>
      <c r="D292" s="104"/>
      <c r="E292"/>
      <c r="F292"/>
      <c r="G292"/>
      <c r="H292"/>
      <c r="I292" s="104"/>
    </row>
    <row r="293" spans="1:9" x14ac:dyDescent="0.25">
      <c r="A293" s="19"/>
      <c r="C293"/>
      <c r="D293" s="104"/>
      <c r="E293"/>
      <c r="F293"/>
      <c r="G293"/>
      <c r="H293"/>
      <c r="I293" s="104"/>
    </row>
    <row r="294" spans="1:9" x14ac:dyDescent="0.25">
      <c r="A294" s="19"/>
      <c r="C294"/>
      <c r="D294" s="104"/>
      <c r="E294"/>
      <c r="F294"/>
      <c r="G294"/>
      <c r="H294"/>
      <c r="I294" s="104"/>
    </row>
    <row r="295" spans="1:9" x14ac:dyDescent="0.25">
      <c r="A295" s="19"/>
      <c r="C295"/>
      <c r="D295" s="104"/>
      <c r="E295"/>
      <c r="F295"/>
      <c r="G295"/>
      <c r="H295"/>
      <c r="I295" s="104"/>
    </row>
    <row r="296" spans="1:9" x14ac:dyDescent="0.25">
      <c r="A296" s="19"/>
      <c r="C296"/>
      <c r="D296" s="104"/>
      <c r="E296"/>
      <c r="F296"/>
      <c r="G296"/>
      <c r="H296"/>
      <c r="I296" s="104"/>
    </row>
    <row r="297" spans="1:9" x14ac:dyDescent="0.25">
      <c r="A297" s="19"/>
      <c r="C297"/>
      <c r="D297" s="104"/>
      <c r="E297"/>
      <c r="F297"/>
      <c r="G297"/>
      <c r="H297"/>
      <c r="I297" s="104"/>
    </row>
    <row r="298" spans="1:9" x14ac:dyDescent="0.25">
      <c r="A298" s="19"/>
      <c r="C298"/>
      <c r="D298" s="104"/>
      <c r="E298"/>
      <c r="F298"/>
      <c r="G298"/>
      <c r="H298"/>
      <c r="I298" s="104"/>
    </row>
    <row r="299" spans="1:9" x14ac:dyDescent="0.25">
      <c r="A299" s="19"/>
      <c r="C299"/>
      <c r="D299" s="104"/>
      <c r="E299"/>
      <c r="F299"/>
      <c r="G299"/>
      <c r="H299"/>
      <c r="I299" s="104"/>
    </row>
    <row r="300" spans="1:9" x14ac:dyDescent="0.25">
      <c r="A300" s="19"/>
      <c r="C300"/>
      <c r="D300" s="104"/>
      <c r="E300"/>
      <c r="F300"/>
      <c r="G300"/>
      <c r="H300"/>
      <c r="I300" s="104"/>
    </row>
    <row r="301" spans="1:9" x14ac:dyDescent="0.25">
      <c r="A301" s="19"/>
      <c r="C301"/>
      <c r="D301" s="104"/>
      <c r="E301"/>
      <c r="F301"/>
      <c r="G301"/>
      <c r="H301"/>
      <c r="I301" s="104"/>
    </row>
    <row r="302" spans="1:9" x14ac:dyDescent="0.25">
      <c r="A302" s="19"/>
      <c r="C302"/>
      <c r="D302" s="104"/>
      <c r="E302"/>
      <c r="F302"/>
      <c r="G302"/>
      <c r="H302"/>
      <c r="I302" s="104"/>
    </row>
    <row r="303" spans="1:9" x14ac:dyDescent="0.25">
      <c r="A303" s="19"/>
      <c r="C303"/>
      <c r="D303" s="104"/>
      <c r="E303"/>
      <c r="F303"/>
      <c r="G303"/>
      <c r="H303"/>
      <c r="I303" s="104"/>
    </row>
    <row r="304" spans="1:9" x14ac:dyDescent="0.25">
      <c r="A304" s="19"/>
      <c r="C304"/>
      <c r="D304" s="104"/>
      <c r="E304"/>
      <c r="F304"/>
      <c r="G304"/>
      <c r="H304"/>
      <c r="I304" s="104"/>
    </row>
    <row r="305" spans="1:9" x14ac:dyDescent="0.25">
      <c r="A305" s="19"/>
      <c r="C305"/>
      <c r="D305" s="104"/>
      <c r="E305"/>
      <c r="F305"/>
      <c r="G305"/>
      <c r="H305"/>
      <c r="I305" s="104"/>
    </row>
    <row r="306" spans="1:9" x14ac:dyDescent="0.25">
      <c r="A306" s="19"/>
      <c r="C306"/>
      <c r="D306" s="104"/>
      <c r="E306"/>
      <c r="F306"/>
      <c r="G306"/>
      <c r="H306"/>
      <c r="I306" s="104"/>
    </row>
    <row r="307" spans="1:9" x14ac:dyDescent="0.25">
      <c r="A307" s="19"/>
      <c r="C307"/>
      <c r="D307" s="104"/>
      <c r="E307"/>
      <c r="F307"/>
      <c r="G307"/>
      <c r="H307"/>
      <c r="I307" s="104"/>
    </row>
    <row r="308" spans="1:9" x14ac:dyDescent="0.25">
      <c r="A308" s="19"/>
      <c r="C308"/>
      <c r="D308" s="104"/>
      <c r="E308"/>
      <c r="F308"/>
      <c r="G308"/>
      <c r="H308"/>
      <c r="I308" s="104"/>
    </row>
    <row r="309" spans="1:9" x14ac:dyDescent="0.25">
      <c r="A309" s="19"/>
      <c r="C309"/>
      <c r="D309" s="104"/>
      <c r="E309"/>
      <c r="F309"/>
      <c r="G309"/>
      <c r="H309"/>
      <c r="I309" s="104"/>
    </row>
    <row r="310" spans="1:9" x14ac:dyDescent="0.25">
      <c r="A310" s="19"/>
      <c r="C310"/>
      <c r="D310" s="104"/>
      <c r="E310"/>
      <c r="F310"/>
      <c r="G310"/>
      <c r="H310"/>
      <c r="I310" s="104"/>
    </row>
    <row r="311" spans="1:9" x14ac:dyDescent="0.25">
      <c r="A311" s="19"/>
      <c r="C311"/>
      <c r="D311" s="104"/>
      <c r="E311"/>
      <c r="F311"/>
      <c r="G311"/>
      <c r="H311"/>
      <c r="I311" s="104"/>
    </row>
    <row r="312" spans="1:9" x14ac:dyDescent="0.25">
      <c r="A312" s="19"/>
      <c r="C312"/>
      <c r="D312" s="104"/>
      <c r="E312"/>
      <c r="F312"/>
      <c r="G312"/>
      <c r="H312"/>
      <c r="I312" s="104"/>
    </row>
    <row r="313" spans="1:9" x14ac:dyDescent="0.25">
      <c r="A313" s="19"/>
      <c r="C313"/>
      <c r="D313" s="104"/>
      <c r="E313"/>
      <c r="F313"/>
      <c r="G313"/>
      <c r="H313"/>
      <c r="I313" s="104"/>
    </row>
    <row r="314" spans="1:9" x14ac:dyDescent="0.25">
      <c r="A314" s="19"/>
      <c r="C314"/>
      <c r="D314" s="104"/>
      <c r="E314"/>
      <c r="F314"/>
      <c r="G314"/>
      <c r="H314"/>
      <c r="I314" s="104"/>
    </row>
    <row r="315" spans="1:9" x14ac:dyDescent="0.25">
      <c r="A315" s="19"/>
      <c r="C315"/>
      <c r="D315" s="104"/>
      <c r="E315"/>
      <c r="F315"/>
      <c r="G315"/>
      <c r="H315"/>
      <c r="I315" s="104"/>
    </row>
    <row r="316" spans="1:9" x14ac:dyDescent="0.25">
      <c r="A316" s="19"/>
      <c r="C316"/>
      <c r="D316" s="104"/>
      <c r="E316"/>
      <c r="F316"/>
      <c r="G316"/>
      <c r="H316"/>
      <c r="I316" s="104"/>
    </row>
    <row r="317" spans="1:9" x14ac:dyDescent="0.25">
      <c r="A317" s="19"/>
      <c r="C317"/>
      <c r="D317" s="104"/>
      <c r="E317"/>
      <c r="F317"/>
      <c r="G317"/>
      <c r="H317"/>
      <c r="I317" s="104"/>
    </row>
    <row r="318" spans="1:9" x14ac:dyDescent="0.25">
      <c r="A318" s="19"/>
      <c r="C318"/>
      <c r="D318" s="104"/>
      <c r="E318"/>
      <c r="F318"/>
      <c r="G318"/>
      <c r="H318"/>
      <c r="I318" s="104"/>
    </row>
    <row r="319" spans="1:9" x14ac:dyDescent="0.25">
      <c r="A319" s="19"/>
      <c r="C319"/>
      <c r="D319" s="104"/>
      <c r="E319"/>
      <c r="F319"/>
      <c r="G319"/>
      <c r="H319"/>
      <c r="I319" s="104"/>
    </row>
    <row r="320" spans="1:9" x14ac:dyDescent="0.25">
      <c r="A320" s="19"/>
      <c r="C320"/>
      <c r="D320" s="104"/>
      <c r="E320"/>
      <c r="F320"/>
      <c r="G320"/>
      <c r="H320"/>
      <c r="I320" s="104"/>
    </row>
    <row r="321" spans="1:9" x14ac:dyDescent="0.25">
      <c r="A321" s="19"/>
      <c r="C321"/>
      <c r="D321" s="104"/>
      <c r="E321"/>
      <c r="F321"/>
      <c r="G321"/>
      <c r="H321"/>
      <c r="I321" s="104"/>
    </row>
    <row r="322" spans="1:9" x14ac:dyDescent="0.25">
      <c r="A322" s="19"/>
      <c r="C322"/>
      <c r="D322" s="104"/>
      <c r="E322"/>
      <c r="F322"/>
      <c r="G322"/>
      <c r="H322"/>
      <c r="I322" s="104"/>
    </row>
    <row r="323" spans="1:9" x14ac:dyDescent="0.25">
      <c r="A323" s="19"/>
      <c r="C323"/>
      <c r="D323" s="104"/>
      <c r="E323"/>
      <c r="F323"/>
      <c r="G323"/>
      <c r="H323"/>
      <c r="I323" s="104"/>
    </row>
    <row r="324" spans="1:9" x14ac:dyDescent="0.25">
      <c r="A324" s="19"/>
      <c r="C324"/>
      <c r="D324" s="104"/>
      <c r="E324"/>
      <c r="F324"/>
      <c r="G324"/>
      <c r="H324"/>
      <c r="I324" s="104"/>
    </row>
    <row r="325" spans="1:9" x14ac:dyDescent="0.25">
      <c r="A325" s="19"/>
      <c r="C325"/>
      <c r="D325" s="104"/>
      <c r="E325"/>
      <c r="F325"/>
      <c r="G325"/>
      <c r="H325"/>
      <c r="I325" s="104"/>
    </row>
    <row r="326" spans="1:9" x14ac:dyDescent="0.25">
      <c r="A326" s="19"/>
      <c r="C326"/>
      <c r="D326" s="104"/>
      <c r="E326"/>
      <c r="F326"/>
      <c r="G326"/>
      <c r="H326"/>
      <c r="I326" s="104"/>
    </row>
    <row r="327" spans="1:9" x14ac:dyDescent="0.25">
      <c r="A327" s="19"/>
      <c r="C327"/>
      <c r="D327" s="104"/>
      <c r="E327"/>
      <c r="F327"/>
      <c r="G327"/>
      <c r="H327"/>
      <c r="I327" s="104"/>
    </row>
    <row r="328" spans="1:9" x14ac:dyDescent="0.25">
      <c r="A328" s="19"/>
      <c r="C328"/>
      <c r="D328" s="104"/>
      <c r="E328"/>
      <c r="F328"/>
      <c r="G328"/>
      <c r="H328"/>
      <c r="I328" s="104"/>
    </row>
    <row r="329" spans="1:9" x14ac:dyDescent="0.25">
      <c r="A329" s="19"/>
      <c r="C329"/>
      <c r="D329" s="104"/>
      <c r="E329"/>
      <c r="F329"/>
      <c r="G329"/>
      <c r="H329"/>
      <c r="I329" s="104"/>
    </row>
    <row r="330" spans="1:9" x14ac:dyDescent="0.25">
      <c r="A330" s="19"/>
      <c r="C330"/>
      <c r="D330" s="104"/>
      <c r="E330"/>
      <c r="F330"/>
      <c r="G330"/>
      <c r="H330"/>
      <c r="I330" s="104"/>
    </row>
    <row r="331" spans="1:9" x14ac:dyDescent="0.25">
      <c r="A331" s="19"/>
      <c r="C331"/>
      <c r="D331" s="104"/>
      <c r="E331"/>
      <c r="F331"/>
      <c r="G331"/>
      <c r="H331"/>
      <c r="I331" s="104"/>
    </row>
    <row r="332" spans="1:9" x14ac:dyDescent="0.25">
      <c r="A332" s="19"/>
      <c r="C332"/>
      <c r="D332" s="104"/>
      <c r="E332"/>
      <c r="F332"/>
      <c r="G332"/>
      <c r="H332"/>
      <c r="I332" s="104"/>
    </row>
    <row r="333" spans="1:9" x14ac:dyDescent="0.25">
      <c r="A333" s="19"/>
      <c r="C333"/>
      <c r="D333" s="104"/>
      <c r="E333"/>
      <c r="F333"/>
      <c r="G333"/>
      <c r="H333"/>
      <c r="I333" s="104"/>
    </row>
    <row r="334" spans="1:9" x14ac:dyDescent="0.25">
      <c r="A334" s="19"/>
      <c r="C334"/>
      <c r="D334" s="104"/>
      <c r="E334"/>
      <c r="F334"/>
      <c r="G334"/>
      <c r="H334"/>
      <c r="I334" s="104"/>
    </row>
    <row r="335" spans="1:9" x14ac:dyDescent="0.25">
      <c r="A335" s="19"/>
      <c r="C335"/>
      <c r="D335" s="104"/>
      <c r="E335"/>
      <c r="F335"/>
      <c r="G335"/>
      <c r="H335"/>
      <c r="I335" s="104"/>
    </row>
    <row r="336" spans="1:9" x14ac:dyDescent="0.25">
      <c r="A336" s="19"/>
      <c r="C336"/>
      <c r="D336" s="104"/>
      <c r="E336"/>
      <c r="F336"/>
      <c r="G336"/>
      <c r="H336"/>
      <c r="I336" s="104"/>
    </row>
    <row r="337" spans="1:9" x14ac:dyDescent="0.25">
      <c r="A337" s="19"/>
      <c r="C337"/>
      <c r="D337" s="104"/>
      <c r="E337"/>
      <c r="F337"/>
      <c r="G337"/>
      <c r="H337"/>
      <c r="I337" s="104"/>
    </row>
    <row r="338" spans="1:9" x14ac:dyDescent="0.25">
      <c r="A338" s="19"/>
      <c r="C338"/>
      <c r="D338" s="104"/>
      <c r="E338"/>
      <c r="F338"/>
      <c r="G338"/>
      <c r="H338"/>
      <c r="I338" s="104"/>
    </row>
    <row r="339" spans="1:9" x14ac:dyDescent="0.25">
      <c r="A339" s="19"/>
      <c r="C339"/>
      <c r="D339" s="104"/>
      <c r="E339"/>
      <c r="F339"/>
      <c r="G339"/>
      <c r="H339"/>
      <c r="I339" s="104"/>
    </row>
    <row r="340" spans="1:9" x14ac:dyDescent="0.25">
      <c r="A340" s="19"/>
      <c r="C340"/>
      <c r="D340" s="104"/>
      <c r="E340"/>
      <c r="F340"/>
      <c r="G340"/>
      <c r="H340"/>
      <c r="I340" s="104"/>
    </row>
    <row r="341" spans="1:9" x14ac:dyDescent="0.25">
      <c r="A341" s="19"/>
      <c r="C341"/>
      <c r="D341" s="104"/>
      <c r="E341"/>
      <c r="F341"/>
      <c r="G341"/>
      <c r="H341"/>
      <c r="I341" s="104"/>
    </row>
    <row r="342" spans="1:9" x14ac:dyDescent="0.25">
      <c r="A342" s="19"/>
      <c r="C342"/>
      <c r="D342" s="104"/>
      <c r="E342"/>
      <c r="F342"/>
      <c r="G342"/>
      <c r="H342"/>
      <c r="I342" s="104"/>
    </row>
    <row r="343" spans="1:9" x14ac:dyDescent="0.25">
      <c r="A343" s="19"/>
      <c r="C343"/>
      <c r="D343" s="104"/>
      <c r="E343"/>
      <c r="F343"/>
      <c r="G343"/>
      <c r="H343"/>
      <c r="I343" s="104"/>
    </row>
    <row r="344" spans="1:9" x14ac:dyDescent="0.25">
      <c r="A344" s="19"/>
      <c r="C344"/>
      <c r="D344" s="104"/>
      <c r="E344"/>
      <c r="F344"/>
      <c r="G344"/>
      <c r="H344"/>
      <c r="I344" s="104"/>
    </row>
    <row r="345" spans="1:9" x14ac:dyDescent="0.25">
      <c r="A345" s="19"/>
      <c r="C345"/>
      <c r="D345" s="104"/>
      <c r="E345"/>
      <c r="F345"/>
      <c r="G345"/>
      <c r="H345"/>
      <c r="I345" s="104"/>
    </row>
    <row r="346" spans="1:9" x14ac:dyDescent="0.25">
      <c r="A346" s="19"/>
      <c r="C346"/>
      <c r="D346" s="104"/>
      <c r="E346"/>
      <c r="F346"/>
      <c r="G346"/>
      <c r="H346"/>
      <c r="I346" s="104"/>
    </row>
    <row r="347" spans="1:9" x14ac:dyDescent="0.25">
      <c r="A347" s="19"/>
      <c r="C347"/>
      <c r="D347" s="104"/>
      <c r="E347"/>
      <c r="F347"/>
      <c r="G347"/>
      <c r="H347"/>
      <c r="I347" s="104"/>
    </row>
    <row r="348" spans="1:9" x14ac:dyDescent="0.25">
      <c r="A348" s="19"/>
      <c r="C348"/>
      <c r="D348" s="104"/>
      <c r="E348"/>
      <c r="F348"/>
      <c r="G348"/>
      <c r="H348"/>
      <c r="I348" s="104"/>
    </row>
    <row r="349" spans="1:9" x14ac:dyDescent="0.25">
      <c r="A349" s="19"/>
      <c r="C349"/>
      <c r="D349" s="104"/>
      <c r="E349"/>
      <c r="F349"/>
      <c r="G349"/>
      <c r="H349"/>
      <c r="I349" s="104"/>
    </row>
    <row r="350" spans="1:9" x14ac:dyDescent="0.25">
      <c r="A350" s="19"/>
      <c r="C350"/>
      <c r="D350" s="104"/>
      <c r="E350"/>
      <c r="F350"/>
      <c r="G350"/>
      <c r="H350"/>
      <c r="I350" s="104"/>
    </row>
    <row r="351" spans="1:9" x14ac:dyDescent="0.25">
      <c r="A351" s="19"/>
      <c r="C351"/>
      <c r="D351" s="104"/>
      <c r="E351"/>
      <c r="F351"/>
      <c r="G351"/>
      <c r="H351"/>
      <c r="I351" s="104"/>
    </row>
    <row r="352" spans="1:9" x14ac:dyDescent="0.25">
      <c r="A352" s="19"/>
      <c r="C352"/>
      <c r="D352" s="104"/>
      <c r="E352"/>
      <c r="F352"/>
      <c r="G352"/>
      <c r="H352"/>
      <c r="I352" s="104"/>
    </row>
    <row r="353" spans="1:9" x14ac:dyDescent="0.25">
      <c r="A353" s="19"/>
      <c r="C353"/>
      <c r="D353" s="104"/>
      <c r="E353"/>
      <c r="F353"/>
      <c r="G353"/>
      <c r="H353"/>
      <c r="I353" s="104"/>
    </row>
    <row r="354" spans="1:9" x14ac:dyDescent="0.25">
      <c r="A354" s="19"/>
      <c r="C354"/>
      <c r="D354" s="104"/>
      <c r="E354"/>
      <c r="F354"/>
      <c r="G354"/>
      <c r="H354"/>
      <c r="I354" s="104"/>
    </row>
    <row r="355" spans="1:9" x14ac:dyDescent="0.25">
      <c r="A355" s="19"/>
      <c r="C355"/>
      <c r="D355" s="104"/>
      <c r="E355"/>
      <c r="F355"/>
      <c r="G355"/>
      <c r="H355"/>
      <c r="I355" s="104"/>
    </row>
    <row r="356" spans="1:9" x14ac:dyDescent="0.25">
      <c r="A356" s="19"/>
      <c r="C356"/>
      <c r="D356" s="104"/>
      <c r="E356"/>
      <c r="F356"/>
      <c r="G356"/>
      <c r="H356"/>
      <c r="I356" s="104"/>
    </row>
    <row r="357" spans="1:9" x14ac:dyDescent="0.25">
      <c r="A357" s="19"/>
      <c r="C357"/>
      <c r="D357" s="104"/>
      <c r="E357"/>
      <c r="F357"/>
      <c r="G357"/>
      <c r="H357"/>
      <c r="I357" s="104"/>
    </row>
    <row r="358" spans="1:9" x14ac:dyDescent="0.25">
      <c r="A358" s="19"/>
      <c r="C358"/>
      <c r="D358" s="104"/>
      <c r="E358"/>
      <c r="F358"/>
      <c r="G358"/>
      <c r="H358"/>
      <c r="I358" s="104"/>
    </row>
    <row r="359" spans="1:9" x14ac:dyDescent="0.25">
      <c r="A359" s="19"/>
      <c r="C359"/>
      <c r="D359" s="104"/>
      <c r="E359"/>
      <c r="F359"/>
      <c r="G359"/>
      <c r="H359"/>
      <c r="I359" s="104"/>
    </row>
    <row r="360" spans="1:9" x14ac:dyDescent="0.25">
      <c r="A360" s="19"/>
      <c r="C360"/>
      <c r="D360" s="104"/>
      <c r="E360"/>
      <c r="F360"/>
      <c r="G360"/>
      <c r="H360"/>
      <c r="I360" s="104"/>
    </row>
    <row r="361" spans="1:9" x14ac:dyDescent="0.25">
      <c r="A361" s="19"/>
      <c r="C361"/>
      <c r="D361" s="104"/>
      <c r="E361"/>
      <c r="F361"/>
      <c r="G361"/>
      <c r="H361"/>
      <c r="I361" s="104"/>
    </row>
    <row r="362" spans="1:9" x14ac:dyDescent="0.25">
      <c r="A362" s="19"/>
      <c r="C362"/>
      <c r="D362" s="104"/>
      <c r="E362"/>
      <c r="F362"/>
      <c r="G362"/>
      <c r="H362"/>
      <c r="I362" s="104"/>
    </row>
    <row r="363" spans="1:9" x14ac:dyDescent="0.25">
      <c r="A363" s="19"/>
      <c r="C363"/>
      <c r="D363" s="104"/>
      <c r="E363"/>
      <c r="F363"/>
      <c r="G363"/>
      <c r="H363"/>
      <c r="I363" s="104"/>
    </row>
    <row r="364" spans="1:9" x14ac:dyDescent="0.25">
      <c r="A364" s="19"/>
      <c r="C364"/>
      <c r="D364" s="104"/>
      <c r="E364"/>
      <c r="F364"/>
      <c r="G364"/>
      <c r="H364"/>
      <c r="I364" s="104"/>
    </row>
    <row r="365" spans="1:9" x14ac:dyDescent="0.25">
      <c r="A365" s="19"/>
      <c r="C365"/>
      <c r="D365" s="104"/>
      <c r="E365"/>
      <c r="F365"/>
      <c r="G365"/>
      <c r="H365"/>
      <c r="I365" s="104"/>
    </row>
    <row r="366" spans="1:9" x14ac:dyDescent="0.25">
      <c r="A366" s="19"/>
      <c r="C366"/>
      <c r="D366" s="104"/>
      <c r="E366"/>
      <c r="F366"/>
      <c r="G366"/>
      <c r="H366"/>
      <c r="I366" s="104"/>
    </row>
    <row r="367" spans="1:9" x14ac:dyDescent="0.25">
      <c r="A367" s="19"/>
      <c r="C367"/>
      <c r="D367" s="104"/>
      <c r="E367"/>
      <c r="F367"/>
      <c r="G367"/>
      <c r="H367"/>
      <c r="I367" s="104"/>
    </row>
    <row r="368" spans="1:9" x14ac:dyDescent="0.25">
      <c r="A368" s="19"/>
      <c r="C368"/>
      <c r="D368" s="104"/>
      <c r="E368"/>
      <c r="F368"/>
      <c r="G368"/>
      <c r="H368"/>
      <c r="I368" s="104"/>
    </row>
    <row r="369" spans="1:9" x14ac:dyDescent="0.25">
      <c r="A369" s="19"/>
      <c r="C369"/>
      <c r="D369" s="104"/>
      <c r="E369"/>
      <c r="F369"/>
      <c r="G369"/>
      <c r="H369"/>
      <c r="I369" s="104"/>
    </row>
    <row r="370" spans="1:9" x14ac:dyDescent="0.25">
      <c r="A370" s="19"/>
      <c r="C370"/>
      <c r="D370" s="104"/>
      <c r="E370"/>
      <c r="F370"/>
      <c r="G370"/>
      <c r="H370"/>
      <c r="I370" s="104"/>
    </row>
    <row r="371" spans="1:9" x14ac:dyDescent="0.25">
      <c r="A371" s="19"/>
      <c r="C371"/>
      <c r="D371" s="104"/>
      <c r="E371"/>
      <c r="F371"/>
      <c r="G371"/>
      <c r="H371"/>
      <c r="I371" s="104"/>
    </row>
    <row r="372" spans="1:9" x14ac:dyDescent="0.25">
      <c r="A372" s="19"/>
      <c r="C372"/>
      <c r="D372" s="104"/>
      <c r="E372"/>
      <c r="F372"/>
      <c r="G372"/>
      <c r="H372"/>
      <c r="I372" s="104"/>
    </row>
    <row r="373" spans="1:9" x14ac:dyDescent="0.25">
      <c r="A373" s="19"/>
      <c r="C373"/>
      <c r="D373" s="104"/>
      <c r="E373"/>
      <c r="F373"/>
      <c r="G373"/>
      <c r="H373"/>
      <c r="I373" s="104"/>
    </row>
    <row r="374" spans="1:9" x14ac:dyDescent="0.25">
      <c r="A374" s="19"/>
      <c r="C374"/>
      <c r="D374" s="104"/>
      <c r="E374"/>
      <c r="F374"/>
      <c r="G374"/>
      <c r="H374"/>
      <c r="I374" s="104"/>
    </row>
    <row r="375" spans="1:9" x14ac:dyDescent="0.25">
      <c r="A375" s="19"/>
      <c r="C375"/>
      <c r="D375" s="104"/>
      <c r="E375"/>
      <c r="F375"/>
      <c r="G375"/>
      <c r="H375"/>
      <c r="I375" s="104"/>
    </row>
    <row r="376" spans="1:9" x14ac:dyDescent="0.25">
      <c r="A376" s="19"/>
      <c r="C376"/>
      <c r="D376" s="104"/>
      <c r="E376"/>
      <c r="F376"/>
      <c r="G376"/>
      <c r="H376"/>
      <c r="I376" s="104"/>
    </row>
    <row r="377" spans="1:9" x14ac:dyDescent="0.25">
      <c r="A377" s="19"/>
      <c r="C377"/>
      <c r="D377" s="104"/>
      <c r="E377"/>
      <c r="F377"/>
      <c r="G377"/>
      <c r="H377"/>
      <c r="I377" s="104"/>
    </row>
    <row r="378" spans="1:9" x14ac:dyDescent="0.25">
      <c r="A378" s="19"/>
      <c r="C378"/>
      <c r="D378" s="104"/>
      <c r="E378"/>
      <c r="F378"/>
      <c r="G378"/>
      <c r="H378"/>
      <c r="I378" s="104"/>
    </row>
    <row r="379" spans="1:9" x14ac:dyDescent="0.25">
      <c r="A379" s="19"/>
      <c r="C379"/>
      <c r="D379" s="104"/>
      <c r="E379"/>
      <c r="F379"/>
      <c r="G379"/>
      <c r="H379"/>
      <c r="I379" s="104"/>
    </row>
    <row r="380" spans="1:9" x14ac:dyDescent="0.25">
      <c r="A380" s="19"/>
      <c r="C380"/>
      <c r="D380" s="104"/>
      <c r="E380"/>
      <c r="F380"/>
      <c r="G380"/>
      <c r="H380"/>
      <c r="I380" s="104"/>
    </row>
    <row r="381" spans="1:9" x14ac:dyDescent="0.25">
      <c r="A381" s="19"/>
      <c r="C381"/>
      <c r="D381" s="104"/>
      <c r="E381"/>
      <c r="F381"/>
      <c r="G381"/>
      <c r="H381"/>
      <c r="I381" s="104"/>
    </row>
    <row r="382" spans="1:9" x14ac:dyDescent="0.25">
      <c r="A382" s="19"/>
      <c r="C382"/>
      <c r="D382" s="104"/>
      <c r="E382"/>
      <c r="F382"/>
      <c r="G382"/>
      <c r="H382"/>
      <c r="I382" s="104"/>
    </row>
    <row r="383" spans="1:9" x14ac:dyDescent="0.25">
      <c r="A383" s="19"/>
      <c r="C383"/>
      <c r="D383" s="104"/>
      <c r="E383"/>
      <c r="F383"/>
      <c r="G383"/>
      <c r="H383"/>
      <c r="I383" s="104"/>
    </row>
    <row r="384" spans="1:9" x14ac:dyDescent="0.25">
      <c r="A384" s="19"/>
      <c r="C384"/>
      <c r="D384" s="104"/>
      <c r="E384"/>
      <c r="F384"/>
      <c r="G384"/>
      <c r="H384"/>
      <c r="I384" s="104"/>
    </row>
    <row r="385" spans="1:9" x14ac:dyDescent="0.25">
      <c r="A385" s="19"/>
      <c r="C385"/>
      <c r="D385" s="104"/>
      <c r="E385"/>
      <c r="F385"/>
      <c r="G385"/>
      <c r="H385"/>
      <c r="I385" s="104"/>
    </row>
    <row r="386" spans="1:9" x14ac:dyDescent="0.25">
      <c r="A386" s="19"/>
      <c r="C386"/>
      <c r="D386" s="104"/>
      <c r="E386"/>
      <c r="F386"/>
      <c r="G386"/>
      <c r="H386"/>
      <c r="I386" s="104"/>
    </row>
    <row r="387" spans="1:9" x14ac:dyDescent="0.25">
      <c r="A387" s="19"/>
      <c r="C387"/>
      <c r="D387" s="104"/>
      <c r="E387"/>
      <c r="F387"/>
      <c r="G387"/>
      <c r="H387"/>
      <c r="I387" s="104"/>
    </row>
    <row r="388" spans="1:9" x14ac:dyDescent="0.25">
      <c r="A388" s="19"/>
      <c r="C388"/>
      <c r="D388" s="104"/>
      <c r="E388"/>
      <c r="F388"/>
      <c r="G388"/>
      <c r="H388"/>
      <c r="I388" s="104"/>
    </row>
    <row r="389" spans="1:9" x14ac:dyDescent="0.25">
      <c r="A389" s="19"/>
      <c r="C389"/>
      <c r="D389" s="104"/>
      <c r="E389"/>
      <c r="F389"/>
      <c r="G389"/>
      <c r="H389"/>
      <c r="I389" s="104"/>
    </row>
    <row r="390" spans="1:9" x14ac:dyDescent="0.25">
      <c r="A390" s="19"/>
      <c r="C390"/>
      <c r="D390" s="104"/>
      <c r="E390"/>
      <c r="F390"/>
      <c r="G390"/>
      <c r="H390"/>
      <c r="I390" s="104"/>
    </row>
    <row r="391" spans="1:9" x14ac:dyDescent="0.25">
      <c r="A391" s="19"/>
      <c r="C391"/>
      <c r="D391" s="104"/>
      <c r="E391"/>
      <c r="F391"/>
      <c r="G391"/>
      <c r="H391"/>
      <c r="I391" s="104"/>
    </row>
    <row r="392" spans="1:9" x14ac:dyDescent="0.25">
      <c r="A392" s="19"/>
      <c r="C392"/>
      <c r="D392" s="104"/>
      <c r="E392"/>
      <c r="F392"/>
      <c r="G392"/>
      <c r="H392"/>
      <c r="I392" s="104"/>
    </row>
    <row r="393" spans="1:9" x14ac:dyDescent="0.25">
      <c r="A393" s="19"/>
      <c r="C393"/>
      <c r="D393" s="104"/>
      <c r="E393"/>
      <c r="F393"/>
      <c r="G393"/>
      <c r="H393"/>
      <c r="I393" s="104"/>
    </row>
    <row r="394" spans="1:9" x14ac:dyDescent="0.25">
      <c r="A394" s="19"/>
      <c r="C394"/>
      <c r="D394" s="104"/>
      <c r="E394"/>
      <c r="F394"/>
      <c r="G394"/>
      <c r="H394"/>
      <c r="I394" s="104"/>
    </row>
    <row r="395" spans="1:9" x14ac:dyDescent="0.25">
      <c r="A395" s="19"/>
      <c r="C395"/>
      <c r="D395" s="104"/>
      <c r="E395"/>
      <c r="F395"/>
      <c r="G395"/>
      <c r="H395"/>
      <c r="I395" s="104"/>
    </row>
    <row r="396" spans="1:9" x14ac:dyDescent="0.25">
      <c r="A396" s="19"/>
      <c r="C396"/>
      <c r="D396" s="104"/>
      <c r="E396"/>
      <c r="F396"/>
      <c r="G396"/>
      <c r="H396"/>
      <c r="I396" s="104"/>
    </row>
    <row r="397" spans="1:9" x14ac:dyDescent="0.25">
      <c r="A397" s="19"/>
      <c r="C397"/>
      <c r="D397" s="104"/>
      <c r="E397"/>
      <c r="F397"/>
      <c r="G397"/>
      <c r="H397"/>
      <c r="I397" s="104"/>
    </row>
    <row r="398" spans="1:9" x14ac:dyDescent="0.25">
      <c r="A398" s="19"/>
      <c r="C398"/>
      <c r="D398" s="104"/>
      <c r="E398"/>
      <c r="F398"/>
      <c r="G398"/>
      <c r="H398"/>
      <c r="I398" s="104"/>
    </row>
    <row r="399" spans="1:9" x14ac:dyDescent="0.25">
      <c r="A399" s="19"/>
      <c r="C399"/>
      <c r="D399" s="104"/>
      <c r="E399"/>
      <c r="F399"/>
      <c r="G399"/>
      <c r="H399"/>
      <c r="I399" s="104"/>
    </row>
    <row r="400" spans="1:9" x14ac:dyDescent="0.25">
      <c r="A400" s="19"/>
      <c r="C400"/>
      <c r="D400" s="104"/>
      <c r="E400"/>
      <c r="F400"/>
      <c r="G400"/>
      <c r="H400"/>
      <c r="I400" s="104"/>
    </row>
    <row r="401" spans="1:9" x14ac:dyDescent="0.25">
      <c r="A401" s="19"/>
      <c r="C401"/>
      <c r="D401" s="104"/>
      <c r="E401"/>
      <c r="F401"/>
      <c r="G401"/>
      <c r="H401"/>
      <c r="I401" s="104"/>
    </row>
    <row r="402" spans="1:9" x14ac:dyDescent="0.25">
      <c r="A402" s="19"/>
      <c r="C402"/>
      <c r="D402" s="104"/>
      <c r="E402"/>
      <c r="F402"/>
      <c r="G402"/>
      <c r="H402"/>
      <c r="I402" s="104"/>
    </row>
    <row r="403" spans="1:9" x14ac:dyDescent="0.25">
      <c r="A403" s="19"/>
      <c r="C403"/>
      <c r="D403" s="104"/>
      <c r="E403"/>
      <c r="F403"/>
      <c r="G403"/>
      <c r="H403"/>
      <c r="I403" s="104"/>
    </row>
    <row r="404" spans="1:9" x14ac:dyDescent="0.25">
      <c r="A404" s="19"/>
      <c r="C404"/>
      <c r="D404" s="104"/>
      <c r="E404"/>
      <c r="F404"/>
      <c r="G404"/>
      <c r="H404"/>
      <c r="I404" s="104"/>
    </row>
    <row r="405" spans="1:9" x14ac:dyDescent="0.25">
      <c r="A405" s="19"/>
      <c r="C405"/>
      <c r="D405" s="104"/>
      <c r="E405"/>
      <c r="F405"/>
      <c r="G405"/>
      <c r="H405"/>
      <c r="I405" s="104"/>
    </row>
    <row r="406" spans="1:9" x14ac:dyDescent="0.25">
      <c r="A406" s="19"/>
      <c r="C406"/>
      <c r="D406" s="104"/>
      <c r="E406"/>
      <c r="F406"/>
      <c r="G406"/>
      <c r="H406"/>
      <c r="I406" s="104"/>
    </row>
    <row r="407" spans="1:9" x14ac:dyDescent="0.25">
      <c r="A407" s="19"/>
      <c r="C407"/>
      <c r="D407" s="104"/>
      <c r="E407"/>
      <c r="F407"/>
      <c r="G407"/>
      <c r="H407"/>
      <c r="I407" s="104"/>
    </row>
    <row r="408" spans="1:9" x14ac:dyDescent="0.25">
      <c r="A408" s="19"/>
      <c r="C408"/>
      <c r="D408" s="104"/>
      <c r="E408"/>
      <c r="F408"/>
      <c r="G408"/>
      <c r="H408"/>
      <c r="I408" s="104"/>
    </row>
    <row r="409" spans="1:9" x14ac:dyDescent="0.25">
      <c r="A409" s="19"/>
      <c r="C409"/>
      <c r="D409" s="104"/>
      <c r="E409"/>
      <c r="F409"/>
      <c r="G409"/>
      <c r="H409"/>
      <c r="I409" s="104"/>
    </row>
    <row r="410" spans="1:9" x14ac:dyDescent="0.25">
      <c r="A410" s="19"/>
      <c r="C410"/>
      <c r="D410" s="104"/>
      <c r="E410"/>
      <c r="F410"/>
      <c r="G410"/>
      <c r="H410"/>
      <c r="I410" s="104"/>
    </row>
    <row r="411" spans="1:9" x14ac:dyDescent="0.25">
      <c r="A411" s="19"/>
      <c r="C411"/>
      <c r="D411" s="104"/>
      <c r="E411"/>
      <c r="F411"/>
      <c r="G411"/>
      <c r="H411"/>
      <c r="I411" s="104"/>
    </row>
    <row r="412" spans="1:9" x14ac:dyDescent="0.25">
      <c r="A412" s="19"/>
      <c r="C412"/>
      <c r="D412" s="104"/>
      <c r="E412"/>
      <c r="F412"/>
      <c r="G412"/>
      <c r="H412"/>
      <c r="I412" s="104"/>
    </row>
    <row r="413" spans="1:9" x14ac:dyDescent="0.25">
      <c r="A413" s="19"/>
      <c r="C413"/>
      <c r="D413" s="104"/>
      <c r="E413"/>
      <c r="F413"/>
      <c r="G413"/>
      <c r="H413"/>
      <c r="I413" s="104"/>
    </row>
    <row r="414" spans="1:9" x14ac:dyDescent="0.25">
      <c r="A414" s="19"/>
      <c r="C414"/>
      <c r="D414" s="104"/>
      <c r="E414"/>
      <c r="F414"/>
      <c r="G414"/>
      <c r="H414"/>
      <c r="I414" s="104"/>
    </row>
    <row r="415" spans="1:9" x14ac:dyDescent="0.25">
      <c r="A415" s="19"/>
      <c r="C415"/>
      <c r="D415" s="104"/>
      <c r="E415"/>
      <c r="F415"/>
      <c r="G415"/>
      <c r="H415"/>
      <c r="I415" s="104"/>
    </row>
    <row r="416" spans="1:9" x14ac:dyDescent="0.25">
      <c r="A416" s="19"/>
      <c r="C416"/>
      <c r="D416" s="104"/>
      <c r="E416"/>
      <c r="F416"/>
      <c r="G416"/>
      <c r="H416"/>
      <c r="I416" s="104"/>
    </row>
    <row r="417" spans="1:9" x14ac:dyDescent="0.25">
      <c r="A417" s="19"/>
      <c r="C417"/>
      <c r="D417" s="104"/>
      <c r="E417"/>
      <c r="F417"/>
      <c r="G417"/>
      <c r="H417"/>
      <c r="I417" s="104"/>
    </row>
    <row r="418" spans="1:9" x14ac:dyDescent="0.25">
      <c r="A418" s="19"/>
      <c r="C418"/>
      <c r="D418" s="104"/>
      <c r="E418"/>
      <c r="F418"/>
      <c r="G418"/>
      <c r="H418"/>
      <c r="I418" s="104"/>
    </row>
    <row r="419" spans="1:9" x14ac:dyDescent="0.25">
      <c r="A419" s="19"/>
      <c r="C419"/>
      <c r="D419" s="104"/>
      <c r="E419"/>
      <c r="F419"/>
      <c r="G419"/>
      <c r="H419"/>
      <c r="I419" s="104"/>
    </row>
    <row r="420" spans="1:9" x14ac:dyDescent="0.25">
      <c r="A420" s="19"/>
      <c r="C420"/>
      <c r="D420" s="104"/>
      <c r="E420"/>
      <c r="F420"/>
      <c r="G420"/>
      <c r="H420"/>
      <c r="I420" s="104"/>
    </row>
    <row r="421" spans="1:9" x14ac:dyDescent="0.25">
      <c r="A421" s="19"/>
      <c r="C421"/>
      <c r="D421" s="104"/>
      <c r="E421"/>
      <c r="F421"/>
      <c r="G421"/>
      <c r="H421"/>
      <c r="I421" s="104"/>
    </row>
    <row r="422" spans="1:9" x14ac:dyDescent="0.25">
      <c r="A422" s="19"/>
      <c r="C422"/>
      <c r="D422" s="104"/>
      <c r="E422"/>
      <c r="F422"/>
      <c r="G422"/>
      <c r="H422"/>
      <c r="I422" s="104"/>
    </row>
    <row r="423" spans="1:9" x14ac:dyDescent="0.25">
      <c r="A423" s="19"/>
      <c r="C423"/>
      <c r="D423" s="104"/>
      <c r="E423"/>
      <c r="F423"/>
      <c r="G423"/>
      <c r="H423"/>
      <c r="I423" s="104"/>
    </row>
    <row r="424" spans="1:9" x14ac:dyDescent="0.25">
      <c r="A424" s="19"/>
      <c r="C424"/>
      <c r="D424" s="104"/>
      <c r="E424"/>
      <c r="F424"/>
      <c r="G424"/>
      <c r="H424"/>
      <c r="I424" s="104"/>
    </row>
    <row r="425" spans="1:9" x14ac:dyDescent="0.25">
      <c r="A425" s="19"/>
      <c r="C425"/>
      <c r="D425" s="104"/>
      <c r="E425"/>
      <c r="F425"/>
      <c r="G425"/>
      <c r="H425"/>
      <c r="I425" s="104"/>
    </row>
    <row r="426" spans="1:9" x14ac:dyDescent="0.25">
      <c r="A426" s="19"/>
      <c r="C426"/>
      <c r="D426" s="104"/>
      <c r="E426"/>
      <c r="F426"/>
      <c r="G426"/>
      <c r="H426"/>
      <c r="I426" s="104"/>
    </row>
    <row r="427" spans="1:9" x14ac:dyDescent="0.25">
      <c r="A427" s="19"/>
      <c r="C427"/>
      <c r="D427" s="104"/>
      <c r="E427"/>
      <c r="F427"/>
      <c r="G427"/>
      <c r="H427"/>
      <c r="I427" s="104"/>
    </row>
    <row r="428" spans="1:9" x14ac:dyDescent="0.25">
      <c r="A428" s="19"/>
      <c r="C428"/>
      <c r="D428" s="104"/>
      <c r="E428"/>
      <c r="F428"/>
      <c r="G428"/>
      <c r="H428"/>
      <c r="I428" s="104"/>
    </row>
    <row r="429" spans="1:9" x14ac:dyDescent="0.25">
      <c r="A429" s="19"/>
      <c r="C429"/>
      <c r="D429" s="104"/>
      <c r="E429"/>
      <c r="F429"/>
      <c r="G429"/>
      <c r="H429"/>
      <c r="I429" s="104"/>
    </row>
    <row r="430" spans="1:9" x14ac:dyDescent="0.25">
      <c r="A430" s="19"/>
      <c r="C430"/>
      <c r="D430" s="104"/>
      <c r="E430"/>
      <c r="F430"/>
      <c r="G430"/>
      <c r="H430"/>
      <c r="I430" s="104"/>
    </row>
    <row r="431" spans="1:9" x14ac:dyDescent="0.25">
      <c r="A431" s="19"/>
      <c r="C431"/>
      <c r="D431" s="104"/>
      <c r="E431"/>
      <c r="F431"/>
      <c r="G431"/>
      <c r="H431"/>
      <c r="I431" s="104"/>
    </row>
    <row r="432" spans="1:9" x14ac:dyDescent="0.25">
      <c r="A432" s="19"/>
      <c r="C432"/>
      <c r="D432" s="104"/>
      <c r="E432"/>
      <c r="F432"/>
      <c r="G432"/>
      <c r="H432"/>
      <c r="I432" s="104"/>
    </row>
    <row r="433" spans="1:9" x14ac:dyDescent="0.25">
      <c r="A433" s="19"/>
      <c r="C433"/>
      <c r="D433" s="104"/>
      <c r="E433"/>
      <c r="F433"/>
      <c r="G433"/>
      <c r="H433"/>
      <c r="I433" s="104"/>
    </row>
    <row r="434" spans="1:9" x14ac:dyDescent="0.25">
      <c r="A434" s="19"/>
      <c r="C434"/>
      <c r="D434" s="104"/>
      <c r="E434"/>
      <c r="F434"/>
      <c r="G434"/>
      <c r="H434"/>
      <c r="I434" s="104"/>
    </row>
    <row r="435" spans="1:9" x14ac:dyDescent="0.25">
      <c r="A435" s="19"/>
      <c r="C435"/>
      <c r="D435" s="104"/>
      <c r="E435"/>
      <c r="F435"/>
      <c r="G435"/>
      <c r="H435"/>
      <c r="I435" s="104"/>
    </row>
    <row r="436" spans="1:9" x14ac:dyDescent="0.25">
      <c r="A436" s="19"/>
      <c r="C436"/>
      <c r="D436" s="104"/>
      <c r="E436"/>
      <c r="F436"/>
      <c r="G436"/>
      <c r="H436"/>
      <c r="I436" s="104"/>
    </row>
    <row r="437" spans="1:9" x14ac:dyDescent="0.25">
      <c r="A437" s="19"/>
      <c r="C437"/>
      <c r="D437" s="104"/>
      <c r="E437"/>
      <c r="F437"/>
      <c r="G437"/>
      <c r="H437"/>
      <c r="I437" s="104"/>
    </row>
    <row r="438" spans="1:9" x14ac:dyDescent="0.25">
      <c r="A438" s="19"/>
      <c r="C438"/>
      <c r="D438" s="104"/>
      <c r="E438"/>
      <c r="F438"/>
      <c r="G438"/>
      <c r="H438"/>
      <c r="I438" s="104"/>
    </row>
    <row r="439" spans="1:9" x14ac:dyDescent="0.25">
      <c r="A439" s="19"/>
      <c r="C439"/>
      <c r="D439" s="104"/>
      <c r="E439"/>
      <c r="F439"/>
      <c r="G439"/>
      <c r="H439"/>
      <c r="I439" s="104"/>
    </row>
    <row r="440" spans="1:9" x14ac:dyDescent="0.25">
      <c r="A440" s="19"/>
      <c r="C440"/>
      <c r="D440" s="104"/>
      <c r="E440"/>
      <c r="F440"/>
      <c r="G440"/>
      <c r="H440"/>
      <c r="I440" s="104"/>
    </row>
    <row r="441" spans="1:9" x14ac:dyDescent="0.25">
      <c r="A441" s="19"/>
      <c r="C441"/>
      <c r="D441" s="104"/>
      <c r="E441"/>
      <c r="F441"/>
      <c r="G441"/>
      <c r="H441"/>
      <c r="I441" s="104"/>
    </row>
    <row r="442" spans="1:9" x14ac:dyDescent="0.25">
      <c r="A442" s="19"/>
      <c r="C442"/>
      <c r="D442" s="104"/>
      <c r="E442"/>
      <c r="F442"/>
      <c r="G442"/>
      <c r="H442"/>
      <c r="I442" s="104"/>
    </row>
    <row r="443" spans="1:9" x14ac:dyDescent="0.25">
      <c r="A443" s="19"/>
      <c r="C443"/>
      <c r="D443" s="104"/>
      <c r="E443"/>
      <c r="F443"/>
      <c r="G443"/>
      <c r="H443"/>
      <c r="I443" s="104"/>
    </row>
    <row r="444" spans="1:9" x14ac:dyDescent="0.25">
      <c r="A444" s="19"/>
      <c r="C444"/>
      <c r="D444" s="104"/>
      <c r="E444"/>
      <c r="F444"/>
      <c r="G444"/>
      <c r="H444"/>
      <c r="I444" s="104"/>
    </row>
    <row r="445" spans="1:9" x14ac:dyDescent="0.25">
      <c r="A445" s="19"/>
      <c r="C445"/>
      <c r="D445" s="104"/>
      <c r="E445"/>
      <c r="F445"/>
      <c r="G445"/>
      <c r="H445"/>
      <c r="I445" s="104"/>
    </row>
    <row r="446" spans="1:9" x14ac:dyDescent="0.25">
      <c r="A446" s="19"/>
      <c r="C446"/>
      <c r="D446" s="104"/>
      <c r="E446"/>
      <c r="F446"/>
      <c r="G446"/>
      <c r="H446"/>
      <c r="I446" s="104"/>
    </row>
    <row r="447" spans="1:9" x14ac:dyDescent="0.25">
      <c r="A447" s="19"/>
      <c r="C447"/>
      <c r="D447" s="104"/>
      <c r="E447"/>
      <c r="F447"/>
      <c r="G447"/>
      <c r="H447"/>
      <c r="I447" s="104"/>
    </row>
    <row r="448" spans="1:9" x14ac:dyDescent="0.25">
      <c r="A448" s="19"/>
      <c r="C448"/>
      <c r="D448" s="104"/>
      <c r="E448"/>
      <c r="F448"/>
      <c r="G448"/>
      <c r="H448"/>
      <c r="I448" s="104"/>
    </row>
    <row r="449" spans="1:9" x14ac:dyDescent="0.25">
      <c r="A449" s="19"/>
      <c r="C449"/>
      <c r="D449" s="104"/>
      <c r="E449"/>
      <c r="F449"/>
      <c r="G449"/>
      <c r="H449"/>
      <c r="I449" s="104"/>
    </row>
    <row r="450" spans="1:9" x14ac:dyDescent="0.25">
      <c r="A450" s="19"/>
      <c r="C450"/>
      <c r="D450" s="104"/>
      <c r="E450"/>
      <c r="F450"/>
      <c r="G450"/>
      <c r="H450"/>
      <c r="I450" s="104"/>
    </row>
    <row r="451" spans="1:9" x14ac:dyDescent="0.25">
      <c r="A451" s="19"/>
      <c r="C451"/>
      <c r="D451" s="104"/>
      <c r="E451"/>
      <c r="F451"/>
      <c r="G451"/>
      <c r="H451"/>
      <c r="I451" s="104"/>
    </row>
    <row r="452" spans="1:9" x14ac:dyDescent="0.25">
      <c r="A452" s="19"/>
      <c r="C452"/>
      <c r="D452" s="104"/>
      <c r="E452"/>
      <c r="F452"/>
      <c r="G452"/>
      <c r="H452"/>
      <c r="I452" s="104"/>
    </row>
    <row r="453" spans="1:9" x14ac:dyDescent="0.25">
      <c r="A453" s="19"/>
      <c r="C453"/>
      <c r="D453" s="104"/>
      <c r="E453"/>
      <c r="F453"/>
      <c r="G453"/>
      <c r="H453"/>
      <c r="I453" s="104"/>
    </row>
    <row r="454" spans="1:9" x14ac:dyDescent="0.25">
      <c r="A454" s="19"/>
      <c r="C454"/>
      <c r="D454" s="104"/>
      <c r="E454"/>
      <c r="F454"/>
      <c r="G454"/>
      <c r="H454"/>
      <c r="I454" s="104"/>
    </row>
    <row r="455" spans="1:9" x14ac:dyDescent="0.25">
      <c r="A455" s="19"/>
      <c r="C455"/>
      <c r="D455" s="104"/>
      <c r="E455"/>
      <c r="F455"/>
      <c r="G455"/>
      <c r="H455"/>
      <c r="I455" s="104"/>
    </row>
    <row r="456" spans="1:9" x14ac:dyDescent="0.25">
      <c r="A456" s="19"/>
      <c r="C456"/>
      <c r="D456" s="104"/>
      <c r="E456"/>
      <c r="F456"/>
      <c r="G456"/>
      <c r="H456"/>
      <c r="I456" s="104"/>
    </row>
    <row r="457" spans="1:9" x14ac:dyDescent="0.25">
      <c r="A457" s="19"/>
      <c r="C457"/>
      <c r="D457" s="104"/>
      <c r="E457"/>
      <c r="F457"/>
      <c r="G457"/>
      <c r="H457"/>
      <c r="I457" s="104"/>
    </row>
    <row r="458" spans="1:9" x14ac:dyDescent="0.25">
      <c r="A458" s="19"/>
      <c r="C458"/>
      <c r="D458" s="104"/>
      <c r="E458"/>
      <c r="F458"/>
      <c r="G458"/>
      <c r="H458"/>
      <c r="I458" s="104"/>
    </row>
    <row r="459" spans="1:9" x14ac:dyDescent="0.25">
      <c r="A459" s="19"/>
      <c r="C459"/>
      <c r="D459" s="104"/>
      <c r="E459"/>
      <c r="F459"/>
      <c r="G459"/>
      <c r="H459"/>
      <c r="I459" s="104"/>
    </row>
    <row r="460" spans="1:9" x14ac:dyDescent="0.25">
      <c r="A460" s="19"/>
      <c r="C460"/>
      <c r="D460" s="104"/>
      <c r="E460"/>
      <c r="F460"/>
      <c r="G460"/>
      <c r="H460"/>
      <c r="I460" s="104"/>
    </row>
    <row r="461" spans="1:9" x14ac:dyDescent="0.25">
      <c r="A461" s="19"/>
      <c r="C461"/>
      <c r="D461" s="104"/>
      <c r="E461"/>
      <c r="F461"/>
      <c r="G461"/>
      <c r="H461"/>
      <c r="I461" s="104"/>
    </row>
    <row r="462" spans="1:9" x14ac:dyDescent="0.25">
      <c r="A462" s="19"/>
      <c r="C462"/>
      <c r="D462" s="104"/>
      <c r="E462"/>
      <c r="F462"/>
      <c r="G462"/>
      <c r="H462"/>
      <c r="I462" s="104"/>
    </row>
    <row r="463" spans="1:9" x14ac:dyDescent="0.25">
      <c r="A463" s="19"/>
      <c r="C463"/>
      <c r="D463" s="104"/>
      <c r="E463"/>
      <c r="F463"/>
      <c r="G463"/>
      <c r="H463"/>
      <c r="I463" s="104"/>
    </row>
    <row r="464" spans="1:9" x14ac:dyDescent="0.25">
      <c r="A464" s="19"/>
      <c r="C464"/>
      <c r="D464" s="104"/>
      <c r="E464"/>
      <c r="F464"/>
      <c r="G464"/>
      <c r="H464"/>
      <c r="I464" s="104"/>
    </row>
    <row r="465" spans="1:9" x14ac:dyDescent="0.25">
      <c r="A465" s="19"/>
      <c r="C465"/>
      <c r="D465" s="104"/>
      <c r="E465"/>
      <c r="F465"/>
      <c r="G465"/>
      <c r="H465"/>
      <c r="I465" s="104"/>
    </row>
    <row r="466" spans="1:9" x14ac:dyDescent="0.25">
      <c r="A466" s="19"/>
      <c r="C466"/>
      <c r="D466" s="104"/>
      <c r="E466"/>
      <c r="F466"/>
      <c r="G466"/>
      <c r="H466"/>
      <c r="I466" s="104"/>
    </row>
    <row r="467" spans="1:9" x14ac:dyDescent="0.25">
      <c r="A467" s="19"/>
      <c r="C467"/>
      <c r="D467" s="104"/>
      <c r="E467"/>
      <c r="F467"/>
      <c r="G467"/>
      <c r="H467"/>
      <c r="I467" s="104"/>
    </row>
    <row r="468" spans="1:9" x14ac:dyDescent="0.25">
      <c r="A468" s="19"/>
      <c r="C468"/>
      <c r="D468" s="104"/>
      <c r="E468"/>
      <c r="F468"/>
      <c r="G468"/>
      <c r="H468"/>
      <c r="I468" s="104"/>
    </row>
    <row r="469" spans="1:9" x14ac:dyDescent="0.25">
      <c r="A469" s="19"/>
      <c r="C469"/>
      <c r="D469" s="104"/>
      <c r="E469"/>
      <c r="F469"/>
      <c r="G469"/>
      <c r="H469"/>
      <c r="I469" s="104"/>
    </row>
    <row r="470" spans="1:9" x14ac:dyDescent="0.25">
      <c r="A470" s="19"/>
      <c r="C470"/>
      <c r="D470" s="104"/>
      <c r="E470"/>
      <c r="F470"/>
      <c r="G470"/>
      <c r="H470"/>
      <c r="I470" s="104"/>
    </row>
    <row r="471" spans="1:9" x14ac:dyDescent="0.25">
      <c r="A471" s="19"/>
      <c r="C471"/>
      <c r="D471" s="104"/>
      <c r="E471"/>
      <c r="F471"/>
      <c r="G471"/>
      <c r="H471"/>
      <c r="I471" s="104"/>
    </row>
    <row r="472" spans="1:9" x14ac:dyDescent="0.25">
      <c r="A472" s="19"/>
      <c r="C472"/>
      <c r="D472" s="104"/>
      <c r="E472"/>
      <c r="F472"/>
      <c r="G472"/>
      <c r="H472"/>
      <c r="I472" s="104"/>
    </row>
    <row r="473" spans="1:9" x14ac:dyDescent="0.25">
      <c r="A473" s="19"/>
      <c r="C473"/>
      <c r="D473" s="104"/>
      <c r="E473"/>
      <c r="F473"/>
      <c r="G473"/>
      <c r="H473"/>
      <c r="I473" s="104"/>
    </row>
    <row r="474" spans="1:9" x14ac:dyDescent="0.25">
      <c r="A474" s="19"/>
      <c r="C474"/>
      <c r="D474" s="104"/>
      <c r="E474"/>
      <c r="F474"/>
      <c r="G474"/>
      <c r="H474"/>
      <c r="I474" s="104"/>
    </row>
    <row r="475" spans="1:9" x14ac:dyDescent="0.25">
      <c r="A475" s="19"/>
      <c r="C475"/>
      <c r="D475" s="104"/>
      <c r="E475"/>
      <c r="F475"/>
      <c r="G475"/>
      <c r="H475"/>
      <c r="I475" s="104"/>
    </row>
    <row r="476" spans="1:9" x14ac:dyDescent="0.25">
      <c r="A476" s="19"/>
      <c r="C476"/>
      <c r="D476" s="104"/>
      <c r="E476"/>
      <c r="F476"/>
      <c r="G476"/>
      <c r="H476"/>
      <c r="I476" s="104"/>
    </row>
    <row r="477" spans="1:9" x14ac:dyDescent="0.25">
      <c r="A477" s="19"/>
      <c r="C477"/>
      <c r="D477" s="104"/>
      <c r="E477"/>
      <c r="F477"/>
      <c r="G477"/>
      <c r="H477"/>
      <c r="I477" s="104"/>
    </row>
    <row r="478" spans="1:9" x14ac:dyDescent="0.25">
      <c r="A478" s="19"/>
      <c r="C478"/>
      <c r="D478" s="104"/>
      <c r="E478"/>
      <c r="F478"/>
      <c r="G478"/>
      <c r="H478"/>
      <c r="I478" s="104"/>
    </row>
    <row r="479" spans="1:9" x14ac:dyDescent="0.25">
      <c r="A479" s="19"/>
      <c r="C479"/>
      <c r="D479" s="104"/>
      <c r="E479"/>
      <c r="F479"/>
      <c r="G479"/>
      <c r="H479"/>
      <c r="I479" s="104"/>
    </row>
    <row r="480" spans="1:9" x14ac:dyDescent="0.25">
      <c r="A480" s="19"/>
      <c r="C480"/>
      <c r="D480" s="104"/>
      <c r="E480"/>
      <c r="F480"/>
      <c r="G480"/>
      <c r="H480"/>
      <c r="I480" s="104"/>
    </row>
    <row r="481" spans="1:9" x14ac:dyDescent="0.25">
      <c r="A481" s="19"/>
      <c r="C481"/>
      <c r="D481" s="104"/>
      <c r="E481"/>
      <c r="F481"/>
      <c r="G481"/>
      <c r="H481"/>
      <c r="I481" s="104"/>
    </row>
    <row r="482" spans="1:9" x14ac:dyDescent="0.25">
      <c r="A482" s="19"/>
      <c r="C482"/>
      <c r="D482" s="104"/>
      <c r="E482"/>
      <c r="F482"/>
      <c r="G482"/>
      <c r="H482"/>
      <c r="I482" s="104"/>
    </row>
    <row r="483" spans="1:9" x14ac:dyDescent="0.25">
      <c r="A483" s="19"/>
      <c r="C483"/>
      <c r="D483" s="104"/>
      <c r="E483"/>
      <c r="F483"/>
      <c r="G483"/>
      <c r="H483"/>
      <c r="I483" s="104"/>
    </row>
    <row r="484" spans="1:9" x14ac:dyDescent="0.25">
      <c r="A484" s="19"/>
      <c r="C484"/>
      <c r="D484" s="104"/>
      <c r="E484"/>
      <c r="F484"/>
      <c r="G484"/>
      <c r="H484"/>
      <c r="I484" s="104"/>
    </row>
    <row r="485" spans="1:9" x14ac:dyDescent="0.25">
      <c r="A485" s="19"/>
      <c r="C485"/>
      <c r="D485" s="104"/>
      <c r="E485"/>
      <c r="F485"/>
      <c r="G485"/>
      <c r="H485"/>
      <c r="I485" s="104"/>
    </row>
    <row r="486" spans="1:9" x14ac:dyDescent="0.25">
      <c r="A486" s="19"/>
      <c r="C486"/>
      <c r="D486" s="104"/>
      <c r="E486"/>
      <c r="F486"/>
      <c r="G486"/>
      <c r="H486"/>
      <c r="I486" s="104"/>
    </row>
    <row r="487" spans="1:9" x14ac:dyDescent="0.25">
      <c r="A487" s="19"/>
      <c r="C487"/>
      <c r="D487" s="104"/>
      <c r="E487"/>
      <c r="F487"/>
      <c r="G487"/>
      <c r="H487"/>
      <c r="I487" s="104"/>
    </row>
    <row r="488" spans="1:9" x14ac:dyDescent="0.25">
      <c r="A488" s="19"/>
      <c r="C488"/>
      <c r="D488" s="104"/>
      <c r="E488"/>
      <c r="F488"/>
      <c r="G488"/>
      <c r="H488"/>
      <c r="I488" s="104"/>
    </row>
    <row r="489" spans="1:9" x14ac:dyDescent="0.25">
      <c r="A489" s="19"/>
      <c r="C489"/>
      <c r="D489" s="104"/>
      <c r="E489"/>
      <c r="F489"/>
      <c r="G489"/>
      <c r="H489"/>
      <c r="I489" s="104"/>
    </row>
    <row r="490" spans="1:9" x14ac:dyDescent="0.25">
      <c r="A490" s="19"/>
      <c r="C490"/>
      <c r="D490" s="104"/>
      <c r="E490"/>
      <c r="F490"/>
      <c r="G490"/>
      <c r="H490"/>
      <c r="I490" s="104"/>
    </row>
    <row r="491" spans="1:9" x14ac:dyDescent="0.25">
      <c r="A491" s="19"/>
      <c r="C491"/>
      <c r="D491" s="104"/>
      <c r="E491"/>
      <c r="F491"/>
      <c r="G491"/>
      <c r="H491"/>
      <c r="I491" s="104"/>
    </row>
    <row r="492" spans="1:9" x14ac:dyDescent="0.25">
      <c r="A492" s="19"/>
      <c r="C492"/>
      <c r="D492" s="104"/>
      <c r="E492"/>
      <c r="F492"/>
      <c r="G492"/>
      <c r="H492"/>
      <c r="I492" s="104"/>
    </row>
    <row r="493" spans="1:9" x14ac:dyDescent="0.25">
      <c r="A493" s="19"/>
      <c r="C493"/>
      <c r="D493" s="104"/>
      <c r="E493"/>
      <c r="F493"/>
      <c r="G493"/>
      <c r="H493"/>
      <c r="I493" s="104"/>
    </row>
    <row r="494" spans="1:9" x14ac:dyDescent="0.25">
      <c r="A494" s="19"/>
      <c r="C494"/>
      <c r="D494" s="104"/>
      <c r="E494"/>
      <c r="F494"/>
      <c r="G494"/>
      <c r="H494"/>
      <c r="I494" s="104"/>
    </row>
    <row r="495" spans="1:9" x14ac:dyDescent="0.25">
      <c r="A495" s="19"/>
      <c r="C495"/>
      <c r="D495" s="104"/>
      <c r="E495"/>
      <c r="F495"/>
      <c r="G495"/>
      <c r="H495"/>
      <c r="I495" s="104"/>
    </row>
    <row r="496" spans="1:9" x14ac:dyDescent="0.25">
      <c r="A496" s="19"/>
      <c r="C496"/>
      <c r="D496" s="104"/>
      <c r="E496"/>
      <c r="F496"/>
      <c r="G496"/>
      <c r="H496"/>
      <c r="I496" s="104"/>
    </row>
    <row r="497" spans="1:9" x14ac:dyDescent="0.25">
      <c r="A497" s="19"/>
      <c r="C497"/>
      <c r="D497" s="104"/>
      <c r="E497"/>
      <c r="F497"/>
      <c r="G497"/>
      <c r="H497"/>
      <c r="I497" s="104"/>
    </row>
    <row r="498" spans="1:9" x14ac:dyDescent="0.25">
      <c r="A498" s="19"/>
      <c r="C498"/>
      <c r="D498" s="104"/>
      <c r="E498"/>
      <c r="F498"/>
      <c r="G498"/>
      <c r="H498"/>
      <c r="I498" s="104"/>
    </row>
    <row r="499" spans="1:9" x14ac:dyDescent="0.25">
      <c r="A499" s="19"/>
      <c r="C499"/>
      <c r="D499" s="104"/>
      <c r="E499"/>
      <c r="F499"/>
      <c r="G499"/>
      <c r="H499"/>
      <c r="I499" s="104"/>
    </row>
    <row r="500" spans="1:9" x14ac:dyDescent="0.25">
      <c r="A500" s="19"/>
      <c r="C500"/>
      <c r="D500" s="104"/>
      <c r="E500"/>
      <c r="F500"/>
      <c r="G500"/>
      <c r="H500"/>
      <c r="I500" s="104"/>
    </row>
    <row r="501" spans="1:9" x14ac:dyDescent="0.25">
      <c r="A501" s="19"/>
      <c r="C501"/>
      <c r="D501" s="104"/>
      <c r="E501"/>
      <c r="F501"/>
      <c r="G501"/>
      <c r="H501"/>
      <c r="I501" s="104"/>
    </row>
    <row r="502" spans="1:9" x14ac:dyDescent="0.25">
      <c r="A502" s="19"/>
      <c r="C502"/>
      <c r="D502" s="104"/>
      <c r="E502"/>
      <c r="F502"/>
      <c r="G502"/>
      <c r="H502"/>
      <c r="I502" s="104"/>
    </row>
    <row r="503" spans="1:9" x14ac:dyDescent="0.25">
      <c r="A503" s="19"/>
      <c r="C503"/>
      <c r="D503" s="104"/>
      <c r="E503"/>
      <c r="F503"/>
      <c r="G503"/>
      <c r="H503"/>
      <c r="I503" s="104"/>
    </row>
    <row r="504" spans="1:9" x14ac:dyDescent="0.25">
      <c r="A504" s="19"/>
      <c r="C504"/>
      <c r="D504" s="104"/>
      <c r="E504"/>
      <c r="F504"/>
      <c r="G504"/>
      <c r="H504"/>
      <c r="I504" s="104"/>
    </row>
    <row r="505" spans="1:9" x14ac:dyDescent="0.25">
      <c r="A505" s="19"/>
      <c r="C505"/>
      <c r="D505" s="104"/>
      <c r="E505"/>
      <c r="F505"/>
      <c r="G505"/>
      <c r="H505"/>
      <c r="I505" s="104"/>
    </row>
    <row r="506" spans="1:9" x14ac:dyDescent="0.25">
      <c r="A506" s="19"/>
      <c r="C506"/>
      <c r="D506" s="104"/>
      <c r="E506"/>
      <c r="F506"/>
      <c r="G506"/>
      <c r="H506"/>
      <c r="I506" s="104"/>
    </row>
    <row r="507" spans="1:9" x14ac:dyDescent="0.25">
      <c r="A507" s="19"/>
      <c r="C507"/>
      <c r="D507" s="104"/>
      <c r="E507"/>
      <c r="F507"/>
      <c r="G507"/>
      <c r="H507"/>
      <c r="I507" s="104"/>
    </row>
    <row r="508" spans="1:9" x14ac:dyDescent="0.25">
      <c r="A508" s="19"/>
      <c r="C508"/>
      <c r="D508" s="104"/>
      <c r="E508"/>
      <c r="F508"/>
      <c r="G508"/>
      <c r="H508"/>
      <c r="I508" s="104"/>
    </row>
    <row r="509" spans="1:9" x14ac:dyDescent="0.25">
      <c r="A509" s="19"/>
      <c r="C509"/>
      <c r="D509" s="104"/>
      <c r="E509"/>
      <c r="F509"/>
      <c r="G509"/>
      <c r="H509"/>
      <c r="I509" s="104"/>
    </row>
    <row r="510" spans="1:9" x14ac:dyDescent="0.25">
      <c r="A510" s="19"/>
      <c r="C510"/>
      <c r="D510" s="104"/>
      <c r="E510"/>
      <c r="F510"/>
      <c r="G510"/>
      <c r="H510"/>
      <c r="I510" s="104"/>
    </row>
    <row r="511" spans="1:9" x14ac:dyDescent="0.25">
      <c r="A511" s="19"/>
      <c r="C511"/>
      <c r="D511" s="104"/>
      <c r="E511"/>
      <c r="F511"/>
      <c r="G511"/>
      <c r="H511"/>
      <c r="I511" s="104"/>
    </row>
    <row r="512" spans="1:9" x14ac:dyDescent="0.25">
      <c r="A512" s="19"/>
      <c r="C512"/>
      <c r="D512" s="104"/>
      <c r="E512"/>
      <c r="F512"/>
      <c r="G512"/>
      <c r="H512"/>
      <c r="I512" s="104"/>
    </row>
    <row r="513" spans="1:9" x14ac:dyDescent="0.25">
      <c r="A513" s="19"/>
      <c r="C513"/>
      <c r="D513" s="104"/>
      <c r="E513"/>
      <c r="F513"/>
      <c r="G513"/>
      <c r="H513"/>
      <c r="I513" s="104"/>
    </row>
    <row r="514" spans="1:9" x14ac:dyDescent="0.25">
      <c r="A514" s="19"/>
      <c r="C514"/>
      <c r="D514" s="104"/>
      <c r="E514"/>
      <c r="F514"/>
      <c r="G514"/>
      <c r="H514"/>
      <c r="I514" s="104"/>
    </row>
    <row r="515" spans="1:9" x14ac:dyDescent="0.25">
      <c r="A515" s="19"/>
      <c r="C515"/>
      <c r="D515" s="104"/>
      <c r="E515"/>
      <c r="F515"/>
      <c r="G515"/>
      <c r="H515"/>
      <c r="I515" s="104"/>
    </row>
    <row r="516" spans="1:9" x14ac:dyDescent="0.25">
      <c r="A516" s="19"/>
      <c r="C516"/>
      <c r="D516" s="104"/>
      <c r="E516"/>
      <c r="F516"/>
      <c r="G516"/>
      <c r="H516"/>
      <c r="I516" s="104"/>
    </row>
    <row r="517" spans="1:9" x14ac:dyDescent="0.25">
      <c r="A517" s="19"/>
      <c r="C517"/>
      <c r="D517" s="104"/>
      <c r="E517"/>
      <c r="F517"/>
      <c r="G517"/>
      <c r="H517"/>
      <c r="I517" s="104"/>
    </row>
    <row r="518" spans="1:9" x14ac:dyDescent="0.25">
      <c r="A518" s="19"/>
      <c r="C518"/>
      <c r="D518" s="104"/>
      <c r="E518"/>
      <c r="F518"/>
      <c r="G518"/>
      <c r="H518"/>
      <c r="I518" s="104"/>
    </row>
    <row r="519" spans="1:9" x14ac:dyDescent="0.25">
      <c r="A519" s="19"/>
      <c r="C519"/>
      <c r="D519" s="104"/>
      <c r="E519"/>
      <c r="F519"/>
      <c r="G519"/>
      <c r="H519"/>
      <c r="I519" s="104"/>
    </row>
    <row r="520" spans="1:9" x14ac:dyDescent="0.25">
      <c r="A520" s="19"/>
      <c r="C520"/>
      <c r="D520" s="104"/>
      <c r="E520"/>
      <c r="F520"/>
      <c r="G520"/>
      <c r="H520"/>
      <c r="I520" s="104"/>
    </row>
    <row r="521" spans="1:9" x14ac:dyDescent="0.25">
      <c r="A521" s="19"/>
      <c r="C521"/>
      <c r="D521" s="104"/>
      <c r="E521"/>
      <c r="F521"/>
      <c r="G521"/>
      <c r="H521"/>
      <c r="I521" s="104"/>
    </row>
    <row r="522" spans="1:9" x14ac:dyDescent="0.25">
      <c r="A522" s="19"/>
      <c r="C522"/>
      <c r="D522" s="104"/>
      <c r="E522"/>
      <c r="F522"/>
      <c r="G522"/>
      <c r="H522"/>
      <c r="I522" s="104"/>
    </row>
    <row r="523" spans="1:9" x14ac:dyDescent="0.25">
      <c r="A523" s="19"/>
      <c r="C523"/>
      <c r="D523" s="104"/>
      <c r="E523"/>
      <c r="F523"/>
      <c r="G523"/>
      <c r="H523"/>
      <c r="I523" s="104"/>
    </row>
    <row r="524" spans="1:9" x14ac:dyDescent="0.25">
      <c r="A524" s="19"/>
      <c r="C524"/>
      <c r="D524" s="104"/>
      <c r="E524"/>
      <c r="F524"/>
      <c r="G524"/>
      <c r="H524"/>
      <c r="I524" s="104"/>
    </row>
    <row r="525" spans="1:9" x14ac:dyDescent="0.25">
      <c r="A525" s="19"/>
      <c r="C525"/>
      <c r="D525" s="104"/>
      <c r="E525"/>
      <c r="F525"/>
      <c r="G525"/>
      <c r="H525"/>
      <c r="I525" s="104"/>
    </row>
    <row r="526" spans="1:9" x14ac:dyDescent="0.25">
      <c r="A526" s="19"/>
      <c r="C526"/>
      <c r="D526" s="104"/>
      <c r="E526"/>
      <c r="F526"/>
      <c r="G526"/>
      <c r="H526"/>
      <c r="I526" s="104"/>
    </row>
    <row r="527" spans="1:9" x14ac:dyDescent="0.25">
      <c r="A527" s="19"/>
      <c r="C527"/>
      <c r="D527" s="104"/>
      <c r="E527"/>
      <c r="F527"/>
      <c r="G527"/>
      <c r="H527"/>
      <c r="I527" s="104"/>
    </row>
    <row r="528" spans="1:9" x14ac:dyDescent="0.25">
      <c r="A528" s="19"/>
      <c r="C528"/>
      <c r="D528" s="104"/>
      <c r="E528"/>
      <c r="F528"/>
      <c r="G528"/>
      <c r="H528"/>
      <c r="I528" s="104"/>
    </row>
    <row r="529" spans="1:9" x14ac:dyDescent="0.25">
      <c r="A529" s="19"/>
      <c r="C529"/>
      <c r="D529" s="104"/>
      <c r="E529"/>
      <c r="F529"/>
      <c r="G529"/>
      <c r="H529"/>
      <c r="I529" s="104"/>
    </row>
    <row r="530" spans="1:9" x14ac:dyDescent="0.25">
      <c r="A530" s="19"/>
      <c r="C530"/>
      <c r="D530" s="104"/>
      <c r="E530"/>
      <c r="F530"/>
      <c r="G530"/>
      <c r="H530"/>
      <c r="I530" s="104"/>
    </row>
    <row r="531" spans="1:9" x14ac:dyDescent="0.25">
      <c r="A531" s="19"/>
      <c r="C531"/>
      <c r="D531" s="104"/>
      <c r="E531"/>
      <c r="F531"/>
      <c r="G531"/>
      <c r="H531"/>
      <c r="I531" s="104"/>
    </row>
    <row r="532" spans="1:9" x14ac:dyDescent="0.25">
      <c r="A532" s="19"/>
      <c r="C532"/>
      <c r="D532" s="104"/>
      <c r="E532"/>
      <c r="F532"/>
      <c r="G532"/>
      <c r="H532"/>
      <c r="I532" s="104"/>
    </row>
    <row r="533" spans="1:9" x14ac:dyDescent="0.25">
      <c r="A533" s="19"/>
      <c r="C533"/>
      <c r="D533" s="104"/>
      <c r="E533"/>
      <c r="F533"/>
      <c r="G533"/>
      <c r="H533"/>
      <c r="I533" s="104"/>
    </row>
    <row r="534" spans="1:9" x14ac:dyDescent="0.25">
      <c r="A534" s="19"/>
      <c r="C534"/>
      <c r="D534" s="104"/>
      <c r="E534"/>
      <c r="F534"/>
      <c r="G534"/>
      <c r="H534"/>
      <c r="I534" s="104"/>
    </row>
    <row r="535" spans="1:9" x14ac:dyDescent="0.25">
      <c r="A535" s="19"/>
      <c r="C535"/>
      <c r="D535" s="104"/>
      <c r="E535"/>
      <c r="F535"/>
      <c r="G535"/>
      <c r="H535"/>
      <c r="I535" s="104"/>
    </row>
    <row r="536" spans="1:9" x14ac:dyDescent="0.25">
      <c r="A536" s="19"/>
      <c r="C536"/>
      <c r="D536" s="104"/>
      <c r="E536"/>
      <c r="F536"/>
      <c r="G536"/>
      <c r="H536"/>
      <c r="I536" s="104"/>
    </row>
    <row r="537" spans="1:9" x14ac:dyDescent="0.25">
      <c r="A537" s="19"/>
      <c r="C537"/>
      <c r="D537" s="104"/>
      <c r="E537"/>
      <c r="F537"/>
      <c r="G537"/>
      <c r="H537"/>
      <c r="I537" s="104"/>
    </row>
    <row r="538" spans="1:9" x14ac:dyDescent="0.25">
      <c r="A538" s="19"/>
      <c r="C538"/>
      <c r="D538" s="104"/>
      <c r="E538"/>
      <c r="F538"/>
      <c r="G538"/>
      <c r="H538"/>
      <c r="I538" s="104"/>
    </row>
    <row r="539" spans="1:9" x14ac:dyDescent="0.25">
      <c r="A539" s="19"/>
      <c r="C539"/>
      <c r="D539" s="104"/>
      <c r="E539"/>
      <c r="F539"/>
      <c r="G539"/>
      <c r="H539"/>
      <c r="I539" s="104"/>
    </row>
    <row r="540" spans="1:9" x14ac:dyDescent="0.25">
      <c r="A540" s="19"/>
      <c r="C540"/>
      <c r="D540" s="104"/>
      <c r="E540"/>
      <c r="F540"/>
      <c r="G540"/>
      <c r="H540"/>
      <c r="I540" s="104"/>
    </row>
    <row r="541" spans="1:9" x14ac:dyDescent="0.25">
      <c r="A541" s="19"/>
      <c r="C541"/>
      <c r="D541" s="104"/>
      <c r="E541"/>
      <c r="F541"/>
      <c r="G541"/>
      <c r="H541"/>
      <c r="I541" s="104"/>
    </row>
    <row r="542" spans="1:9" x14ac:dyDescent="0.25">
      <c r="A542" s="19"/>
      <c r="C542"/>
      <c r="D542" s="104"/>
      <c r="E542"/>
      <c r="F542"/>
      <c r="G542"/>
      <c r="H542"/>
      <c r="I542" s="104"/>
    </row>
    <row r="543" spans="1:9" x14ac:dyDescent="0.25">
      <c r="A543" s="19"/>
      <c r="C543"/>
      <c r="D543" s="104"/>
      <c r="E543"/>
      <c r="F543"/>
      <c r="G543"/>
      <c r="H543"/>
      <c r="I543" s="104"/>
    </row>
    <row r="544" spans="1:9" x14ac:dyDescent="0.25">
      <c r="A544" s="19"/>
      <c r="C544"/>
      <c r="D544" s="104"/>
      <c r="E544"/>
      <c r="F544"/>
      <c r="G544"/>
      <c r="H544"/>
      <c r="I544" s="104"/>
    </row>
    <row r="545" spans="1:9" x14ac:dyDescent="0.25">
      <c r="A545" s="19"/>
      <c r="C545"/>
      <c r="D545" s="104"/>
      <c r="E545"/>
      <c r="F545"/>
      <c r="G545"/>
      <c r="H545"/>
      <c r="I545" s="104"/>
    </row>
    <row r="546" spans="1:9" x14ac:dyDescent="0.25">
      <c r="A546" s="19"/>
      <c r="C546"/>
      <c r="D546" s="104"/>
      <c r="E546"/>
      <c r="F546"/>
      <c r="G546"/>
      <c r="H546"/>
      <c r="I546" s="104"/>
    </row>
    <row r="547" spans="1:9" x14ac:dyDescent="0.25">
      <c r="A547" s="19"/>
      <c r="C547"/>
      <c r="D547" s="104"/>
      <c r="E547"/>
      <c r="F547"/>
      <c r="G547"/>
      <c r="H547"/>
      <c r="I547" s="104"/>
    </row>
    <row r="548" spans="1:9" x14ac:dyDescent="0.25">
      <c r="A548" s="19"/>
      <c r="C548"/>
      <c r="D548" s="104"/>
      <c r="E548"/>
      <c r="F548"/>
      <c r="G548"/>
      <c r="H548"/>
      <c r="I548" s="104"/>
    </row>
    <row r="549" spans="1:9" x14ac:dyDescent="0.25">
      <c r="A549" s="19"/>
      <c r="C549"/>
      <c r="D549" s="104"/>
      <c r="E549"/>
      <c r="F549"/>
      <c r="G549"/>
      <c r="H549"/>
      <c r="I549" s="104"/>
    </row>
    <row r="550" spans="1:9" x14ac:dyDescent="0.25">
      <c r="A550" s="19"/>
      <c r="C550"/>
      <c r="D550" s="104"/>
      <c r="E550"/>
      <c r="F550"/>
      <c r="G550"/>
      <c r="H550"/>
      <c r="I550" s="104"/>
    </row>
    <row r="551" spans="1:9" x14ac:dyDescent="0.25">
      <c r="A551" s="19"/>
      <c r="C551"/>
      <c r="D551" s="104"/>
      <c r="E551"/>
      <c r="F551"/>
      <c r="G551"/>
      <c r="H551"/>
      <c r="I551" s="104"/>
    </row>
    <row r="552" spans="1:9" x14ac:dyDescent="0.25">
      <c r="A552" s="19"/>
      <c r="C552"/>
      <c r="D552" s="104"/>
      <c r="E552"/>
      <c r="F552"/>
      <c r="G552"/>
      <c r="H552"/>
      <c r="I552" s="104"/>
    </row>
    <row r="553" spans="1:9" x14ac:dyDescent="0.25">
      <c r="A553" s="19"/>
      <c r="C553"/>
      <c r="D553" s="104"/>
      <c r="E553"/>
      <c r="F553"/>
      <c r="G553"/>
      <c r="H553"/>
      <c r="I553" s="104"/>
    </row>
    <row r="554" spans="1:9" x14ac:dyDescent="0.25">
      <c r="A554" s="19"/>
      <c r="C554"/>
      <c r="D554" s="104"/>
      <c r="E554"/>
      <c r="F554"/>
      <c r="G554"/>
      <c r="H554"/>
      <c r="I554" s="104"/>
    </row>
    <row r="555" spans="1:9" x14ac:dyDescent="0.25">
      <c r="A555" s="19"/>
      <c r="C555"/>
      <c r="D555" s="104"/>
      <c r="E555"/>
      <c r="F555"/>
      <c r="G555"/>
      <c r="H555"/>
      <c r="I555" s="104"/>
    </row>
    <row r="556" spans="1:9" x14ac:dyDescent="0.25">
      <c r="A556" s="19"/>
      <c r="C556"/>
      <c r="D556" s="104"/>
      <c r="E556"/>
      <c r="F556"/>
      <c r="G556"/>
      <c r="H556"/>
      <c r="I556" s="104"/>
    </row>
    <row r="557" spans="1:9" x14ac:dyDescent="0.25">
      <c r="A557" s="19"/>
      <c r="C557"/>
      <c r="D557" s="104"/>
      <c r="E557"/>
      <c r="F557"/>
      <c r="G557"/>
      <c r="H557"/>
      <c r="I557" s="104"/>
    </row>
    <row r="558" spans="1:9" x14ac:dyDescent="0.25">
      <c r="A558" s="19"/>
      <c r="C558"/>
      <c r="D558" s="104"/>
      <c r="E558"/>
      <c r="F558"/>
      <c r="G558"/>
      <c r="H558"/>
      <c r="I558" s="104"/>
    </row>
    <row r="559" spans="1:9" x14ac:dyDescent="0.25">
      <c r="A559" s="19"/>
      <c r="C559"/>
      <c r="D559" s="104"/>
      <c r="E559"/>
      <c r="F559"/>
      <c r="G559"/>
      <c r="H559"/>
      <c r="I559" s="104"/>
    </row>
    <row r="560" spans="1:9" x14ac:dyDescent="0.25">
      <c r="A560" s="19"/>
      <c r="C560"/>
      <c r="D560" s="104"/>
      <c r="E560"/>
      <c r="F560"/>
      <c r="G560"/>
      <c r="H560"/>
      <c r="I560" s="104"/>
    </row>
    <row r="561" spans="1:9" x14ac:dyDescent="0.25">
      <c r="A561" s="19"/>
      <c r="C561"/>
      <c r="D561" s="104"/>
      <c r="E561"/>
      <c r="F561"/>
      <c r="G561"/>
      <c r="H561"/>
      <c r="I561" s="104"/>
    </row>
    <row r="562" spans="1:9" x14ac:dyDescent="0.25">
      <c r="A562" s="19"/>
      <c r="C562"/>
      <c r="D562" s="104"/>
      <c r="E562"/>
      <c r="F562"/>
      <c r="G562"/>
      <c r="H562"/>
      <c r="I562" s="104"/>
    </row>
    <row r="563" spans="1:9" x14ac:dyDescent="0.25">
      <c r="A563" s="19"/>
      <c r="C563"/>
      <c r="D563" s="104"/>
      <c r="E563"/>
      <c r="F563"/>
      <c r="G563"/>
      <c r="H563"/>
      <c r="I563" s="104"/>
    </row>
    <row r="564" spans="1:9" x14ac:dyDescent="0.25">
      <c r="A564" s="19"/>
      <c r="C564"/>
      <c r="D564" s="104"/>
      <c r="E564"/>
      <c r="F564"/>
      <c r="G564"/>
      <c r="H564"/>
      <c r="I564" s="104"/>
    </row>
    <row r="565" spans="1:9" x14ac:dyDescent="0.25">
      <c r="A565" s="19"/>
      <c r="C565"/>
      <c r="D565" s="104"/>
      <c r="E565"/>
      <c r="F565"/>
      <c r="G565"/>
      <c r="H565"/>
      <c r="I565" s="104"/>
    </row>
    <row r="566" spans="1:9" x14ac:dyDescent="0.25">
      <c r="A566" s="19"/>
      <c r="C566"/>
      <c r="D566" s="104"/>
      <c r="E566"/>
      <c r="F566"/>
      <c r="G566"/>
      <c r="H566"/>
      <c r="I566" s="104"/>
    </row>
    <row r="567" spans="1:9" x14ac:dyDescent="0.25">
      <c r="A567" s="19"/>
      <c r="C567"/>
      <c r="D567" s="104"/>
      <c r="E567"/>
      <c r="F567"/>
      <c r="G567"/>
      <c r="H567"/>
      <c r="I567" s="104"/>
    </row>
    <row r="568" spans="1:9" x14ac:dyDescent="0.25">
      <c r="A568" s="19"/>
      <c r="C568"/>
      <c r="D568" s="104"/>
      <c r="E568"/>
      <c r="F568"/>
      <c r="G568"/>
      <c r="H568"/>
      <c r="I568" s="104"/>
    </row>
    <row r="569" spans="1:9" x14ac:dyDescent="0.25">
      <c r="A569" s="19"/>
      <c r="C569"/>
      <c r="D569" s="104"/>
      <c r="E569"/>
      <c r="F569"/>
      <c r="G569"/>
      <c r="H569"/>
      <c r="I569" s="104"/>
    </row>
    <row r="570" spans="1:9" x14ac:dyDescent="0.25">
      <c r="A570" s="19"/>
      <c r="C570"/>
      <c r="D570" s="104"/>
      <c r="E570"/>
      <c r="F570"/>
      <c r="G570"/>
      <c r="H570"/>
      <c r="I570" s="104"/>
    </row>
    <row r="571" spans="1:9" x14ac:dyDescent="0.25">
      <c r="A571" s="19"/>
      <c r="C571"/>
      <c r="D571" s="104"/>
      <c r="E571"/>
      <c r="F571"/>
      <c r="G571"/>
      <c r="H571"/>
      <c r="I571" s="104"/>
    </row>
    <row r="572" spans="1:9" x14ac:dyDescent="0.25">
      <c r="A572" s="19"/>
      <c r="C572"/>
      <c r="D572" s="104"/>
      <c r="E572"/>
      <c r="F572"/>
      <c r="G572"/>
      <c r="H572"/>
      <c r="I572" s="104"/>
    </row>
    <row r="573" spans="1:9" x14ac:dyDescent="0.25">
      <c r="A573" s="19"/>
      <c r="C573"/>
      <c r="D573" s="104"/>
      <c r="E573"/>
      <c r="F573"/>
      <c r="G573"/>
      <c r="H573"/>
      <c r="I573" s="104"/>
    </row>
    <row r="574" spans="1:9" x14ac:dyDescent="0.25">
      <c r="A574" s="19"/>
      <c r="C574"/>
      <c r="D574" s="104"/>
      <c r="E574"/>
      <c r="F574"/>
      <c r="G574"/>
      <c r="H574"/>
      <c r="I574" s="104"/>
    </row>
    <row r="575" spans="1:9" x14ac:dyDescent="0.25">
      <c r="A575" s="19"/>
      <c r="C575"/>
      <c r="D575" s="104"/>
      <c r="E575"/>
      <c r="F575"/>
      <c r="G575"/>
      <c r="H575"/>
      <c r="I575" s="104"/>
    </row>
    <row r="576" spans="1:9" x14ac:dyDescent="0.25">
      <c r="A576" s="19"/>
      <c r="C576"/>
      <c r="D576" s="104"/>
      <c r="E576"/>
      <c r="F576"/>
      <c r="G576"/>
      <c r="H576"/>
      <c r="I576" s="104"/>
    </row>
    <row r="577" spans="1:9" x14ac:dyDescent="0.25">
      <c r="A577" s="19"/>
      <c r="C577"/>
      <c r="D577" s="104"/>
      <c r="E577"/>
      <c r="F577"/>
      <c r="G577"/>
      <c r="H577"/>
      <c r="I577" s="104"/>
    </row>
    <row r="578" spans="1:9" x14ac:dyDescent="0.25">
      <c r="A578" s="19"/>
      <c r="C578"/>
      <c r="D578" s="104"/>
      <c r="E578"/>
      <c r="F578"/>
      <c r="G578"/>
      <c r="H578"/>
      <c r="I578" s="104"/>
    </row>
    <row r="579" spans="1:9" x14ac:dyDescent="0.25">
      <c r="A579" s="19"/>
      <c r="C579"/>
      <c r="D579" s="104"/>
      <c r="E579"/>
      <c r="F579"/>
      <c r="G579"/>
      <c r="H579"/>
      <c r="I579" s="104"/>
    </row>
    <row r="580" spans="1:9" x14ac:dyDescent="0.25">
      <c r="A580" s="19"/>
      <c r="C580"/>
      <c r="D580" s="104"/>
      <c r="E580"/>
      <c r="F580"/>
      <c r="G580"/>
      <c r="H580"/>
      <c r="I580" s="104"/>
    </row>
    <row r="581" spans="1:9" x14ac:dyDescent="0.25">
      <c r="A581" s="19"/>
      <c r="C581"/>
      <c r="D581" s="104"/>
      <c r="E581"/>
      <c r="F581"/>
      <c r="G581"/>
      <c r="H581"/>
      <c r="I581" s="104"/>
    </row>
    <row r="582" spans="1:9" x14ac:dyDescent="0.25">
      <c r="A582" s="19"/>
      <c r="C582"/>
      <c r="D582" s="104"/>
      <c r="E582"/>
      <c r="F582"/>
      <c r="G582"/>
      <c r="H582"/>
      <c r="I582" s="104"/>
    </row>
    <row r="583" spans="1:9" x14ac:dyDescent="0.25">
      <c r="A583" s="19"/>
      <c r="C583"/>
      <c r="D583" s="104"/>
      <c r="E583"/>
      <c r="F583"/>
      <c r="G583"/>
      <c r="H583"/>
      <c r="I583" s="104"/>
    </row>
    <row r="584" spans="1:9" x14ac:dyDescent="0.25">
      <c r="A584" s="19"/>
      <c r="C584"/>
      <c r="D584" s="104"/>
      <c r="E584"/>
      <c r="F584"/>
      <c r="G584"/>
      <c r="H584"/>
      <c r="I584" s="104"/>
    </row>
    <row r="585" spans="1:9" x14ac:dyDescent="0.25">
      <c r="A585" s="19"/>
      <c r="C585"/>
      <c r="D585" s="104"/>
      <c r="E585"/>
      <c r="F585"/>
      <c r="G585"/>
      <c r="H585"/>
      <c r="I585" s="104"/>
    </row>
    <row r="586" spans="1:9" x14ac:dyDescent="0.25">
      <c r="A586" s="19"/>
      <c r="C586"/>
      <c r="D586" s="104"/>
      <c r="E586"/>
      <c r="F586"/>
      <c r="G586"/>
      <c r="H586"/>
      <c r="I586" s="104"/>
    </row>
    <row r="587" spans="1:9" x14ac:dyDescent="0.25">
      <c r="A587" s="19"/>
      <c r="C587"/>
      <c r="D587" s="104"/>
      <c r="E587"/>
      <c r="F587"/>
      <c r="G587"/>
      <c r="H587"/>
      <c r="I587" s="104"/>
    </row>
    <row r="588" spans="1:9" x14ac:dyDescent="0.25">
      <c r="A588" s="19"/>
      <c r="C588"/>
      <c r="D588" s="104"/>
      <c r="E588"/>
      <c r="F588"/>
      <c r="G588"/>
      <c r="H588"/>
      <c r="I588" s="104"/>
    </row>
    <row r="589" spans="1:9" x14ac:dyDescent="0.25">
      <c r="A589" s="19"/>
      <c r="C589"/>
      <c r="D589" s="104"/>
      <c r="E589"/>
      <c r="F589"/>
      <c r="G589"/>
      <c r="H589"/>
      <c r="I589" s="104"/>
    </row>
    <row r="590" spans="1:9" x14ac:dyDescent="0.25">
      <c r="A590" s="19"/>
      <c r="C590"/>
      <c r="D590" s="104"/>
      <c r="E590"/>
      <c r="F590"/>
      <c r="G590"/>
      <c r="H590"/>
      <c r="I590" s="104"/>
    </row>
    <row r="591" spans="1:9" x14ac:dyDescent="0.25">
      <c r="A591" s="19"/>
      <c r="C591"/>
      <c r="D591" s="104"/>
      <c r="E591"/>
      <c r="F591"/>
      <c r="G591"/>
      <c r="H591"/>
      <c r="I591" s="104"/>
    </row>
    <row r="592" spans="1:9" x14ac:dyDescent="0.25">
      <c r="A592" s="19"/>
      <c r="C592"/>
      <c r="D592" s="104"/>
      <c r="E592"/>
      <c r="F592"/>
      <c r="G592"/>
      <c r="H592"/>
      <c r="I592" s="104"/>
    </row>
    <row r="593" spans="1:9" x14ac:dyDescent="0.25">
      <c r="A593" s="19"/>
      <c r="C593"/>
      <c r="D593" s="104"/>
      <c r="E593"/>
      <c r="F593"/>
      <c r="G593"/>
      <c r="H593"/>
      <c r="I593" s="104"/>
    </row>
    <row r="594" spans="1:9" x14ac:dyDescent="0.25">
      <c r="A594" s="19"/>
      <c r="C594"/>
      <c r="D594" s="104"/>
      <c r="E594"/>
      <c r="F594"/>
      <c r="G594"/>
      <c r="H594"/>
      <c r="I594" s="104"/>
    </row>
    <row r="595" spans="1:9" x14ac:dyDescent="0.25">
      <c r="A595" s="19"/>
      <c r="C595"/>
      <c r="D595" s="104"/>
      <c r="E595"/>
      <c r="F595"/>
      <c r="G595"/>
      <c r="H595"/>
      <c r="I595" s="104"/>
    </row>
    <row r="596" spans="1:9" x14ac:dyDescent="0.25">
      <c r="A596" s="19"/>
      <c r="C596"/>
      <c r="D596" s="104"/>
      <c r="E596"/>
      <c r="F596"/>
      <c r="G596"/>
      <c r="H596"/>
      <c r="I596" s="104"/>
    </row>
    <row r="597" spans="1:9" x14ac:dyDescent="0.25">
      <c r="A597" s="19"/>
      <c r="C597"/>
      <c r="D597" s="104"/>
      <c r="E597"/>
      <c r="F597"/>
      <c r="G597"/>
      <c r="H597"/>
      <c r="I597" s="104"/>
    </row>
    <row r="598" spans="1:9" x14ac:dyDescent="0.25">
      <c r="A598" s="19"/>
      <c r="C598"/>
      <c r="D598" s="104"/>
      <c r="E598"/>
      <c r="F598"/>
      <c r="G598"/>
      <c r="H598"/>
      <c r="I598" s="104"/>
    </row>
    <row r="599" spans="1:9" x14ac:dyDescent="0.25">
      <c r="A599" s="19"/>
      <c r="C599"/>
      <c r="D599" s="104"/>
      <c r="E599"/>
      <c r="F599"/>
      <c r="G599"/>
      <c r="H599"/>
      <c r="I599" s="104"/>
    </row>
    <row r="600" spans="1:9" x14ac:dyDescent="0.25">
      <c r="A600" s="19"/>
      <c r="C600"/>
      <c r="D600" s="104"/>
      <c r="E600"/>
      <c r="F600"/>
      <c r="G600"/>
      <c r="H600"/>
      <c r="I600" s="104"/>
    </row>
    <row r="601" spans="1:9" x14ac:dyDescent="0.25">
      <c r="A601" s="19"/>
      <c r="C601"/>
      <c r="D601" s="104"/>
      <c r="E601"/>
      <c r="F601"/>
      <c r="G601"/>
      <c r="H601"/>
      <c r="I601" s="104"/>
    </row>
    <row r="602" spans="1:9" x14ac:dyDescent="0.25">
      <c r="A602" s="19"/>
      <c r="C602"/>
      <c r="D602" s="104"/>
      <c r="E602"/>
      <c r="F602"/>
      <c r="G602"/>
      <c r="H602"/>
      <c r="I602" s="104"/>
    </row>
    <row r="603" spans="1:9" x14ac:dyDescent="0.25">
      <c r="A603" s="19"/>
      <c r="C603"/>
      <c r="D603" s="104"/>
      <c r="E603"/>
      <c r="F603"/>
      <c r="G603"/>
      <c r="H603"/>
      <c r="I603" s="104"/>
    </row>
    <row r="604" spans="1:9" x14ac:dyDescent="0.25">
      <c r="A604" s="19"/>
      <c r="C604"/>
      <c r="D604" s="104"/>
      <c r="E604"/>
      <c r="F604"/>
      <c r="G604"/>
      <c r="H604"/>
      <c r="I604" s="104"/>
    </row>
    <row r="605" spans="1:9" x14ac:dyDescent="0.25">
      <c r="A605" s="19"/>
      <c r="C605"/>
      <c r="D605" s="104"/>
      <c r="E605"/>
      <c r="F605"/>
      <c r="G605"/>
      <c r="H605"/>
      <c r="I605" s="104"/>
    </row>
    <row r="606" spans="1:9" x14ac:dyDescent="0.25">
      <c r="A606" s="19"/>
      <c r="C606"/>
      <c r="D606" s="104"/>
      <c r="E606"/>
      <c r="F606"/>
      <c r="G606"/>
      <c r="H606"/>
      <c r="I606" s="104"/>
    </row>
    <row r="607" spans="1:9" x14ac:dyDescent="0.25">
      <c r="A607" s="19"/>
      <c r="C607"/>
      <c r="D607" s="104"/>
      <c r="E607"/>
      <c r="F607"/>
      <c r="G607"/>
      <c r="H607"/>
      <c r="I607" s="104"/>
    </row>
    <row r="608" spans="1:9" x14ac:dyDescent="0.25">
      <c r="A608" s="19"/>
      <c r="C608"/>
      <c r="D608" s="104"/>
      <c r="E608"/>
      <c r="F608"/>
      <c r="G608"/>
      <c r="H608"/>
      <c r="I608" s="104"/>
    </row>
    <row r="609" spans="1:9" x14ac:dyDescent="0.25">
      <c r="A609" s="19"/>
      <c r="C609"/>
      <c r="D609" s="104"/>
      <c r="E609"/>
      <c r="F609"/>
      <c r="G609"/>
      <c r="H609"/>
      <c r="I609" s="104"/>
    </row>
    <row r="610" spans="1:9" x14ac:dyDescent="0.25">
      <c r="A610" s="19"/>
      <c r="C610"/>
      <c r="D610" s="104"/>
      <c r="E610"/>
      <c r="F610"/>
      <c r="G610"/>
      <c r="H610"/>
      <c r="I610" s="104"/>
    </row>
    <row r="611" spans="1:9" x14ac:dyDescent="0.25">
      <c r="A611" s="19"/>
      <c r="C611"/>
      <c r="D611" s="104"/>
      <c r="E611"/>
      <c r="F611"/>
      <c r="G611"/>
      <c r="H611"/>
      <c r="I611" s="104"/>
    </row>
    <row r="612" spans="1:9" x14ac:dyDescent="0.25">
      <c r="A612" s="19"/>
      <c r="C612"/>
      <c r="D612" s="104"/>
      <c r="E612"/>
      <c r="F612"/>
      <c r="G612"/>
      <c r="H612"/>
      <c r="I612" s="104"/>
    </row>
    <row r="613" spans="1:9" x14ac:dyDescent="0.25">
      <c r="A613" s="19"/>
      <c r="C613"/>
      <c r="D613" s="104"/>
      <c r="E613"/>
      <c r="F613"/>
      <c r="G613"/>
      <c r="H613"/>
      <c r="I613" s="104"/>
    </row>
    <row r="614" spans="1:9" x14ac:dyDescent="0.25">
      <c r="A614" s="19"/>
      <c r="C614"/>
      <c r="D614" s="104"/>
      <c r="E614"/>
      <c r="F614"/>
      <c r="G614"/>
      <c r="H614"/>
      <c r="I614" s="104"/>
    </row>
    <row r="615" spans="1:9" x14ac:dyDescent="0.25">
      <c r="A615" s="19"/>
      <c r="C615"/>
      <c r="D615" s="104"/>
      <c r="E615"/>
      <c r="F615"/>
      <c r="G615"/>
      <c r="H615"/>
      <c r="I615" s="104"/>
    </row>
    <row r="616" spans="1:9" x14ac:dyDescent="0.25">
      <c r="A616" s="19"/>
      <c r="C616"/>
      <c r="D616" s="104"/>
      <c r="E616"/>
      <c r="F616"/>
      <c r="G616"/>
      <c r="H616"/>
      <c r="I616" s="104"/>
    </row>
    <row r="617" spans="1:9" x14ac:dyDescent="0.25">
      <c r="A617" s="19"/>
      <c r="C617"/>
      <c r="D617" s="104"/>
      <c r="E617"/>
      <c r="F617"/>
      <c r="G617"/>
      <c r="H617"/>
      <c r="I617" s="104"/>
    </row>
    <row r="618" spans="1:9" x14ac:dyDescent="0.25">
      <c r="A618" s="19"/>
      <c r="C618"/>
      <c r="D618" s="104"/>
      <c r="E618"/>
      <c r="F618"/>
      <c r="G618"/>
      <c r="H618"/>
      <c r="I618" s="104"/>
    </row>
    <row r="619" spans="1:9" x14ac:dyDescent="0.25">
      <c r="A619" s="19"/>
      <c r="C619"/>
      <c r="D619" s="104"/>
      <c r="E619"/>
      <c r="F619"/>
      <c r="G619"/>
      <c r="H619"/>
      <c r="I619" s="104"/>
    </row>
    <row r="620" spans="1:9" x14ac:dyDescent="0.25">
      <c r="A620" s="19"/>
      <c r="C620"/>
      <c r="D620" s="104"/>
      <c r="E620"/>
      <c r="F620"/>
      <c r="G620"/>
      <c r="H620"/>
      <c r="I620" s="104"/>
    </row>
    <row r="621" spans="1:9" x14ac:dyDescent="0.25">
      <c r="A621" s="19"/>
      <c r="C621"/>
      <c r="D621" s="104"/>
      <c r="E621"/>
      <c r="F621"/>
      <c r="G621"/>
      <c r="H621"/>
      <c r="I621" s="104"/>
    </row>
    <row r="622" spans="1:9" x14ac:dyDescent="0.25">
      <c r="A622" s="19"/>
      <c r="C622"/>
      <c r="D622" s="104"/>
      <c r="E622"/>
      <c r="F622"/>
      <c r="G622"/>
      <c r="H622"/>
      <c r="I622" s="104"/>
    </row>
    <row r="623" spans="1:9" x14ac:dyDescent="0.25">
      <c r="A623" s="19"/>
      <c r="C623"/>
      <c r="D623" s="104"/>
      <c r="E623"/>
      <c r="F623"/>
      <c r="G623"/>
      <c r="H623"/>
      <c r="I623" s="104"/>
    </row>
    <row r="624" spans="1:9" x14ac:dyDescent="0.25">
      <c r="A624" s="19"/>
      <c r="C624"/>
      <c r="D624" s="104"/>
      <c r="E624"/>
      <c r="F624"/>
      <c r="G624"/>
      <c r="H624"/>
      <c r="I624" s="104"/>
    </row>
    <row r="625" spans="1:9" x14ac:dyDescent="0.25">
      <c r="A625" s="19"/>
      <c r="C625"/>
      <c r="D625" s="104"/>
      <c r="E625"/>
      <c r="F625"/>
      <c r="G625"/>
      <c r="H625"/>
      <c r="I625" s="104"/>
    </row>
    <row r="626" spans="1:9" x14ac:dyDescent="0.25">
      <c r="A626" s="19"/>
      <c r="C626"/>
      <c r="D626" s="104"/>
      <c r="E626"/>
      <c r="F626"/>
      <c r="G626"/>
      <c r="H626"/>
      <c r="I626" s="104"/>
    </row>
    <row r="627" spans="1:9" x14ac:dyDescent="0.25">
      <c r="A627" s="19"/>
      <c r="C627"/>
      <c r="D627" s="104"/>
      <c r="E627"/>
      <c r="F627"/>
      <c r="G627"/>
      <c r="H627"/>
      <c r="I627" s="104"/>
    </row>
    <row r="628" spans="1:9" x14ac:dyDescent="0.25">
      <c r="A628" s="19"/>
      <c r="C628"/>
      <c r="D628" s="104"/>
      <c r="E628"/>
      <c r="F628"/>
      <c r="G628"/>
      <c r="H628"/>
      <c r="I628" s="104"/>
    </row>
    <row r="629" spans="1:9" x14ac:dyDescent="0.25">
      <c r="A629" s="19"/>
      <c r="C629"/>
      <c r="D629" s="104"/>
      <c r="E629"/>
      <c r="F629"/>
      <c r="G629"/>
      <c r="H629"/>
      <c r="I629" s="104"/>
    </row>
    <row r="630" spans="1:9" x14ac:dyDescent="0.25">
      <c r="A630" s="19"/>
      <c r="C630"/>
      <c r="D630" s="104"/>
      <c r="E630"/>
      <c r="F630"/>
      <c r="G630"/>
      <c r="H630"/>
      <c r="I630" s="104"/>
    </row>
    <row r="631" spans="1:9" x14ac:dyDescent="0.25">
      <c r="A631" s="19"/>
      <c r="C631"/>
      <c r="D631" s="104"/>
      <c r="E631"/>
      <c r="F631"/>
      <c r="G631"/>
      <c r="H631"/>
      <c r="I631" s="104"/>
    </row>
    <row r="632" spans="1:9" x14ac:dyDescent="0.25">
      <c r="A632" s="19"/>
      <c r="C632"/>
      <c r="D632" s="104"/>
      <c r="E632"/>
      <c r="F632"/>
      <c r="G632"/>
      <c r="H632"/>
      <c r="I632" s="104"/>
    </row>
    <row r="633" spans="1:9" x14ac:dyDescent="0.25">
      <c r="A633" s="19"/>
      <c r="C633"/>
      <c r="D633" s="104"/>
      <c r="E633"/>
      <c r="F633"/>
      <c r="G633"/>
      <c r="H633"/>
      <c r="I633" s="104"/>
    </row>
    <row r="634" spans="1:9" x14ac:dyDescent="0.25">
      <c r="A634" s="19"/>
      <c r="C634"/>
      <c r="D634" s="104"/>
      <c r="E634"/>
      <c r="F634"/>
      <c r="G634"/>
      <c r="H634"/>
      <c r="I634" s="104"/>
    </row>
    <row r="635" spans="1:9" x14ac:dyDescent="0.25">
      <c r="A635" s="19"/>
      <c r="C635"/>
      <c r="D635" s="104"/>
      <c r="E635"/>
      <c r="F635"/>
      <c r="G635"/>
      <c r="H635"/>
      <c r="I635" s="104"/>
    </row>
    <row r="636" spans="1:9" x14ac:dyDescent="0.25">
      <c r="A636" s="19"/>
      <c r="C636"/>
      <c r="D636" s="104"/>
      <c r="E636"/>
      <c r="F636"/>
      <c r="G636"/>
      <c r="H636"/>
      <c r="I636" s="104"/>
    </row>
    <row r="637" spans="1:9" x14ac:dyDescent="0.25">
      <c r="A637" s="19"/>
      <c r="C637"/>
      <c r="D637" s="104"/>
      <c r="E637"/>
      <c r="F637"/>
      <c r="G637"/>
      <c r="H637"/>
      <c r="I637" s="104"/>
    </row>
    <row r="638" spans="1:9" x14ac:dyDescent="0.25">
      <c r="A638" s="19"/>
      <c r="C638"/>
      <c r="D638" s="104"/>
      <c r="E638"/>
      <c r="F638"/>
      <c r="G638"/>
      <c r="H638"/>
      <c r="I638" s="104"/>
    </row>
    <row r="639" spans="1:9" x14ac:dyDescent="0.25">
      <c r="A639" s="19"/>
      <c r="C639"/>
      <c r="D639" s="104"/>
      <c r="E639"/>
      <c r="F639"/>
      <c r="G639"/>
      <c r="H639"/>
      <c r="I639" s="104"/>
    </row>
    <row r="640" spans="1:9" x14ac:dyDescent="0.25">
      <c r="A640" s="19"/>
      <c r="C640"/>
      <c r="D640" s="104"/>
      <c r="E640"/>
      <c r="F640"/>
      <c r="G640"/>
      <c r="H640"/>
      <c r="I640" s="104"/>
    </row>
    <row r="641" spans="1:9" x14ac:dyDescent="0.25">
      <c r="A641" s="19"/>
      <c r="C641"/>
      <c r="D641" s="104"/>
      <c r="E641"/>
      <c r="F641"/>
      <c r="G641"/>
      <c r="H641"/>
      <c r="I641" s="104"/>
    </row>
    <row r="642" spans="1:9" x14ac:dyDescent="0.25">
      <c r="A642" s="19"/>
      <c r="C642"/>
      <c r="D642" s="104"/>
      <c r="E642"/>
      <c r="F642"/>
      <c r="G642"/>
      <c r="H642"/>
      <c r="I642" s="104"/>
    </row>
    <row r="643" spans="1:9" x14ac:dyDescent="0.25">
      <c r="A643" s="19"/>
      <c r="C643"/>
      <c r="D643" s="104"/>
      <c r="E643"/>
      <c r="F643"/>
      <c r="G643"/>
      <c r="H643"/>
      <c r="I643" s="104"/>
    </row>
    <row r="644" spans="1:9" x14ac:dyDescent="0.25">
      <c r="A644" s="19"/>
      <c r="C644"/>
      <c r="D644" s="104"/>
      <c r="E644"/>
      <c r="F644"/>
      <c r="G644"/>
      <c r="H644"/>
      <c r="I644" s="104"/>
    </row>
    <row r="645" spans="1:9" x14ac:dyDescent="0.25">
      <c r="A645" s="19"/>
      <c r="C645"/>
      <c r="D645" s="104"/>
      <c r="E645"/>
      <c r="F645"/>
      <c r="G645"/>
      <c r="H645"/>
      <c r="I645" s="104"/>
    </row>
    <row r="646" spans="1:9" x14ac:dyDescent="0.25">
      <c r="A646" s="19"/>
      <c r="C646"/>
      <c r="D646" s="104"/>
      <c r="E646"/>
      <c r="F646"/>
      <c r="G646"/>
      <c r="H646"/>
      <c r="I646" s="104"/>
    </row>
    <row r="647" spans="1:9" x14ac:dyDescent="0.25">
      <c r="A647" s="19"/>
      <c r="C647"/>
      <c r="D647" s="104"/>
      <c r="E647"/>
      <c r="F647"/>
      <c r="G647"/>
      <c r="H647"/>
      <c r="I647" s="104"/>
    </row>
    <row r="648" spans="1:9" x14ac:dyDescent="0.25">
      <c r="A648" s="19"/>
      <c r="C648"/>
      <c r="D648" s="104"/>
      <c r="E648"/>
      <c r="F648"/>
      <c r="G648"/>
      <c r="H648"/>
      <c r="I648" s="104"/>
    </row>
    <row r="649" spans="1:9" x14ac:dyDescent="0.25">
      <c r="A649" s="19"/>
      <c r="C649"/>
      <c r="D649" s="104"/>
      <c r="E649"/>
      <c r="F649"/>
      <c r="G649"/>
      <c r="H649"/>
      <c r="I649" s="104"/>
    </row>
    <row r="650" spans="1:9" x14ac:dyDescent="0.25">
      <c r="A650" s="19"/>
      <c r="C650"/>
      <c r="D650" s="104"/>
      <c r="E650"/>
      <c r="F650"/>
      <c r="G650"/>
      <c r="H650"/>
      <c r="I650" s="104"/>
    </row>
    <row r="651" spans="1:9" x14ac:dyDescent="0.25">
      <c r="A651" s="19"/>
      <c r="C651"/>
      <c r="D651" s="104"/>
      <c r="E651"/>
      <c r="F651"/>
      <c r="G651"/>
      <c r="H651"/>
      <c r="I651" s="104"/>
    </row>
    <row r="652" spans="1:9" x14ac:dyDescent="0.25">
      <c r="A652" s="19"/>
      <c r="C652"/>
      <c r="D652" s="104"/>
      <c r="E652"/>
      <c r="F652"/>
      <c r="G652"/>
      <c r="H652"/>
      <c r="I652" s="104"/>
    </row>
    <row r="653" spans="1:9" x14ac:dyDescent="0.25">
      <c r="A653" s="19"/>
      <c r="C653"/>
      <c r="D653" s="104"/>
      <c r="E653"/>
      <c r="F653"/>
      <c r="G653"/>
      <c r="H653"/>
      <c r="I653" s="104"/>
    </row>
    <row r="654" spans="1:9" x14ac:dyDescent="0.25">
      <c r="A654" s="19"/>
      <c r="C654"/>
      <c r="D654" s="104"/>
      <c r="E654"/>
      <c r="F654"/>
      <c r="G654"/>
      <c r="H654"/>
      <c r="I654" s="104"/>
    </row>
    <row r="655" spans="1:9" x14ac:dyDescent="0.25">
      <c r="A655" s="19"/>
      <c r="C655"/>
      <c r="D655" s="104"/>
      <c r="E655"/>
      <c r="F655"/>
      <c r="G655"/>
      <c r="H655"/>
      <c r="I655" s="104"/>
    </row>
    <row r="656" spans="1:9" x14ac:dyDescent="0.25">
      <c r="A656" s="19"/>
      <c r="C656"/>
      <c r="D656" s="104"/>
      <c r="E656"/>
      <c r="F656"/>
      <c r="G656"/>
      <c r="H656"/>
      <c r="I656" s="104"/>
    </row>
    <row r="657" spans="1:9" x14ac:dyDescent="0.25">
      <c r="A657" s="19"/>
      <c r="C657"/>
      <c r="D657" s="104"/>
      <c r="E657"/>
      <c r="F657"/>
      <c r="G657"/>
      <c r="H657"/>
      <c r="I657" s="104"/>
    </row>
    <row r="658" spans="1:9" x14ac:dyDescent="0.25">
      <c r="A658" s="19"/>
      <c r="C658"/>
      <c r="D658" s="104"/>
      <c r="E658"/>
      <c r="F658"/>
      <c r="G658"/>
      <c r="H658"/>
      <c r="I658" s="104"/>
    </row>
    <row r="659" spans="1:9" x14ac:dyDescent="0.25">
      <c r="A659" s="19"/>
      <c r="C659"/>
      <c r="D659" s="104"/>
      <c r="E659"/>
      <c r="F659"/>
      <c r="G659"/>
      <c r="H659"/>
      <c r="I659" s="104"/>
    </row>
    <row r="660" spans="1:9" x14ac:dyDescent="0.25">
      <c r="A660" s="19"/>
      <c r="C660"/>
      <c r="D660" s="104"/>
      <c r="E660"/>
      <c r="F660"/>
      <c r="G660"/>
      <c r="H660"/>
      <c r="I660" s="104"/>
    </row>
    <row r="661" spans="1:9" x14ac:dyDescent="0.25">
      <c r="A661" s="19"/>
      <c r="C661"/>
      <c r="D661" s="104"/>
      <c r="E661"/>
      <c r="F661"/>
      <c r="G661"/>
      <c r="H661"/>
      <c r="I661" s="104"/>
    </row>
    <row r="662" spans="1:9" x14ac:dyDescent="0.25">
      <c r="A662" s="19"/>
      <c r="C662"/>
      <c r="D662" s="104"/>
      <c r="E662"/>
      <c r="F662"/>
      <c r="G662"/>
      <c r="H662"/>
      <c r="I662" s="104"/>
    </row>
    <row r="663" spans="1:9" x14ac:dyDescent="0.25">
      <c r="A663" s="19"/>
      <c r="C663"/>
      <c r="D663" s="104"/>
      <c r="E663"/>
      <c r="F663"/>
      <c r="G663"/>
      <c r="H663"/>
      <c r="I663" s="104"/>
    </row>
    <row r="664" spans="1:9" x14ac:dyDescent="0.25">
      <c r="A664" s="19"/>
      <c r="C664"/>
      <c r="D664" s="104"/>
      <c r="E664"/>
      <c r="F664"/>
      <c r="G664"/>
      <c r="H664"/>
      <c r="I664" s="104"/>
    </row>
    <row r="665" spans="1:9" x14ac:dyDescent="0.25">
      <c r="A665" s="19"/>
      <c r="C665"/>
      <c r="D665" s="104"/>
      <c r="E665"/>
      <c r="F665"/>
      <c r="G665"/>
      <c r="H665"/>
      <c r="I665" s="104"/>
    </row>
    <row r="666" spans="1:9" x14ac:dyDescent="0.25">
      <c r="A666" s="19"/>
      <c r="C666"/>
      <c r="D666" s="104"/>
      <c r="E666"/>
      <c r="F666"/>
      <c r="G666"/>
      <c r="H666"/>
      <c r="I666" s="104"/>
    </row>
    <row r="667" spans="1:9" x14ac:dyDescent="0.25">
      <c r="A667" s="19"/>
      <c r="C667"/>
      <c r="D667" s="104"/>
      <c r="E667"/>
      <c r="F667"/>
      <c r="G667"/>
      <c r="H667"/>
      <c r="I667" s="104"/>
    </row>
    <row r="668" spans="1:9" x14ac:dyDescent="0.25">
      <c r="A668" s="19"/>
      <c r="C668"/>
      <c r="D668" s="104"/>
      <c r="E668"/>
      <c r="F668"/>
      <c r="G668"/>
      <c r="H668"/>
      <c r="I668" s="104"/>
    </row>
    <row r="669" spans="1:9" x14ac:dyDescent="0.25">
      <c r="A669" s="19"/>
      <c r="C669"/>
      <c r="D669" s="104"/>
      <c r="E669"/>
      <c r="F669"/>
      <c r="G669"/>
      <c r="H669"/>
      <c r="I669" s="104"/>
    </row>
    <row r="670" spans="1:9" x14ac:dyDescent="0.25">
      <c r="A670" s="19"/>
      <c r="C670"/>
      <c r="D670" s="104"/>
      <c r="E670"/>
      <c r="F670"/>
      <c r="G670"/>
      <c r="H670"/>
      <c r="I670" s="104"/>
    </row>
    <row r="671" spans="1:9" x14ac:dyDescent="0.25">
      <c r="A671" s="19"/>
      <c r="C671"/>
      <c r="D671" s="104"/>
      <c r="E671"/>
      <c r="F671"/>
      <c r="G671"/>
      <c r="H671"/>
      <c r="I671" s="104"/>
    </row>
    <row r="672" spans="1:9" x14ac:dyDescent="0.25">
      <c r="A672" s="19"/>
      <c r="C672"/>
      <c r="D672" s="104"/>
      <c r="E672"/>
      <c r="F672"/>
      <c r="G672"/>
      <c r="H672"/>
      <c r="I672" s="104"/>
    </row>
    <row r="673" spans="1:9" x14ac:dyDescent="0.25">
      <c r="A673" s="19"/>
      <c r="C673"/>
      <c r="D673" s="104"/>
      <c r="E673"/>
      <c r="F673"/>
      <c r="G673"/>
      <c r="H673"/>
      <c r="I673" s="104"/>
    </row>
    <row r="674" spans="1:9" x14ac:dyDescent="0.25">
      <c r="A674" s="19"/>
      <c r="C674"/>
      <c r="D674" s="104"/>
      <c r="E674"/>
      <c r="F674"/>
      <c r="G674"/>
      <c r="H674"/>
      <c r="I674" s="104"/>
    </row>
    <row r="675" spans="1:9" x14ac:dyDescent="0.25">
      <c r="A675" s="19"/>
      <c r="C675"/>
      <c r="D675" s="104"/>
      <c r="E675"/>
      <c r="F675"/>
      <c r="G675"/>
      <c r="H675"/>
      <c r="I675" s="104"/>
    </row>
    <row r="676" spans="1:9" x14ac:dyDescent="0.25">
      <c r="A676" s="19"/>
      <c r="C676"/>
      <c r="D676" s="104"/>
      <c r="E676"/>
      <c r="F676"/>
      <c r="G676"/>
      <c r="H676"/>
      <c r="I676" s="104"/>
    </row>
    <row r="677" spans="1:9" x14ac:dyDescent="0.25">
      <c r="A677" s="19"/>
      <c r="C677"/>
      <c r="D677" s="104"/>
      <c r="E677"/>
      <c r="F677"/>
      <c r="G677"/>
      <c r="H677"/>
      <c r="I677" s="104"/>
    </row>
    <row r="678" spans="1:9" x14ac:dyDescent="0.25">
      <c r="A678" s="19"/>
      <c r="C678"/>
      <c r="D678" s="104"/>
      <c r="E678"/>
      <c r="F678"/>
      <c r="G678"/>
      <c r="H678"/>
      <c r="I678" s="104"/>
    </row>
    <row r="679" spans="1:9" x14ac:dyDescent="0.25">
      <c r="A679" s="19"/>
      <c r="C679"/>
      <c r="D679" s="104"/>
      <c r="E679"/>
      <c r="F679"/>
      <c r="G679"/>
      <c r="H679"/>
      <c r="I679" s="104"/>
    </row>
    <row r="680" spans="1:9" x14ac:dyDescent="0.25">
      <c r="A680" s="19"/>
      <c r="C680"/>
      <c r="D680" s="104"/>
      <c r="E680"/>
      <c r="F680"/>
      <c r="G680"/>
      <c r="H680"/>
      <c r="I680" s="104"/>
    </row>
    <row r="681" spans="1:9" x14ac:dyDescent="0.25">
      <c r="A681" s="19"/>
      <c r="C681"/>
      <c r="D681" s="104"/>
      <c r="E681"/>
      <c r="F681"/>
      <c r="G681"/>
      <c r="H681"/>
      <c r="I681" s="104"/>
    </row>
    <row r="682" spans="1:9" x14ac:dyDescent="0.25">
      <c r="A682" s="19"/>
      <c r="C682"/>
      <c r="D682" s="104"/>
      <c r="E682"/>
      <c r="F682"/>
      <c r="G682"/>
      <c r="H682"/>
      <c r="I682" s="104"/>
    </row>
    <row r="683" spans="1:9" x14ac:dyDescent="0.25">
      <c r="A683" s="19"/>
      <c r="C683"/>
      <c r="D683" s="104"/>
      <c r="E683"/>
      <c r="F683"/>
      <c r="G683"/>
      <c r="H683"/>
      <c r="I683" s="104"/>
    </row>
    <row r="684" spans="1:9" x14ac:dyDescent="0.25">
      <c r="A684" s="19"/>
      <c r="C684"/>
      <c r="D684" s="104"/>
      <c r="E684"/>
      <c r="F684"/>
      <c r="G684"/>
      <c r="H684"/>
      <c r="I684" s="104"/>
    </row>
    <row r="685" spans="1:9" x14ac:dyDescent="0.25">
      <c r="A685" s="19"/>
      <c r="C685"/>
      <c r="D685" s="104"/>
      <c r="E685"/>
      <c r="F685"/>
      <c r="G685"/>
      <c r="H685"/>
      <c r="I685" s="104"/>
    </row>
    <row r="686" spans="1:9" x14ac:dyDescent="0.25">
      <c r="A686" s="19"/>
      <c r="C686"/>
      <c r="D686" s="104"/>
      <c r="E686"/>
      <c r="F686"/>
      <c r="G686"/>
      <c r="H686"/>
      <c r="I686" s="104"/>
    </row>
    <row r="687" spans="1:9" x14ac:dyDescent="0.25">
      <c r="A687" s="19"/>
      <c r="C687"/>
      <c r="D687" s="104"/>
      <c r="E687"/>
      <c r="F687"/>
      <c r="G687"/>
      <c r="H687"/>
      <c r="I687" s="104"/>
    </row>
    <row r="688" spans="1:9" x14ac:dyDescent="0.25">
      <c r="A688" s="19"/>
      <c r="C688"/>
      <c r="D688" s="104"/>
      <c r="E688"/>
      <c r="F688"/>
      <c r="G688"/>
      <c r="H688"/>
      <c r="I688" s="104"/>
    </row>
    <row r="689" spans="1:9" x14ac:dyDescent="0.25">
      <c r="A689" s="19"/>
      <c r="C689"/>
      <c r="D689" s="104"/>
      <c r="E689"/>
      <c r="F689"/>
      <c r="G689"/>
      <c r="H689"/>
      <c r="I689" s="104"/>
    </row>
    <row r="690" spans="1:9" x14ac:dyDescent="0.25">
      <c r="A690" s="19"/>
      <c r="C690"/>
      <c r="D690" s="104"/>
      <c r="E690"/>
      <c r="F690"/>
      <c r="G690"/>
      <c r="H690"/>
      <c r="I690" s="104"/>
    </row>
    <row r="691" spans="1:9" x14ac:dyDescent="0.25">
      <c r="A691" s="19"/>
      <c r="C691"/>
      <c r="D691" s="104"/>
      <c r="E691"/>
      <c r="F691"/>
      <c r="G691"/>
      <c r="H691"/>
      <c r="I691" s="104"/>
    </row>
    <row r="692" spans="1:9" x14ac:dyDescent="0.25">
      <c r="A692" s="19"/>
      <c r="C692"/>
      <c r="D692" s="104"/>
      <c r="E692"/>
      <c r="F692"/>
      <c r="G692"/>
      <c r="H692"/>
      <c r="I692" s="104"/>
    </row>
    <row r="693" spans="1:9" x14ac:dyDescent="0.25">
      <c r="A693" s="19"/>
      <c r="C693"/>
      <c r="D693" s="104"/>
      <c r="E693"/>
      <c r="F693"/>
      <c r="G693"/>
      <c r="H693"/>
      <c r="I693" s="104"/>
    </row>
    <row r="694" spans="1:9" x14ac:dyDescent="0.25">
      <c r="A694" s="19"/>
      <c r="C694"/>
      <c r="D694" s="104"/>
      <c r="E694"/>
      <c r="F694"/>
      <c r="G694"/>
      <c r="H694"/>
      <c r="I694" s="104"/>
    </row>
    <row r="695" spans="1:9" x14ac:dyDescent="0.25">
      <c r="A695" s="19"/>
      <c r="C695"/>
      <c r="D695" s="104"/>
      <c r="E695"/>
      <c r="F695"/>
      <c r="G695"/>
      <c r="H695"/>
      <c r="I695" s="104"/>
    </row>
    <row r="696" spans="1:9" x14ac:dyDescent="0.25">
      <c r="A696" s="19"/>
      <c r="C696"/>
      <c r="D696" s="104"/>
      <c r="E696"/>
      <c r="F696"/>
      <c r="G696"/>
      <c r="H696"/>
      <c r="I696" s="104"/>
    </row>
    <row r="697" spans="1:9" x14ac:dyDescent="0.25">
      <c r="A697" s="19"/>
      <c r="C697"/>
      <c r="D697" s="104"/>
      <c r="E697"/>
      <c r="F697"/>
      <c r="G697"/>
      <c r="H697"/>
      <c r="I697" s="104"/>
    </row>
    <row r="698" spans="1:9" x14ac:dyDescent="0.25">
      <c r="A698" s="19"/>
      <c r="C698"/>
      <c r="D698" s="104"/>
      <c r="E698"/>
      <c r="F698"/>
      <c r="G698"/>
      <c r="H698"/>
      <c r="I698" s="104"/>
    </row>
    <row r="699" spans="1:9" x14ac:dyDescent="0.25">
      <c r="A699" s="19"/>
      <c r="C699"/>
      <c r="D699" s="104"/>
      <c r="E699"/>
      <c r="F699"/>
      <c r="G699"/>
      <c r="H699"/>
      <c r="I699" s="104"/>
    </row>
    <row r="700" spans="1:9" x14ac:dyDescent="0.25">
      <c r="A700" s="19"/>
      <c r="C700"/>
      <c r="D700" s="104"/>
      <c r="E700"/>
      <c r="F700"/>
      <c r="G700"/>
      <c r="H700"/>
      <c r="I700" s="104"/>
    </row>
    <row r="701" spans="1:9" x14ac:dyDescent="0.25">
      <c r="A701" s="19"/>
      <c r="C701"/>
      <c r="D701" s="104"/>
      <c r="E701"/>
      <c r="F701"/>
      <c r="G701"/>
      <c r="H701"/>
      <c r="I701" s="104"/>
    </row>
    <row r="702" spans="1:9" x14ac:dyDescent="0.25">
      <c r="A702" s="19"/>
      <c r="C702"/>
      <c r="D702" s="104"/>
      <c r="E702"/>
      <c r="F702"/>
      <c r="G702"/>
      <c r="H702"/>
      <c r="I702" s="104"/>
    </row>
    <row r="703" spans="1:9" x14ac:dyDescent="0.25">
      <c r="A703" s="19"/>
      <c r="C703"/>
      <c r="D703" s="104"/>
      <c r="E703"/>
      <c r="F703"/>
      <c r="G703"/>
      <c r="H703"/>
      <c r="I703" s="104"/>
    </row>
    <row r="704" spans="1:9" x14ac:dyDescent="0.25">
      <c r="A704" s="19"/>
      <c r="C704"/>
      <c r="D704" s="104"/>
      <c r="E704"/>
      <c r="F704"/>
      <c r="G704"/>
      <c r="H704"/>
      <c r="I704" s="104"/>
    </row>
    <row r="705" spans="1:9" x14ac:dyDescent="0.25">
      <c r="A705" s="19"/>
      <c r="C705"/>
      <c r="D705" s="104"/>
      <c r="E705"/>
      <c r="F705"/>
      <c r="G705"/>
      <c r="H705"/>
      <c r="I705" s="104"/>
    </row>
    <row r="706" spans="1:9" x14ac:dyDescent="0.25">
      <c r="A706" s="19"/>
      <c r="C706"/>
      <c r="D706" s="104"/>
      <c r="E706"/>
      <c r="F706"/>
      <c r="G706"/>
      <c r="H706"/>
      <c r="I706" s="104"/>
    </row>
    <row r="707" spans="1:9" x14ac:dyDescent="0.25">
      <c r="A707" s="19"/>
      <c r="C707"/>
      <c r="D707" s="104"/>
      <c r="E707"/>
      <c r="F707"/>
      <c r="G707"/>
      <c r="H707"/>
      <c r="I707" s="104"/>
    </row>
    <row r="708" spans="1:9" x14ac:dyDescent="0.25">
      <c r="A708" s="19"/>
      <c r="C708"/>
      <c r="D708" s="104"/>
      <c r="E708"/>
      <c r="F708"/>
      <c r="G708"/>
      <c r="H708"/>
      <c r="I708" s="104"/>
    </row>
    <row r="709" spans="1:9" x14ac:dyDescent="0.25">
      <c r="A709" s="19"/>
      <c r="C709"/>
      <c r="D709" s="104"/>
      <c r="E709"/>
      <c r="F709"/>
      <c r="G709"/>
      <c r="H709"/>
      <c r="I709" s="104"/>
    </row>
    <row r="710" spans="1:9" x14ac:dyDescent="0.25">
      <c r="A710" s="19"/>
      <c r="C710"/>
      <c r="D710" s="104"/>
      <c r="E710"/>
      <c r="F710"/>
      <c r="G710"/>
      <c r="H710"/>
      <c r="I710" s="104"/>
    </row>
    <row r="711" spans="1:9" x14ac:dyDescent="0.25">
      <c r="A711" s="19"/>
      <c r="C711"/>
      <c r="D711" s="104"/>
      <c r="E711"/>
      <c r="F711"/>
      <c r="G711"/>
      <c r="H711"/>
      <c r="I711" s="104"/>
    </row>
    <row r="712" spans="1:9" x14ac:dyDescent="0.25">
      <c r="A712" s="19"/>
      <c r="C712"/>
      <c r="D712" s="104"/>
      <c r="E712"/>
      <c r="F712"/>
      <c r="G712"/>
      <c r="H712"/>
      <c r="I712" s="104"/>
    </row>
    <row r="713" spans="1:9" x14ac:dyDescent="0.25">
      <c r="A713" s="19"/>
      <c r="C713"/>
      <c r="D713" s="104"/>
      <c r="E713"/>
      <c r="F713"/>
      <c r="G713"/>
      <c r="H713"/>
      <c r="I713" s="104"/>
    </row>
    <row r="714" spans="1:9" x14ac:dyDescent="0.25">
      <c r="A714" s="19"/>
      <c r="C714"/>
      <c r="D714" s="104"/>
      <c r="E714"/>
      <c r="F714"/>
      <c r="G714"/>
      <c r="H714"/>
      <c r="I714" s="104"/>
    </row>
    <row r="715" spans="1:9" x14ac:dyDescent="0.25">
      <c r="A715" s="19"/>
      <c r="C715"/>
      <c r="D715" s="104"/>
      <c r="E715"/>
      <c r="F715"/>
      <c r="G715"/>
      <c r="H715"/>
      <c r="I715" s="104"/>
    </row>
    <row r="716" spans="1:9" x14ac:dyDescent="0.25">
      <c r="A716" s="19"/>
      <c r="C716"/>
      <c r="D716" s="104"/>
      <c r="E716"/>
      <c r="F716"/>
      <c r="G716"/>
      <c r="H716"/>
      <c r="I716" s="104"/>
    </row>
    <row r="717" spans="1:9" x14ac:dyDescent="0.25">
      <c r="A717" s="19"/>
      <c r="C717"/>
      <c r="D717" s="104"/>
      <c r="E717"/>
      <c r="F717"/>
      <c r="G717"/>
      <c r="H717"/>
      <c r="I717" s="104"/>
    </row>
    <row r="718" spans="1:9" x14ac:dyDescent="0.25">
      <c r="A718" s="19"/>
      <c r="C718"/>
      <c r="D718" s="104"/>
      <c r="E718"/>
      <c r="F718"/>
      <c r="G718"/>
      <c r="H718"/>
      <c r="I718" s="104"/>
    </row>
    <row r="719" spans="1:9" x14ac:dyDescent="0.25">
      <c r="A719" s="19"/>
      <c r="C719"/>
      <c r="D719" s="104"/>
      <c r="E719"/>
      <c r="F719"/>
      <c r="G719"/>
      <c r="H719"/>
      <c r="I719" s="104"/>
    </row>
    <row r="720" spans="1:9" x14ac:dyDescent="0.25">
      <c r="A720" s="19"/>
      <c r="C720"/>
      <c r="D720" s="104"/>
      <c r="E720"/>
      <c r="F720"/>
      <c r="G720"/>
      <c r="H720"/>
      <c r="I720" s="104"/>
    </row>
    <row r="721" spans="1:9" x14ac:dyDescent="0.25">
      <c r="A721" s="19"/>
      <c r="C721"/>
      <c r="D721" s="104"/>
      <c r="E721"/>
      <c r="F721"/>
      <c r="G721"/>
      <c r="H721"/>
      <c r="I721" s="104"/>
    </row>
    <row r="722" spans="1:9" x14ac:dyDescent="0.25">
      <c r="A722" s="19"/>
      <c r="C722"/>
      <c r="D722" s="104"/>
      <c r="E722"/>
      <c r="F722"/>
      <c r="G722"/>
      <c r="H722"/>
      <c r="I722" s="104"/>
    </row>
    <row r="723" spans="1:9" x14ac:dyDescent="0.25">
      <c r="A723" s="19"/>
      <c r="C723"/>
      <c r="D723" s="104"/>
      <c r="E723"/>
      <c r="F723"/>
      <c r="G723"/>
      <c r="H723"/>
      <c r="I723" s="104"/>
    </row>
    <row r="724" spans="1:9" x14ac:dyDescent="0.25">
      <c r="A724" s="19"/>
      <c r="C724"/>
      <c r="D724" s="104"/>
      <c r="E724"/>
      <c r="F724"/>
      <c r="G724"/>
      <c r="H724"/>
      <c r="I724" s="104"/>
    </row>
    <row r="725" spans="1:9" x14ac:dyDescent="0.25">
      <c r="A725" s="19"/>
      <c r="C725"/>
      <c r="D725" s="104"/>
      <c r="E725"/>
      <c r="F725"/>
      <c r="G725"/>
      <c r="H725"/>
      <c r="I725" s="104"/>
    </row>
    <row r="726" spans="1:9" x14ac:dyDescent="0.25">
      <c r="A726" s="19"/>
      <c r="C726"/>
      <c r="D726" s="104"/>
      <c r="E726"/>
      <c r="F726"/>
      <c r="G726"/>
      <c r="H726"/>
      <c r="I726" s="104"/>
    </row>
    <row r="727" spans="1:9" x14ac:dyDescent="0.25">
      <c r="A727" s="19"/>
      <c r="C727"/>
      <c r="D727" s="104"/>
      <c r="E727"/>
      <c r="F727"/>
      <c r="G727"/>
      <c r="H727"/>
      <c r="I727" s="104"/>
    </row>
    <row r="728" spans="1:9" x14ac:dyDescent="0.25">
      <c r="A728" s="19"/>
      <c r="C728"/>
      <c r="D728" s="104"/>
      <c r="E728"/>
      <c r="F728"/>
      <c r="G728"/>
      <c r="H728"/>
      <c r="I728" s="104"/>
    </row>
    <row r="729" spans="1:9" x14ac:dyDescent="0.25">
      <c r="A729" s="19"/>
      <c r="C729"/>
      <c r="D729" s="104"/>
      <c r="E729"/>
      <c r="F729"/>
      <c r="G729"/>
      <c r="H729"/>
      <c r="I729" s="104"/>
    </row>
    <row r="730" spans="1:9" x14ac:dyDescent="0.25">
      <c r="A730" s="19"/>
      <c r="C730"/>
      <c r="D730" s="104"/>
      <c r="E730"/>
      <c r="F730"/>
      <c r="G730"/>
      <c r="H730"/>
      <c r="I730" s="104"/>
    </row>
    <row r="731" spans="1:9" x14ac:dyDescent="0.25">
      <c r="A731" s="19"/>
      <c r="C731"/>
      <c r="D731" s="104"/>
      <c r="E731"/>
      <c r="F731"/>
      <c r="G731"/>
      <c r="H731"/>
      <c r="I731" s="104"/>
    </row>
    <row r="732" spans="1:9" x14ac:dyDescent="0.25">
      <c r="A732" s="19"/>
      <c r="C732"/>
      <c r="D732" s="104"/>
      <c r="E732"/>
      <c r="F732"/>
      <c r="G732"/>
      <c r="H732"/>
      <c r="I732" s="104"/>
    </row>
    <row r="733" spans="1:9" x14ac:dyDescent="0.25">
      <c r="A733" s="19"/>
      <c r="C733"/>
      <c r="D733" s="104"/>
      <c r="E733"/>
      <c r="F733"/>
      <c r="G733"/>
      <c r="H733"/>
      <c r="I733" s="104"/>
    </row>
    <row r="734" spans="1:9" x14ac:dyDescent="0.25">
      <c r="A734" s="19"/>
      <c r="C734"/>
      <c r="D734" s="104"/>
      <c r="E734"/>
      <c r="F734"/>
      <c r="G734"/>
      <c r="H734"/>
      <c r="I734" s="104"/>
    </row>
    <row r="735" spans="1:9" x14ac:dyDescent="0.25">
      <c r="A735" s="19"/>
      <c r="C735"/>
      <c r="D735" s="104"/>
      <c r="E735"/>
      <c r="F735"/>
      <c r="G735"/>
      <c r="H735"/>
      <c r="I735" s="104"/>
    </row>
    <row r="736" spans="1:9" x14ac:dyDescent="0.25">
      <c r="A736" s="19"/>
      <c r="C736"/>
      <c r="D736" s="104"/>
      <c r="E736"/>
      <c r="F736"/>
      <c r="G736"/>
      <c r="H736"/>
      <c r="I736" s="104"/>
    </row>
    <row r="737" spans="1:9" x14ac:dyDescent="0.25">
      <c r="A737" s="19"/>
      <c r="C737"/>
      <c r="D737" s="104"/>
      <c r="E737"/>
      <c r="F737"/>
      <c r="G737"/>
      <c r="H737"/>
      <c r="I737" s="104"/>
    </row>
    <row r="738" spans="1:9" x14ac:dyDescent="0.25">
      <c r="A738" s="19"/>
      <c r="C738"/>
      <c r="D738" s="104"/>
      <c r="E738"/>
      <c r="F738"/>
      <c r="G738"/>
      <c r="H738"/>
      <c r="I738" s="104"/>
    </row>
    <row r="739" spans="1:9" x14ac:dyDescent="0.25">
      <c r="A739" s="19"/>
      <c r="C739"/>
      <c r="D739" s="104"/>
      <c r="E739"/>
      <c r="F739"/>
      <c r="G739"/>
      <c r="H739"/>
      <c r="I739" s="104"/>
    </row>
    <row r="740" spans="1:9" x14ac:dyDescent="0.25">
      <c r="A740" s="19"/>
      <c r="C740"/>
      <c r="D740" s="104"/>
      <c r="E740"/>
      <c r="F740"/>
      <c r="G740"/>
      <c r="H740"/>
      <c r="I740" s="104"/>
    </row>
    <row r="741" spans="1:9" x14ac:dyDescent="0.25">
      <c r="A741" s="19"/>
      <c r="C741"/>
      <c r="D741" s="104"/>
      <c r="E741"/>
      <c r="F741"/>
      <c r="G741"/>
      <c r="H741"/>
      <c r="I741" s="104"/>
    </row>
    <row r="742" spans="1:9" x14ac:dyDescent="0.25">
      <c r="A742" s="19"/>
      <c r="C742"/>
      <c r="D742" s="104"/>
      <c r="E742"/>
      <c r="F742"/>
      <c r="G742"/>
      <c r="H742"/>
      <c r="I742" s="104"/>
    </row>
    <row r="743" spans="1:9" x14ac:dyDescent="0.25">
      <c r="A743" s="19"/>
      <c r="C743"/>
      <c r="D743" s="104"/>
      <c r="E743"/>
      <c r="F743"/>
      <c r="G743"/>
      <c r="H743"/>
      <c r="I743" s="104"/>
    </row>
    <row r="744" spans="1:9" x14ac:dyDescent="0.25">
      <c r="A744" s="19"/>
      <c r="C744"/>
      <c r="D744" s="104"/>
      <c r="E744"/>
      <c r="F744"/>
      <c r="G744"/>
      <c r="H744"/>
      <c r="I744" s="104"/>
    </row>
    <row r="745" spans="1:9" x14ac:dyDescent="0.25">
      <c r="A745" s="19"/>
      <c r="C745"/>
      <c r="D745" s="104"/>
      <c r="E745"/>
      <c r="F745"/>
      <c r="G745"/>
      <c r="H745"/>
      <c r="I745" s="104"/>
    </row>
    <row r="746" spans="1:9" x14ac:dyDescent="0.25">
      <c r="A746" s="19"/>
      <c r="C746"/>
      <c r="D746" s="104"/>
      <c r="E746"/>
      <c r="F746"/>
      <c r="G746"/>
      <c r="H746"/>
      <c r="I746" s="104"/>
    </row>
    <row r="747" spans="1:9" x14ac:dyDescent="0.25">
      <c r="A747" s="19"/>
      <c r="C747"/>
      <c r="D747" s="104"/>
      <c r="E747"/>
      <c r="F747"/>
      <c r="G747"/>
      <c r="H747"/>
      <c r="I747" s="104"/>
    </row>
    <row r="748" spans="1:9" x14ac:dyDescent="0.25">
      <c r="A748" s="19"/>
      <c r="C748"/>
      <c r="D748" s="104"/>
      <c r="E748"/>
      <c r="F748"/>
      <c r="G748"/>
      <c r="H748"/>
      <c r="I748" s="104"/>
    </row>
    <row r="749" spans="1:9" x14ac:dyDescent="0.25">
      <c r="A749" s="19"/>
      <c r="C749"/>
      <c r="D749" s="104"/>
      <c r="E749"/>
      <c r="F749"/>
      <c r="G749"/>
      <c r="H749"/>
      <c r="I749" s="104"/>
    </row>
    <row r="750" spans="1:9" x14ac:dyDescent="0.25">
      <c r="A750" s="19"/>
      <c r="C750"/>
      <c r="D750" s="104"/>
      <c r="E750"/>
      <c r="F750"/>
      <c r="G750"/>
      <c r="H750"/>
      <c r="I750" s="104"/>
    </row>
    <row r="751" spans="1:9" x14ac:dyDescent="0.25">
      <c r="A751" s="19"/>
      <c r="C751"/>
      <c r="D751" s="104"/>
      <c r="E751"/>
      <c r="F751"/>
      <c r="G751"/>
      <c r="H751"/>
      <c r="I751" s="104"/>
    </row>
    <row r="752" spans="1:9" x14ac:dyDescent="0.25">
      <c r="A752" s="19"/>
      <c r="C752"/>
      <c r="D752" s="104"/>
      <c r="E752"/>
      <c r="F752"/>
      <c r="G752"/>
      <c r="H752"/>
      <c r="I752" s="104"/>
    </row>
    <row r="753" spans="1:9" x14ac:dyDescent="0.25">
      <c r="A753" s="19"/>
      <c r="C753"/>
      <c r="D753" s="104"/>
      <c r="E753"/>
      <c r="F753"/>
      <c r="G753"/>
      <c r="H753"/>
      <c r="I753" s="104"/>
    </row>
    <row r="754" spans="1:9" x14ac:dyDescent="0.25">
      <c r="A754" s="19"/>
      <c r="C754"/>
      <c r="D754" s="104"/>
      <c r="E754"/>
      <c r="F754"/>
      <c r="G754"/>
      <c r="H754"/>
      <c r="I754" s="104"/>
    </row>
    <row r="755" spans="1:9" x14ac:dyDescent="0.25">
      <c r="A755" s="19"/>
      <c r="C755"/>
      <c r="D755" s="104"/>
      <c r="E755"/>
      <c r="F755"/>
      <c r="G755"/>
      <c r="H755"/>
      <c r="I755" s="104"/>
    </row>
    <row r="756" spans="1:9" x14ac:dyDescent="0.25">
      <c r="A756" s="19"/>
      <c r="C756"/>
      <c r="D756" s="104"/>
      <c r="E756"/>
      <c r="F756"/>
      <c r="G756"/>
      <c r="H756"/>
      <c r="I756" s="104"/>
    </row>
    <row r="757" spans="1:9" x14ac:dyDescent="0.25">
      <c r="A757" s="19"/>
      <c r="C757"/>
      <c r="D757" s="104"/>
      <c r="E757"/>
      <c r="F757"/>
      <c r="G757"/>
      <c r="H757"/>
      <c r="I757" s="104"/>
    </row>
    <row r="758" spans="1:9" x14ac:dyDescent="0.25">
      <c r="A758" s="19"/>
      <c r="C758"/>
      <c r="D758" s="104"/>
      <c r="E758"/>
      <c r="F758"/>
      <c r="G758"/>
      <c r="H758"/>
      <c r="I758" s="104"/>
    </row>
    <row r="759" spans="1:9" x14ac:dyDescent="0.25">
      <c r="A759" s="19"/>
      <c r="C759"/>
      <c r="D759" s="104"/>
      <c r="E759"/>
      <c r="F759"/>
      <c r="G759"/>
      <c r="H759"/>
      <c r="I759" s="104"/>
    </row>
    <row r="760" spans="1:9" x14ac:dyDescent="0.25">
      <c r="A760" s="19"/>
      <c r="C760"/>
      <c r="D760" s="104"/>
      <c r="E760"/>
      <c r="F760"/>
      <c r="G760"/>
      <c r="H760"/>
      <c r="I760" s="104"/>
    </row>
    <row r="761" spans="1:9" x14ac:dyDescent="0.25">
      <c r="A761" s="19"/>
      <c r="C761"/>
      <c r="D761" s="104"/>
      <c r="E761"/>
      <c r="F761"/>
      <c r="G761"/>
      <c r="H761"/>
      <c r="I761" s="104"/>
    </row>
    <row r="762" spans="1:9" x14ac:dyDescent="0.25">
      <c r="A762" s="19"/>
      <c r="C762"/>
      <c r="D762" s="104"/>
      <c r="E762"/>
      <c r="F762"/>
      <c r="G762"/>
      <c r="H762"/>
      <c r="I762" s="104"/>
    </row>
    <row r="763" spans="1:9" x14ac:dyDescent="0.25">
      <c r="A763" s="19"/>
      <c r="C763"/>
      <c r="D763" s="104"/>
      <c r="E763"/>
      <c r="F763"/>
      <c r="G763"/>
      <c r="H763"/>
      <c r="I763" s="104"/>
    </row>
    <row r="764" spans="1:9" x14ac:dyDescent="0.25">
      <c r="A764" s="19"/>
      <c r="C764"/>
      <c r="D764" s="104"/>
      <c r="E764"/>
      <c r="F764"/>
      <c r="G764"/>
      <c r="H764"/>
      <c r="I764" s="104"/>
    </row>
    <row r="765" spans="1:9" x14ac:dyDescent="0.25">
      <c r="A765" s="19"/>
      <c r="C765"/>
      <c r="D765" s="104"/>
      <c r="E765"/>
      <c r="F765"/>
      <c r="G765"/>
      <c r="H765"/>
      <c r="I765" s="104"/>
    </row>
    <row r="766" spans="1:9" x14ac:dyDescent="0.25">
      <c r="A766" s="19"/>
      <c r="C766"/>
      <c r="D766" s="104"/>
      <c r="E766"/>
      <c r="F766"/>
      <c r="G766"/>
      <c r="H766"/>
      <c r="I766" s="104"/>
    </row>
    <row r="767" spans="1:9" x14ac:dyDescent="0.25">
      <c r="A767" s="19"/>
      <c r="C767"/>
      <c r="D767" s="104"/>
      <c r="E767"/>
      <c r="F767"/>
      <c r="G767"/>
      <c r="H767"/>
      <c r="I767" s="104"/>
    </row>
    <row r="768" spans="1:9" x14ac:dyDescent="0.25">
      <c r="A768" s="19"/>
      <c r="C768"/>
      <c r="D768" s="104"/>
      <c r="E768"/>
      <c r="F768"/>
      <c r="G768"/>
      <c r="H768"/>
      <c r="I768" s="104"/>
    </row>
    <row r="769" spans="1:9" x14ac:dyDescent="0.25">
      <c r="A769" s="19"/>
      <c r="C769"/>
      <c r="D769" s="104"/>
      <c r="E769"/>
      <c r="F769"/>
      <c r="G769"/>
      <c r="H769"/>
      <c r="I769" s="104"/>
    </row>
    <row r="770" spans="1:9" x14ac:dyDescent="0.25">
      <c r="A770" s="19"/>
      <c r="C770"/>
      <c r="D770" s="104"/>
      <c r="E770"/>
      <c r="F770"/>
      <c r="G770"/>
      <c r="H770"/>
      <c r="I770" s="104"/>
    </row>
    <row r="771" spans="1:9" x14ac:dyDescent="0.25">
      <c r="A771" s="19"/>
      <c r="C771"/>
      <c r="D771" s="104"/>
      <c r="E771"/>
      <c r="F771"/>
      <c r="G771"/>
      <c r="H771"/>
      <c r="I771" s="104"/>
    </row>
    <row r="772" spans="1:9" x14ac:dyDescent="0.25">
      <c r="A772" s="19"/>
      <c r="C772"/>
      <c r="D772" s="104"/>
      <c r="E772"/>
      <c r="F772"/>
      <c r="G772"/>
      <c r="H772"/>
      <c r="I772" s="104"/>
    </row>
    <row r="773" spans="1:9" x14ac:dyDescent="0.25">
      <c r="A773" s="19"/>
      <c r="C773"/>
      <c r="D773" s="104"/>
      <c r="E773"/>
      <c r="F773"/>
      <c r="G773"/>
      <c r="H773"/>
      <c r="I773" s="104"/>
    </row>
    <row r="774" spans="1:9" x14ac:dyDescent="0.25">
      <c r="A774" s="19"/>
      <c r="C774"/>
      <c r="D774" s="104"/>
      <c r="E774"/>
      <c r="F774"/>
      <c r="G774"/>
      <c r="H774"/>
      <c r="I774" s="104"/>
    </row>
    <row r="775" spans="1:9" x14ac:dyDescent="0.25">
      <c r="A775" s="19"/>
      <c r="C775"/>
      <c r="D775" s="104"/>
      <c r="E775"/>
      <c r="F775"/>
      <c r="G775"/>
      <c r="H775"/>
      <c r="I775" s="104"/>
    </row>
    <row r="776" spans="1:9" x14ac:dyDescent="0.25">
      <c r="A776" s="19"/>
      <c r="C776"/>
      <c r="D776" s="104"/>
      <c r="E776"/>
      <c r="F776"/>
      <c r="G776"/>
      <c r="H776"/>
      <c r="I776" s="104"/>
    </row>
    <row r="777" spans="1:9" x14ac:dyDescent="0.25">
      <c r="A777" s="19"/>
      <c r="C777"/>
      <c r="D777" s="104"/>
      <c r="E777"/>
      <c r="F777"/>
      <c r="G777"/>
      <c r="H777"/>
      <c r="I777" s="104"/>
    </row>
    <row r="778" spans="1:9" x14ac:dyDescent="0.25">
      <c r="A778" s="19"/>
      <c r="C778"/>
      <c r="D778" s="104"/>
      <c r="E778"/>
      <c r="F778"/>
      <c r="G778"/>
      <c r="H778"/>
      <c r="I778" s="104"/>
    </row>
    <row r="779" spans="1:9" x14ac:dyDescent="0.25">
      <c r="A779" s="19"/>
      <c r="C779"/>
      <c r="D779" s="104"/>
      <c r="E779"/>
      <c r="F779"/>
      <c r="G779"/>
      <c r="H779"/>
      <c r="I779" s="104"/>
    </row>
    <row r="780" spans="1:9" x14ac:dyDescent="0.25">
      <c r="A780" s="19"/>
      <c r="C780"/>
      <c r="D780" s="104"/>
      <c r="E780"/>
      <c r="F780"/>
      <c r="G780"/>
      <c r="H780"/>
      <c r="I780" s="104"/>
    </row>
    <row r="781" spans="1:9" x14ac:dyDescent="0.25">
      <c r="A781" s="19"/>
      <c r="C781"/>
      <c r="D781" s="104"/>
      <c r="E781"/>
      <c r="F781"/>
      <c r="G781"/>
      <c r="H781"/>
      <c r="I781" s="104"/>
    </row>
    <row r="782" spans="1:9" x14ac:dyDescent="0.25">
      <c r="A782" s="19"/>
      <c r="C782"/>
      <c r="D782" s="104"/>
      <c r="E782"/>
      <c r="F782"/>
      <c r="G782"/>
      <c r="H782"/>
      <c r="I782" s="104"/>
    </row>
    <row r="783" spans="1:9" x14ac:dyDescent="0.25">
      <c r="A783" s="19"/>
      <c r="C783"/>
      <c r="D783" s="104"/>
      <c r="E783"/>
      <c r="F783"/>
      <c r="G783"/>
      <c r="H783"/>
      <c r="I783" s="104"/>
    </row>
    <row r="784" spans="1:9" x14ac:dyDescent="0.25">
      <c r="A784" s="19"/>
      <c r="C784"/>
      <c r="D784" s="104"/>
      <c r="E784"/>
      <c r="F784"/>
      <c r="G784"/>
      <c r="H784"/>
      <c r="I784" s="104"/>
    </row>
    <row r="785" spans="1:9" x14ac:dyDescent="0.25">
      <c r="A785" s="19"/>
      <c r="C785"/>
      <c r="D785" s="104"/>
      <c r="E785"/>
      <c r="F785"/>
      <c r="G785"/>
      <c r="H785"/>
      <c r="I785" s="104"/>
    </row>
    <row r="786" spans="1:9" x14ac:dyDescent="0.25">
      <c r="A786" s="19"/>
      <c r="C786"/>
      <c r="D786" s="104"/>
      <c r="E786"/>
      <c r="F786"/>
      <c r="G786"/>
      <c r="H786"/>
      <c r="I786" s="104"/>
    </row>
    <row r="787" spans="1:9" x14ac:dyDescent="0.25">
      <c r="A787" s="19"/>
      <c r="C787"/>
      <c r="D787" s="104"/>
      <c r="E787"/>
      <c r="F787"/>
      <c r="G787"/>
      <c r="H787"/>
      <c r="I787" s="104"/>
    </row>
    <row r="788" spans="1:9" x14ac:dyDescent="0.25">
      <c r="A788" s="19"/>
      <c r="C788"/>
      <c r="D788" s="104"/>
      <c r="E788"/>
      <c r="F788"/>
      <c r="G788"/>
      <c r="H788"/>
      <c r="I788" s="104"/>
    </row>
    <row r="789" spans="1:9" x14ac:dyDescent="0.25">
      <c r="A789" s="19"/>
      <c r="C789"/>
      <c r="D789" s="104"/>
      <c r="E789"/>
      <c r="F789"/>
      <c r="G789"/>
      <c r="H789"/>
      <c r="I789" s="104"/>
    </row>
    <row r="790" spans="1:9" x14ac:dyDescent="0.25">
      <c r="A790" s="19"/>
      <c r="C790"/>
      <c r="D790" s="104"/>
      <c r="E790"/>
      <c r="F790"/>
      <c r="G790"/>
      <c r="H790"/>
      <c r="I790" s="104"/>
    </row>
    <row r="791" spans="1:9" x14ac:dyDescent="0.25">
      <c r="A791" s="19"/>
      <c r="C791"/>
      <c r="D791" s="104"/>
      <c r="E791"/>
      <c r="F791"/>
      <c r="G791"/>
      <c r="H791"/>
      <c r="I791" s="104"/>
    </row>
    <row r="792" spans="1:9" x14ac:dyDescent="0.25">
      <c r="A792" s="19"/>
      <c r="C792"/>
      <c r="D792" s="104"/>
      <c r="E792"/>
      <c r="F792"/>
      <c r="G792"/>
      <c r="H792"/>
      <c r="I792" s="104"/>
    </row>
    <row r="793" spans="1:9" x14ac:dyDescent="0.25">
      <c r="A793" s="19"/>
      <c r="C793"/>
      <c r="D793" s="104"/>
      <c r="E793"/>
      <c r="F793"/>
      <c r="G793"/>
      <c r="H793"/>
      <c r="I793" s="104"/>
    </row>
    <row r="794" spans="1:9" x14ac:dyDescent="0.25">
      <c r="A794" s="19"/>
      <c r="C794"/>
      <c r="D794" s="104"/>
      <c r="E794"/>
      <c r="F794"/>
      <c r="G794"/>
      <c r="H794"/>
      <c r="I794" s="104"/>
    </row>
    <row r="795" spans="1:9" x14ac:dyDescent="0.25">
      <c r="A795" s="19"/>
      <c r="C795"/>
      <c r="D795" s="104"/>
      <c r="E795"/>
      <c r="F795"/>
      <c r="G795"/>
      <c r="H795"/>
      <c r="I795" s="104"/>
    </row>
    <row r="796" spans="1:9" x14ac:dyDescent="0.25">
      <c r="A796" s="19"/>
      <c r="C796"/>
      <c r="D796" s="104"/>
      <c r="E796"/>
      <c r="F796"/>
      <c r="G796"/>
      <c r="H796"/>
      <c r="I796" s="104"/>
    </row>
    <row r="797" spans="1:9" x14ac:dyDescent="0.25">
      <c r="A797" s="19"/>
      <c r="C797"/>
      <c r="D797" s="104"/>
      <c r="E797"/>
      <c r="F797"/>
      <c r="G797"/>
      <c r="H797"/>
      <c r="I797" s="104"/>
    </row>
    <row r="798" spans="1:9" x14ac:dyDescent="0.25">
      <c r="A798" s="19"/>
      <c r="C798"/>
      <c r="D798" s="104"/>
      <c r="E798"/>
      <c r="F798"/>
      <c r="G798"/>
      <c r="H798"/>
      <c r="I798" s="104"/>
    </row>
    <row r="799" spans="1:9" x14ac:dyDescent="0.25">
      <c r="A799" s="19"/>
      <c r="C799"/>
      <c r="D799" s="104"/>
      <c r="E799"/>
      <c r="F799"/>
      <c r="G799"/>
      <c r="H799"/>
      <c r="I799" s="104"/>
    </row>
    <row r="800" spans="1:9" x14ac:dyDescent="0.25">
      <c r="A800" s="19"/>
      <c r="C800"/>
      <c r="D800" s="104"/>
      <c r="E800"/>
      <c r="F800"/>
      <c r="G800"/>
      <c r="H800"/>
      <c r="I800" s="104"/>
    </row>
    <row r="801" spans="1:9" x14ac:dyDescent="0.25">
      <c r="A801" s="19"/>
      <c r="C801"/>
      <c r="D801" s="104"/>
      <c r="E801"/>
      <c r="F801"/>
      <c r="G801"/>
      <c r="H801"/>
      <c r="I801" s="104"/>
    </row>
    <row r="802" spans="1:9" x14ac:dyDescent="0.25">
      <c r="A802" s="19"/>
      <c r="C802"/>
      <c r="D802" s="104"/>
      <c r="E802"/>
      <c r="F802"/>
      <c r="G802"/>
      <c r="H802"/>
      <c r="I802" s="104"/>
    </row>
    <row r="803" spans="1:9" x14ac:dyDescent="0.25">
      <c r="A803" s="19"/>
      <c r="C803"/>
      <c r="D803" s="104"/>
      <c r="E803"/>
      <c r="F803"/>
      <c r="G803"/>
      <c r="H803"/>
      <c r="I803" s="104"/>
    </row>
    <row r="804" spans="1:9" x14ac:dyDescent="0.25">
      <c r="A804" s="19"/>
      <c r="C804"/>
      <c r="D804" s="104"/>
      <c r="E804"/>
      <c r="F804"/>
      <c r="G804"/>
      <c r="H804"/>
      <c r="I804" s="104"/>
    </row>
    <row r="805" spans="1:9" x14ac:dyDescent="0.25">
      <c r="A805" s="19"/>
      <c r="C805"/>
      <c r="D805" s="104"/>
      <c r="E805"/>
      <c r="F805"/>
      <c r="G805"/>
      <c r="H805"/>
      <c r="I805" s="104"/>
    </row>
    <row r="806" spans="1:9" x14ac:dyDescent="0.25">
      <c r="A806" s="19"/>
      <c r="C806"/>
      <c r="D806" s="104"/>
      <c r="E806"/>
      <c r="F806"/>
      <c r="G806"/>
      <c r="H806"/>
      <c r="I806" s="104"/>
    </row>
    <row r="807" spans="1:9" x14ac:dyDescent="0.25">
      <c r="A807" s="19"/>
      <c r="C807"/>
      <c r="D807" s="104"/>
      <c r="E807"/>
      <c r="F807"/>
      <c r="G807"/>
      <c r="H807"/>
      <c r="I807" s="104"/>
    </row>
    <row r="808" spans="1:9" x14ac:dyDescent="0.25">
      <c r="A808" s="19"/>
      <c r="C808"/>
      <c r="D808" s="104"/>
      <c r="E808"/>
      <c r="F808"/>
      <c r="G808"/>
      <c r="H808"/>
      <c r="I808" s="104"/>
    </row>
    <row r="809" spans="1:9" x14ac:dyDescent="0.25">
      <c r="A809" s="19"/>
      <c r="C809"/>
      <c r="D809" s="104"/>
      <c r="E809"/>
      <c r="F809"/>
      <c r="G809"/>
      <c r="H809"/>
      <c r="I809" s="104"/>
    </row>
    <row r="810" spans="1:9" x14ac:dyDescent="0.25">
      <c r="A810" s="19"/>
      <c r="C810"/>
      <c r="D810" s="104"/>
      <c r="E810"/>
      <c r="F810"/>
      <c r="G810"/>
      <c r="H810"/>
      <c r="I810" s="104"/>
    </row>
    <row r="811" spans="1:9" x14ac:dyDescent="0.25">
      <c r="A811" s="19"/>
      <c r="C811"/>
      <c r="D811" s="104"/>
      <c r="E811"/>
      <c r="F811"/>
      <c r="G811"/>
      <c r="H811"/>
      <c r="I811" s="104"/>
    </row>
    <row r="812" spans="1:9" x14ac:dyDescent="0.25">
      <c r="A812" s="19"/>
      <c r="C812"/>
      <c r="D812" s="104"/>
      <c r="E812"/>
      <c r="F812"/>
      <c r="G812"/>
      <c r="H812"/>
      <c r="I812" s="104"/>
    </row>
    <row r="813" spans="1:9" x14ac:dyDescent="0.25">
      <c r="A813" s="19"/>
      <c r="C813"/>
      <c r="D813" s="104"/>
      <c r="E813"/>
      <c r="F813"/>
      <c r="G813"/>
      <c r="H813"/>
      <c r="I813" s="104"/>
    </row>
    <row r="814" spans="1:9" x14ac:dyDescent="0.25">
      <c r="A814" s="19"/>
      <c r="C814"/>
      <c r="D814" s="104"/>
      <c r="E814"/>
      <c r="F814"/>
      <c r="G814"/>
      <c r="H814"/>
      <c r="I814" s="104"/>
    </row>
    <row r="815" spans="1:9" x14ac:dyDescent="0.25">
      <c r="A815" s="19"/>
      <c r="C815"/>
      <c r="D815" s="104"/>
      <c r="E815"/>
      <c r="F815"/>
      <c r="G815"/>
      <c r="H815"/>
      <c r="I815" s="104"/>
    </row>
    <row r="816" spans="1:9" x14ac:dyDescent="0.25">
      <c r="A816" s="19"/>
      <c r="C816"/>
      <c r="D816" s="104"/>
      <c r="E816"/>
      <c r="F816"/>
      <c r="G816"/>
      <c r="H816"/>
      <c r="I816" s="104"/>
    </row>
    <row r="817" spans="1:9" x14ac:dyDescent="0.25">
      <c r="A817" s="19"/>
      <c r="C817"/>
      <c r="D817" s="104"/>
      <c r="E817"/>
      <c r="F817"/>
      <c r="G817"/>
      <c r="H817"/>
      <c r="I817" s="104"/>
    </row>
    <row r="818" spans="1:9" x14ac:dyDescent="0.25">
      <c r="A818" s="19"/>
      <c r="C818"/>
      <c r="D818" s="104"/>
      <c r="E818"/>
      <c r="F818"/>
      <c r="G818"/>
      <c r="H818"/>
      <c r="I818" s="104"/>
    </row>
    <row r="819" spans="1:9" x14ac:dyDescent="0.25">
      <c r="A819" s="19"/>
      <c r="C819"/>
      <c r="D819" s="104"/>
      <c r="E819"/>
      <c r="F819"/>
      <c r="G819"/>
      <c r="H819"/>
      <c r="I819" s="104"/>
    </row>
    <row r="820" spans="1:9" x14ac:dyDescent="0.25">
      <c r="A820" s="19"/>
      <c r="C820"/>
      <c r="D820" s="104"/>
      <c r="E820"/>
      <c r="F820"/>
      <c r="G820"/>
      <c r="H820"/>
      <c r="I820" s="104"/>
    </row>
    <row r="821" spans="1:9" x14ac:dyDescent="0.25">
      <c r="A821" s="19"/>
      <c r="C821"/>
      <c r="D821" s="104"/>
      <c r="E821"/>
      <c r="F821"/>
      <c r="G821"/>
      <c r="H821"/>
      <c r="I821" s="104"/>
    </row>
    <row r="822" spans="1:9" x14ac:dyDescent="0.25">
      <c r="A822" s="19"/>
      <c r="C822"/>
      <c r="D822" s="104"/>
      <c r="E822"/>
      <c r="F822"/>
      <c r="G822"/>
      <c r="H822"/>
      <c r="I822" s="104"/>
    </row>
    <row r="823" spans="1:9" x14ac:dyDescent="0.25">
      <c r="A823" s="19"/>
      <c r="C823"/>
      <c r="D823" s="104"/>
      <c r="E823"/>
      <c r="F823"/>
      <c r="G823"/>
      <c r="H823"/>
      <c r="I823" s="104"/>
    </row>
    <row r="824" spans="1:9" x14ac:dyDescent="0.25">
      <c r="A824" s="19"/>
      <c r="C824"/>
      <c r="D824" s="104"/>
      <c r="E824"/>
      <c r="F824"/>
      <c r="G824"/>
      <c r="H824"/>
      <c r="I824" s="104"/>
    </row>
    <row r="825" spans="1:9" x14ac:dyDescent="0.25">
      <c r="A825" s="19"/>
      <c r="C825"/>
      <c r="D825" s="104"/>
      <c r="E825"/>
      <c r="F825"/>
      <c r="G825"/>
      <c r="H825"/>
      <c r="I825" s="104"/>
    </row>
    <row r="826" spans="1:9" x14ac:dyDescent="0.25">
      <c r="A826" s="19"/>
      <c r="C826"/>
      <c r="D826" s="104"/>
      <c r="E826"/>
      <c r="F826"/>
      <c r="G826"/>
      <c r="H826"/>
      <c r="I826" s="104"/>
    </row>
    <row r="827" spans="1:9" x14ac:dyDescent="0.25">
      <c r="A827" s="19"/>
      <c r="C827"/>
      <c r="D827" s="104"/>
      <c r="E827"/>
      <c r="F827"/>
      <c r="G827"/>
      <c r="H827"/>
      <c r="I827" s="104"/>
    </row>
    <row r="828" spans="1:9" x14ac:dyDescent="0.25">
      <c r="A828" s="19"/>
      <c r="C828"/>
      <c r="D828" s="104"/>
      <c r="E828"/>
      <c r="F828"/>
      <c r="G828"/>
      <c r="H828"/>
      <c r="I828" s="104"/>
    </row>
    <row r="829" spans="1:9" x14ac:dyDescent="0.25">
      <c r="A829" s="19"/>
      <c r="C829"/>
      <c r="D829" s="104"/>
      <c r="E829"/>
      <c r="F829"/>
      <c r="G829"/>
      <c r="H829"/>
      <c r="I829" s="104"/>
    </row>
    <row r="830" spans="1:9" x14ac:dyDescent="0.25">
      <c r="A830" s="19"/>
      <c r="C830"/>
      <c r="D830" s="104"/>
      <c r="E830"/>
      <c r="F830"/>
      <c r="G830"/>
      <c r="H830"/>
      <c r="I830" s="104"/>
    </row>
    <row r="831" spans="1:9" x14ac:dyDescent="0.25">
      <c r="A831" s="19"/>
      <c r="C831"/>
      <c r="D831" s="104"/>
      <c r="E831"/>
      <c r="F831"/>
      <c r="G831"/>
      <c r="H831"/>
      <c r="I831" s="104"/>
    </row>
    <row r="832" spans="1:9" x14ac:dyDescent="0.25">
      <c r="A832" s="19"/>
      <c r="C832"/>
      <c r="D832" s="104"/>
      <c r="E832"/>
      <c r="F832"/>
      <c r="G832"/>
      <c r="H832"/>
      <c r="I832" s="104"/>
    </row>
    <row r="833" spans="1:9" x14ac:dyDescent="0.25">
      <c r="A833" s="19"/>
      <c r="C833"/>
      <c r="D833" s="104"/>
      <c r="E833"/>
      <c r="F833"/>
      <c r="G833"/>
      <c r="H833"/>
      <c r="I833" s="104"/>
    </row>
    <row r="834" spans="1:9" x14ac:dyDescent="0.25">
      <c r="A834" s="19"/>
      <c r="C834"/>
      <c r="D834" s="104"/>
      <c r="E834"/>
      <c r="F834"/>
      <c r="G834"/>
      <c r="H834"/>
      <c r="I834" s="104"/>
    </row>
    <row r="835" spans="1:9" x14ac:dyDescent="0.25">
      <c r="A835" s="19"/>
      <c r="C835"/>
      <c r="D835" s="104"/>
      <c r="E835"/>
      <c r="F835"/>
      <c r="G835"/>
      <c r="H835"/>
      <c r="I835" s="104"/>
    </row>
    <row r="836" spans="1:9" x14ac:dyDescent="0.25">
      <c r="A836" s="19"/>
      <c r="C836"/>
      <c r="D836" s="104"/>
      <c r="E836"/>
      <c r="F836"/>
      <c r="G836"/>
      <c r="H836"/>
      <c r="I836" s="104"/>
    </row>
    <row r="837" spans="1:9" x14ac:dyDescent="0.25">
      <c r="A837" s="19"/>
      <c r="C837"/>
      <c r="D837" s="104"/>
      <c r="E837"/>
      <c r="F837"/>
      <c r="G837"/>
      <c r="H837"/>
      <c r="I837" s="104"/>
    </row>
    <row r="838" spans="1:9" x14ac:dyDescent="0.25">
      <c r="A838" s="19"/>
      <c r="C838"/>
      <c r="D838" s="104"/>
      <c r="E838"/>
      <c r="F838"/>
      <c r="G838"/>
      <c r="H838"/>
      <c r="I838" s="104"/>
    </row>
    <row r="839" spans="1:9" x14ac:dyDescent="0.25">
      <c r="A839" s="19"/>
      <c r="C839"/>
      <c r="D839" s="104"/>
      <c r="E839"/>
      <c r="F839"/>
      <c r="G839"/>
      <c r="H839"/>
      <c r="I839" s="104"/>
    </row>
    <row r="840" spans="1:9" x14ac:dyDescent="0.25">
      <c r="A840" s="19"/>
      <c r="C840"/>
      <c r="D840" s="104"/>
      <c r="E840"/>
      <c r="F840"/>
      <c r="G840"/>
      <c r="H840"/>
      <c r="I840" s="104"/>
    </row>
    <row r="841" spans="1:9" x14ac:dyDescent="0.25">
      <c r="A841" s="19"/>
      <c r="C841"/>
      <c r="D841" s="104"/>
      <c r="E841"/>
      <c r="F841"/>
      <c r="G841"/>
      <c r="H841"/>
      <c r="I841" s="104"/>
    </row>
    <row r="842" spans="1:9" x14ac:dyDescent="0.25">
      <c r="A842" s="19"/>
      <c r="C842"/>
      <c r="D842" s="104"/>
      <c r="E842"/>
      <c r="F842"/>
      <c r="G842"/>
      <c r="H842"/>
      <c r="I842" s="104"/>
    </row>
    <row r="843" spans="1:9" x14ac:dyDescent="0.25">
      <c r="A843" s="19"/>
      <c r="C843"/>
      <c r="D843" s="104"/>
      <c r="E843"/>
      <c r="F843"/>
      <c r="G843"/>
      <c r="H843"/>
      <c r="I843" s="104"/>
    </row>
    <row r="844" spans="1:9" x14ac:dyDescent="0.25">
      <c r="A844" s="19"/>
      <c r="C844"/>
      <c r="D844" s="104"/>
      <c r="E844"/>
      <c r="F844"/>
      <c r="G844"/>
      <c r="H844"/>
      <c r="I844" s="104"/>
    </row>
    <row r="845" spans="1:9" x14ac:dyDescent="0.25">
      <c r="A845" s="19"/>
      <c r="C845"/>
      <c r="D845" s="104"/>
      <c r="E845"/>
      <c r="F845"/>
      <c r="G845"/>
      <c r="H845"/>
      <c r="I845" s="104"/>
    </row>
    <row r="846" spans="1:9" x14ac:dyDescent="0.25">
      <c r="A846" s="19"/>
      <c r="C846"/>
      <c r="D846" s="104"/>
      <c r="E846"/>
      <c r="F846"/>
      <c r="G846"/>
      <c r="H846"/>
      <c r="I846" s="104"/>
    </row>
    <row r="847" spans="1:9" x14ac:dyDescent="0.25">
      <c r="A847" s="19"/>
      <c r="C847"/>
      <c r="D847" s="104"/>
      <c r="E847"/>
      <c r="F847"/>
      <c r="G847"/>
      <c r="H847"/>
      <c r="I847" s="104"/>
    </row>
    <row r="848" spans="1:9" x14ac:dyDescent="0.25">
      <c r="A848" s="19"/>
      <c r="C848"/>
      <c r="D848" s="104"/>
      <c r="E848"/>
      <c r="F848"/>
      <c r="G848"/>
      <c r="H848"/>
      <c r="I848" s="104"/>
    </row>
    <row r="849" spans="1:9" x14ac:dyDescent="0.25">
      <c r="A849" s="19"/>
      <c r="C849"/>
      <c r="D849" s="104"/>
      <c r="E849"/>
      <c r="F849"/>
      <c r="G849"/>
      <c r="H849"/>
      <c r="I849" s="104"/>
    </row>
    <row r="850" spans="1:9" x14ac:dyDescent="0.25">
      <c r="A850" s="19"/>
      <c r="C850"/>
      <c r="D850" s="104"/>
      <c r="E850"/>
      <c r="F850"/>
      <c r="G850"/>
      <c r="H850"/>
      <c r="I850" s="104"/>
    </row>
    <row r="851" spans="1:9" x14ac:dyDescent="0.25">
      <c r="A851" s="19"/>
      <c r="C851"/>
      <c r="D851" s="104"/>
      <c r="E851"/>
      <c r="F851"/>
      <c r="G851"/>
      <c r="H851"/>
      <c r="I851" s="104"/>
    </row>
    <row r="852" spans="1:9" x14ac:dyDescent="0.25">
      <c r="A852" s="19"/>
      <c r="C852"/>
      <c r="D852" s="104"/>
      <c r="E852"/>
      <c r="F852"/>
      <c r="G852"/>
      <c r="H852"/>
      <c r="I852" s="104"/>
    </row>
    <row r="853" spans="1:9" x14ac:dyDescent="0.25">
      <c r="A853" s="19"/>
      <c r="C853"/>
      <c r="D853" s="104"/>
      <c r="E853"/>
      <c r="F853"/>
      <c r="G853"/>
      <c r="H853"/>
      <c r="I853" s="104"/>
    </row>
    <row r="854" spans="1:9" x14ac:dyDescent="0.25">
      <c r="A854" s="19"/>
      <c r="C854"/>
      <c r="D854" s="104"/>
      <c r="E854"/>
      <c r="F854"/>
      <c r="G854"/>
      <c r="H854"/>
      <c r="I854" s="104"/>
    </row>
    <row r="855" spans="1:9" x14ac:dyDescent="0.25">
      <c r="A855" s="19"/>
      <c r="C855"/>
      <c r="D855" s="104"/>
      <c r="E855"/>
      <c r="F855"/>
      <c r="G855"/>
      <c r="H855"/>
      <c r="I855" s="104"/>
    </row>
    <row r="856" spans="1:9" x14ac:dyDescent="0.25">
      <c r="A856" s="19"/>
      <c r="C856"/>
      <c r="D856" s="104"/>
      <c r="E856"/>
      <c r="F856"/>
      <c r="G856"/>
      <c r="H856"/>
      <c r="I856" s="104"/>
    </row>
    <row r="857" spans="1:9" x14ac:dyDescent="0.25">
      <c r="A857" s="19"/>
      <c r="C857"/>
      <c r="D857" s="104"/>
      <c r="E857"/>
      <c r="F857"/>
      <c r="G857"/>
      <c r="H857"/>
      <c r="I857" s="104"/>
    </row>
    <row r="858" spans="1:9" x14ac:dyDescent="0.25">
      <c r="A858" s="19"/>
      <c r="C858"/>
      <c r="D858" s="104"/>
      <c r="E858"/>
      <c r="F858"/>
      <c r="G858"/>
      <c r="H858"/>
      <c r="I858" s="104"/>
    </row>
    <row r="859" spans="1:9" x14ac:dyDescent="0.25">
      <c r="A859" s="19"/>
      <c r="C859"/>
      <c r="D859" s="104"/>
      <c r="E859"/>
      <c r="F859"/>
      <c r="G859"/>
      <c r="H859"/>
      <c r="I859" s="104"/>
    </row>
    <row r="860" spans="1:9" x14ac:dyDescent="0.25">
      <c r="A860" s="19"/>
      <c r="C860"/>
      <c r="D860" s="104"/>
      <c r="E860"/>
      <c r="F860"/>
      <c r="G860"/>
      <c r="H860"/>
      <c r="I860" s="104"/>
    </row>
    <row r="861" spans="1:9" x14ac:dyDescent="0.25">
      <c r="A861" s="19"/>
      <c r="C861"/>
      <c r="D861" s="104"/>
      <c r="E861"/>
      <c r="F861"/>
      <c r="G861"/>
      <c r="H861"/>
      <c r="I861" s="104"/>
    </row>
    <row r="862" spans="1:9" x14ac:dyDescent="0.25">
      <c r="A862" s="19"/>
      <c r="C862"/>
      <c r="D862" s="104"/>
      <c r="E862"/>
      <c r="F862"/>
      <c r="G862"/>
      <c r="H862"/>
      <c r="I862" s="104"/>
    </row>
    <row r="863" spans="1:9" x14ac:dyDescent="0.25">
      <c r="A863" s="19"/>
      <c r="C863"/>
      <c r="D863" s="104"/>
      <c r="E863"/>
      <c r="F863"/>
      <c r="G863"/>
      <c r="H863"/>
      <c r="I863" s="104"/>
    </row>
    <row r="864" spans="1:9" x14ac:dyDescent="0.25">
      <c r="A864" s="19"/>
      <c r="C864"/>
      <c r="D864" s="104"/>
      <c r="E864"/>
      <c r="F864"/>
      <c r="G864"/>
      <c r="H864"/>
      <c r="I864" s="104"/>
    </row>
    <row r="865" spans="1:9" x14ac:dyDescent="0.25">
      <c r="A865" s="19"/>
      <c r="C865"/>
      <c r="D865" s="104"/>
      <c r="E865"/>
      <c r="F865"/>
      <c r="G865"/>
      <c r="H865"/>
      <c r="I865" s="104"/>
    </row>
    <row r="866" spans="1:9" x14ac:dyDescent="0.25">
      <c r="A866" s="19"/>
      <c r="C866"/>
      <c r="D866" s="104"/>
      <c r="E866"/>
      <c r="F866"/>
      <c r="G866"/>
      <c r="H866"/>
      <c r="I866" s="104"/>
    </row>
    <row r="867" spans="1:9" x14ac:dyDescent="0.25">
      <c r="A867" s="19"/>
      <c r="C867"/>
      <c r="D867" s="104"/>
      <c r="E867"/>
      <c r="F867"/>
      <c r="G867"/>
      <c r="H867"/>
      <c r="I867" s="104"/>
    </row>
    <row r="868" spans="1:9" x14ac:dyDescent="0.25">
      <c r="A868" s="19"/>
      <c r="C868"/>
      <c r="D868" s="104"/>
      <c r="E868"/>
      <c r="F868"/>
      <c r="G868"/>
      <c r="H868"/>
      <c r="I868" s="104"/>
    </row>
    <row r="869" spans="1:9" x14ac:dyDescent="0.25">
      <c r="A869" s="19"/>
      <c r="C869"/>
      <c r="D869" s="104"/>
      <c r="E869"/>
      <c r="F869"/>
      <c r="G869"/>
      <c r="H869"/>
      <c r="I869" s="104"/>
    </row>
    <row r="870" spans="1:9" x14ac:dyDescent="0.25">
      <c r="A870" s="19"/>
      <c r="C870"/>
      <c r="D870" s="104"/>
      <c r="E870"/>
      <c r="F870"/>
      <c r="G870"/>
      <c r="H870"/>
      <c r="I870" s="104"/>
    </row>
    <row r="871" spans="1:9" x14ac:dyDescent="0.25">
      <c r="A871" s="19"/>
      <c r="C871"/>
      <c r="D871" s="104"/>
      <c r="E871"/>
      <c r="F871"/>
      <c r="G871"/>
      <c r="H871"/>
      <c r="I871" s="104"/>
    </row>
    <row r="872" spans="1:9" x14ac:dyDescent="0.25">
      <c r="A872" s="19"/>
      <c r="C872"/>
      <c r="D872" s="104"/>
      <c r="E872"/>
      <c r="F872"/>
      <c r="G872"/>
      <c r="H872"/>
      <c r="I872" s="104"/>
    </row>
    <row r="873" spans="1:9" x14ac:dyDescent="0.25">
      <c r="A873" s="19"/>
      <c r="C873"/>
      <c r="D873" s="104"/>
      <c r="E873"/>
      <c r="F873"/>
      <c r="G873"/>
      <c r="H873"/>
      <c r="I873" s="104"/>
    </row>
    <row r="874" spans="1:9" x14ac:dyDescent="0.25">
      <c r="A874" s="19"/>
      <c r="C874"/>
      <c r="D874" s="104"/>
      <c r="E874"/>
      <c r="F874"/>
      <c r="G874"/>
      <c r="H874"/>
      <c r="I874" s="104"/>
    </row>
    <row r="875" spans="1:9" x14ac:dyDescent="0.25">
      <c r="A875" s="19"/>
      <c r="C875"/>
      <c r="D875" s="104"/>
      <c r="E875"/>
      <c r="F875"/>
      <c r="G875"/>
      <c r="H875"/>
      <c r="I875" s="104"/>
    </row>
    <row r="876" spans="1:9" x14ac:dyDescent="0.25">
      <c r="A876" s="19"/>
      <c r="C876"/>
      <c r="D876" s="104"/>
      <c r="E876"/>
      <c r="F876"/>
      <c r="G876"/>
      <c r="H876"/>
      <c r="I876" s="104"/>
    </row>
    <row r="877" spans="1:9" x14ac:dyDescent="0.25">
      <c r="A877" s="19"/>
      <c r="C877"/>
      <c r="D877" s="104"/>
      <c r="E877"/>
      <c r="F877"/>
      <c r="G877"/>
      <c r="H877"/>
      <c r="I877" s="104"/>
    </row>
    <row r="878" spans="1:9" x14ac:dyDescent="0.25">
      <c r="A878" s="19"/>
      <c r="C878"/>
      <c r="D878" s="104"/>
      <c r="E878"/>
      <c r="F878"/>
      <c r="G878"/>
      <c r="H878"/>
      <c r="I878" s="104"/>
    </row>
    <row r="879" spans="1:9" x14ac:dyDescent="0.25">
      <c r="A879" s="19"/>
      <c r="C879"/>
      <c r="D879" s="104"/>
      <c r="E879"/>
      <c r="F879"/>
      <c r="G879"/>
      <c r="H879"/>
      <c r="I879" s="104"/>
    </row>
    <row r="880" spans="1:9" x14ac:dyDescent="0.25">
      <c r="A880" s="19"/>
      <c r="C880"/>
      <c r="D880" s="104"/>
      <c r="E880"/>
      <c r="F880"/>
      <c r="G880"/>
      <c r="H880"/>
      <c r="I880" s="104"/>
    </row>
    <row r="881" spans="1:9" x14ac:dyDescent="0.25">
      <c r="A881" s="19"/>
      <c r="C881"/>
      <c r="D881" s="104"/>
      <c r="E881"/>
      <c r="F881"/>
      <c r="G881"/>
      <c r="H881"/>
      <c r="I881" s="104"/>
    </row>
    <row r="882" spans="1:9" x14ac:dyDescent="0.25">
      <c r="A882" s="19"/>
      <c r="C882"/>
      <c r="D882" s="104"/>
      <c r="E882"/>
      <c r="F882"/>
      <c r="G882"/>
      <c r="H882"/>
      <c r="I882" s="104"/>
    </row>
    <row r="883" spans="1:9" x14ac:dyDescent="0.25">
      <c r="A883" s="19"/>
      <c r="C883"/>
      <c r="D883" s="104"/>
      <c r="E883"/>
      <c r="F883"/>
      <c r="G883"/>
      <c r="H883"/>
      <c r="I883" s="104"/>
    </row>
    <row r="884" spans="1:9" x14ac:dyDescent="0.25">
      <c r="A884" s="19"/>
      <c r="C884"/>
      <c r="D884" s="104"/>
      <c r="E884"/>
      <c r="F884"/>
      <c r="G884"/>
      <c r="H884"/>
      <c r="I884" s="104"/>
    </row>
    <row r="885" spans="1:9" x14ac:dyDescent="0.25">
      <c r="A885" s="19"/>
      <c r="C885"/>
      <c r="D885" s="104"/>
      <c r="E885"/>
      <c r="F885"/>
      <c r="G885"/>
      <c r="H885"/>
      <c r="I885" s="104"/>
    </row>
    <row r="886" spans="1:9" x14ac:dyDescent="0.25">
      <c r="A886" s="19"/>
      <c r="C886"/>
      <c r="D886" s="104"/>
      <c r="E886"/>
      <c r="F886"/>
      <c r="G886"/>
      <c r="H886"/>
      <c r="I886" s="104"/>
    </row>
    <row r="887" spans="1:9" x14ac:dyDescent="0.25">
      <c r="A887" s="19"/>
      <c r="C887"/>
      <c r="D887" s="104"/>
      <c r="E887"/>
      <c r="F887"/>
      <c r="G887"/>
      <c r="H887"/>
      <c r="I887" s="104"/>
    </row>
    <row r="888" spans="1:9" x14ac:dyDescent="0.25">
      <c r="A888" s="19"/>
      <c r="C888"/>
      <c r="D888" s="104"/>
      <c r="E888"/>
      <c r="F888"/>
      <c r="G888"/>
      <c r="H888"/>
      <c r="I888" s="104"/>
    </row>
    <row r="889" spans="1:9" x14ac:dyDescent="0.25">
      <c r="A889" s="19"/>
      <c r="C889"/>
      <c r="D889" s="104"/>
      <c r="E889"/>
      <c r="F889"/>
      <c r="G889"/>
      <c r="H889"/>
      <c r="I889" s="104"/>
    </row>
    <row r="890" spans="1:9" x14ac:dyDescent="0.25">
      <c r="A890" s="19"/>
      <c r="C890"/>
      <c r="D890" s="104"/>
      <c r="E890"/>
      <c r="F890"/>
      <c r="G890"/>
      <c r="H890"/>
      <c r="I890" s="104"/>
    </row>
    <row r="891" spans="1:9" x14ac:dyDescent="0.25">
      <c r="A891" s="19"/>
      <c r="C891"/>
      <c r="D891" s="104"/>
      <c r="E891"/>
      <c r="F891"/>
      <c r="G891"/>
      <c r="H891"/>
      <c r="I891" s="104"/>
    </row>
    <row r="892" spans="1:9" x14ac:dyDescent="0.25">
      <c r="A892" s="19"/>
      <c r="C892"/>
      <c r="D892" s="104"/>
      <c r="E892"/>
      <c r="F892"/>
      <c r="G892"/>
      <c r="H892"/>
      <c r="I892" s="104"/>
    </row>
    <row r="893" spans="1:9" x14ac:dyDescent="0.25">
      <c r="A893" s="19"/>
      <c r="C893"/>
      <c r="D893" s="104"/>
      <c r="E893"/>
      <c r="F893"/>
      <c r="G893"/>
      <c r="H893"/>
      <c r="I893" s="104"/>
    </row>
    <row r="894" spans="1:9" x14ac:dyDescent="0.25">
      <c r="A894" s="19"/>
      <c r="C894"/>
      <c r="D894" s="104"/>
      <c r="E894"/>
      <c r="F894"/>
      <c r="G894"/>
      <c r="H894"/>
      <c r="I894" s="104"/>
    </row>
    <row r="895" spans="1:9" x14ac:dyDescent="0.25">
      <c r="A895" s="19"/>
      <c r="C895"/>
      <c r="D895" s="104"/>
      <c r="E895"/>
      <c r="F895"/>
      <c r="G895"/>
      <c r="H895"/>
      <c r="I895" s="104"/>
    </row>
    <row r="896" spans="1:9" x14ac:dyDescent="0.25">
      <c r="A896" s="19"/>
      <c r="C896"/>
      <c r="D896" s="104"/>
      <c r="E896"/>
      <c r="F896"/>
      <c r="G896"/>
      <c r="H896"/>
      <c r="I896" s="104"/>
    </row>
    <row r="897" spans="1:9" x14ac:dyDescent="0.25">
      <c r="A897" s="19"/>
      <c r="C897"/>
      <c r="D897" s="104"/>
      <c r="E897"/>
      <c r="F897"/>
      <c r="G897"/>
      <c r="H897"/>
      <c r="I897" s="104"/>
    </row>
    <row r="898" spans="1:9" x14ac:dyDescent="0.25">
      <c r="A898" s="19"/>
      <c r="C898"/>
      <c r="D898" s="104"/>
      <c r="E898"/>
      <c r="F898"/>
      <c r="G898"/>
      <c r="H898"/>
      <c r="I898" s="104"/>
    </row>
    <row r="899" spans="1:9" x14ac:dyDescent="0.25">
      <c r="A899" s="19"/>
      <c r="C899"/>
      <c r="D899" s="104"/>
      <c r="E899"/>
      <c r="F899"/>
      <c r="G899"/>
      <c r="H899"/>
      <c r="I899" s="104"/>
    </row>
    <row r="900" spans="1:9" x14ac:dyDescent="0.25">
      <c r="A900" s="19"/>
      <c r="C900"/>
      <c r="D900" s="104"/>
      <c r="E900"/>
      <c r="F900"/>
      <c r="G900"/>
      <c r="H900"/>
      <c r="I900" s="104"/>
    </row>
    <row r="901" spans="1:9" x14ac:dyDescent="0.25">
      <c r="A901" s="19"/>
      <c r="C901"/>
      <c r="D901" s="104"/>
      <c r="E901"/>
      <c r="F901"/>
      <c r="G901"/>
      <c r="H901"/>
      <c r="I901" s="104"/>
    </row>
    <row r="902" spans="1:9" x14ac:dyDescent="0.25">
      <c r="A902" s="19"/>
      <c r="C902"/>
      <c r="D902" s="104"/>
      <c r="E902"/>
      <c r="F902"/>
      <c r="G902"/>
      <c r="H902"/>
      <c r="I902" s="104"/>
    </row>
    <row r="903" spans="1:9" x14ac:dyDescent="0.25">
      <c r="A903" s="19"/>
      <c r="C903"/>
      <c r="D903" s="104"/>
      <c r="E903"/>
      <c r="F903"/>
      <c r="G903"/>
      <c r="H903"/>
      <c r="I903" s="104"/>
    </row>
    <row r="904" spans="1:9" x14ac:dyDescent="0.25">
      <c r="A904" s="19"/>
      <c r="C904"/>
      <c r="D904" s="104"/>
      <c r="E904"/>
      <c r="F904"/>
      <c r="G904"/>
      <c r="H904"/>
      <c r="I904" s="104"/>
    </row>
    <row r="905" spans="1:9" x14ac:dyDescent="0.25">
      <c r="A905" s="19"/>
      <c r="C905"/>
      <c r="D905" s="104"/>
      <c r="E905"/>
      <c r="F905"/>
      <c r="G905"/>
      <c r="H905"/>
      <c r="I905" s="104"/>
    </row>
    <row r="906" spans="1:9" x14ac:dyDescent="0.25">
      <c r="A906" s="19"/>
      <c r="C906"/>
      <c r="D906" s="104"/>
      <c r="E906"/>
      <c r="F906"/>
      <c r="G906"/>
      <c r="H906"/>
      <c r="I906" s="104"/>
    </row>
    <row r="907" spans="1:9" x14ac:dyDescent="0.25">
      <c r="A907" s="19"/>
      <c r="C907"/>
      <c r="D907" s="104"/>
      <c r="E907"/>
      <c r="F907"/>
      <c r="G907"/>
      <c r="H907"/>
      <c r="I907" s="104"/>
    </row>
    <row r="908" spans="1:9" x14ac:dyDescent="0.25">
      <c r="A908" s="19"/>
      <c r="C908"/>
      <c r="D908" s="104"/>
      <c r="E908"/>
      <c r="F908"/>
      <c r="G908"/>
      <c r="H908"/>
      <c r="I908" s="104"/>
    </row>
    <row r="909" spans="1:9" x14ac:dyDescent="0.25">
      <c r="A909" s="19"/>
      <c r="C909"/>
      <c r="D909" s="104"/>
      <c r="E909"/>
      <c r="F909"/>
      <c r="G909"/>
      <c r="H909"/>
      <c r="I909" s="104"/>
    </row>
    <row r="910" spans="1:9" x14ac:dyDescent="0.25">
      <c r="A910" s="19"/>
      <c r="C910"/>
      <c r="D910" s="104"/>
      <c r="E910"/>
      <c r="F910"/>
      <c r="G910"/>
      <c r="H910"/>
      <c r="I910" s="104"/>
    </row>
    <row r="911" spans="1:9" x14ac:dyDescent="0.25">
      <c r="A911" s="19"/>
      <c r="C911"/>
      <c r="D911" s="104"/>
      <c r="E911"/>
      <c r="F911"/>
      <c r="G911"/>
      <c r="H911"/>
      <c r="I911" s="104"/>
    </row>
    <row r="912" spans="1:9" x14ac:dyDescent="0.25">
      <c r="A912" s="19"/>
      <c r="C912"/>
      <c r="D912" s="104"/>
      <c r="E912"/>
      <c r="F912"/>
      <c r="G912"/>
      <c r="H912"/>
      <c r="I912" s="104"/>
    </row>
    <row r="913" spans="1:9" x14ac:dyDescent="0.25">
      <c r="A913" s="19"/>
      <c r="C913"/>
      <c r="D913" s="104"/>
      <c r="E913"/>
      <c r="F913"/>
      <c r="G913"/>
      <c r="H913"/>
      <c r="I913" s="104"/>
    </row>
    <row r="914" spans="1:9" x14ac:dyDescent="0.25">
      <c r="A914" s="19"/>
      <c r="C914"/>
      <c r="D914" s="104"/>
      <c r="E914"/>
      <c r="F914"/>
      <c r="G914"/>
      <c r="H914"/>
      <c r="I914" s="104"/>
    </row>
    <row r="915" spans="1:9" x14ac:dyDescent="0.25">
      <c r="A915" s="19"/>
      <c r="C915"/>
      <c r="D915" s="104"/>
      <c r="E915"/>
      <c r="F915"/>
      <c r="G915"/>
      <c r="H915"/>
      <c r="I915" s="104"/>
    </row>
    <row r="916" spans="1:9" x14ac:dyDescent="0.25">
      <c r="A916" s="19"/>
      <c r="C916"/>
      <c r="D916" s="104"/>
      <c r="E916"/>
      <c r="F916"/>
      <c r="G916"/>
      <c r="H916"/>
      <c r="I916" s="104"/>
    </row>
    <row r="917" spans="1:9" x14ac:dyDescent="0.25">
      <c r="A917" s="19"/>
      <c r="C917"/>
      <c r="D917" s="104"/>
      <c r="E917"/>
      <c r="F917"/>
      <c r="G917"/>
      <c r="H917"/>
      <c r="I917" s="104"/>
    </row>
    <row r="918" spans="1:9" x14ac:dyDescent="0.25">
      <c r="A918" s="19"/>
      <c r="C918"/>
      <c r="D918" s="104"/>
      <c r="E918"/>
      <c r="F918"/>
      <c r="G918"/>
      <c r="H918"/>
      <c r="I918" s="104"/>
    </row>
    <row r="919" spans="1:9" x14ac:dyDescent="0.25">
      <c r="A919" s="19"/>
      <c r="C919"/>
      <c r="D919" s="104"/>
      <c r="E919"/>
      <c r="F919"/>
      <c r="G919"/>
      <c r="H919"/>
      <c r="I919" s="104"/>
    </row>
    <row r="920" spans="1:9" x14ac:dyDescent="0.25">
      <c r="A920" s="19"/>
      <c r="C920"/>
      <c r="D920" s="104"/>
      <c r="E920"/>
      <c r="F920"/>
      <c r="G920"/>
      <c r="H920"/>
      <c r="I920" s="104"/>
    </row>
    <row r="921" spans="1:9" x14ac:dyDescent="0.25">
      <c r="A921" s="19"/>
      <c r="C921"/>
      <c r="D921" s="104"/>
      <c r="E921"/>
      <c r="F921"/>
      <c r="G921"/>
      <c r="H921"/>
      <c r="I921" s="104"/>
    </row>
    <row r="922" spans="1:9" x14ac:dyDescent="0.25">
      <c r="A922" s="19"/>
      <c r="C922"/>
      <c r="D922" s="104"/>
      <c r="E922"/>
      <c r="F922"/>
      <c r="G922"/>
      <c r="H922"/>
      <c r="I922" s="104"/>
    </row>
    <row r="923" spans="1:9" x14ac:dyDescent="0.25">
      <c r="A923" s="19"/>
      <c r="C923"/>
      <c r="D923" s="104"/>
      <c r="E923"/>
      <c r="F923"/>
      <c r="G923"/>
      <c r="H923"/>
      <c r="I923" s="104"/>
    </row>
    <row r="924" spans="1:9" x14ac:dyDescent="0.25">
      <c r="A924" s="19"/>
      <c r="C924"/>
      <c r="D924" s="104"/>
      <c r="E924"/>
      <c r="F924"/>
      <c r="G924"/>
      <c r="H924"/>
      <c r="I924" s="104"/>
    </row>
    <row r="925" spans="1:9" x14ac:dyDescent="0.25">
      <c r="A925" s="19"/>
      <c r="C925"/>
      <c r="D925" s="104"/>
      <c r="E925"/>
      <c r="F925"/>
      <c r="G925"/>
      <c r="H925"/>
      <c r="I925" s="104"/>
    </row>
    <row r="926" spans="1:9" x14ac:dyDescent="0.25">
      <c r="A926" s="19"/>
      <c r="C926"/>
      <c r="D926" s="104"/>
      <c r="E926"/>
      <c r="F926"/>
      <c r="G926"/>
      <c r="H926"/>
      <c r="I926" s="104"/>
    </row>
    <row r="927" spans="1:9" x14ac:dyDescent="0.25">
      <c r="A927" s="19"/>
      <c r="C927"/>
      <c r="D927" s="104"/>
      <c r="E927"/>
      <c r="F927"/>
      <c r="G927"/>
      <c r="H927"/>
      <c r="I927" s="104"/>
    </row>
    <row r="928" spans="1:9" x14ac:dyDescent="0.25">
      <c r="A928" s="19"/>
      <c r="C928"/>
      <c r="D928" s="104"/>
      <c r="E928"/>
      <c r="F928"/>
      <c r="G928"/>
      <c r="H928"/>
      <c r="I928" s="104"/>
    </row>
    <row r="929" spans="1:9" x14ac:dyDescent="0.25">
      <c r="A929" s="19"/>
      <c r="C929"/>
      <c r="D929" s="104"/>
      <c r="E929"/>
      <c r="F929"/>
      <c r="G929"/>
      <c r="H929"/>
      <c r="I929" s="104"/>
    </row>
    <row r="930" spans="1:9" x14ac:dyDescent="0.25">
      <c r="A930" s="19"/>
      <c r="C930"/>
      <c r="D930" s="104"/>
      <c r="E930"/>
      <c r="F930"/>
      <c r="G930"/>
      <c r="H930"/>
      <c r="I930" s="104"/>
    </row>
    <row r="931" spans="1:9" x14ac:dyDescent="0.25">
      <c r="A931" s="19"/>
      <c r="C931"/>
      <c r="D931" s="104"/>
      <c r="E931"/>
      <c r="F931"/>
      <c r="G931"/>
      <c r="H931"/>
      <c r="I931" s="104"/>
    </row>
    <row r="932" spans="1:9" x14ac:dyDescent="0.25">
      <c r="A932" s="19"/>
      <c r="C932"/>
      <c r="D932" s="104"/>
      <c r="E932"/>
      <c r="F932"/>
      <c r="G932"/>
      <c r="H932"/>
      <c r="I932" s="104"/>
    </row>
    <row r="933" spans="1:9" x14ac:dyDescent="0.25">
      <c r="A933" s="19"/>
      <c r="C933"/>
      <c r="D933" s="104"/>
      <c r="E933"/>
      <c r="F933"/>
      <c r="G933"/>
      <c r="H933"/>
      <c r="I933" s="104"/>
    </row>
    <row r="934" spans="1:9" x14ac:dyDescent="0.25">
      <c r="A934" s="19"/>
      <c r="C934"/>
      <c r="D934" s="104"/>
      <c r="E934"/>
      <c r="F934"/>
      <c r="G934"/>
      <c r="H934"/>
      <c r="I934" s="104"/>
    </row>
    <row r="935" spans="1:9" x14ac:dyDescent="0.25">
      <c r="A935" s="19"/>
      <c r="C935"/>
      <c r="D935" s="104"/>
      <c r="E935"/>
      <c r="F935"/>
      <c r="G935"/>
      <c r="H935"/>
      <c r="I935" s="104"/>
    </row>
    <row r="936" spans="1:9" x14ac:dyDescent="0.25">
      <c r="A936" s="19"/>
      <c r="C936"/>
      <c r="D936" s="104"/>
      <c r="E936"/>
      <c r="F936"/>
      <c r="G936"/>
      <c r="H936"/>
      <c r="I936" s="104"/>
    </row>
    <row r="937" spans="1:9" x14ac:dyDescent="0.25">
      <c r="A937" s="19"/>
      <c r="C937"/>
      <c r="D937" s="104"/>
      <c r="E937"/>
      <c r="F937"/>
      <c r="G937"/>
      <c r="H937"/>
      <c r="I937" s="104"/>
    </row>
    <row r="938" spans="1:9" x14ac:dyDescent="0.25">
      <c r="A938" s="19"/>
      <c r="C938"/>
      <c r="D938" s="104"/>
      <c r="E938"/>
      <c r="F938"/>
      <c r="G938"/>
      <c r="H938"/>
      <c r="I938" s="104"/>
    </row>
    <row r="939" spans="1:9" x14ac:dyDescent="0.25">
      <c r="A939" s="19"/>
      <c r="C939"/>
      <c r="D939" s="104"/>
      <c r="E939"/>
      <c r="F939"/>
      <c r="G939"/>
      <c r="H939"/>
      <c r="I939" s="104"/>
    </row>
    <row r="940" spans="1:9" x14ac:dyDescent="0.25">
      <c r="A940" s="19"/>
      <c r="C940"/>
      <c r="D940" s="104"/>
      <c r="E940"/>
      <c r="F940"/>
      <c r="G940"/>
      <c r="H940"/>
      <c r="I940" s="104"/>
    </row>
    <row r="941" spans="1:9" x14ac:dyDescent="0.25">
      <c r="A941" s="19"/>
      <c r="C941"/>
      <c r="D941" s="104"/>
      <c r="E941"/>
      <c r="F941"/>
      <c r="G941"/>
      <c r="H941"/>
      <c r="I941" s="104"/>
    </row>
    <row r="942" spans="1:9" x14ac:dyDescent="0.25">
      <c r="A942" s="19"/>
      <c r="C942"/>
      <c r="D942" s="104"/>
      <c r="E942"/>
      <c r="F942"/>
      <c r="G942"/>
      <c r="H942"/>
      <c r="I942" s="104"/>
    </row>
    <row r="943" spans="1:9" x14ac:dyDescent="0.25">
      <c r="A943" s="19"/>
      <c r="C943"/>
      <c r="D943" s="104"/>
      <c r="E943"/>
      <c r="F943"/>
      <c r="G943"/>
      <c r="H943"/>
      <c r="I943" s="104"/>
    </row>
    <row r="944" spans="1:9" x14ac:dyDescent="0.25">
      <c r="A944" s="19"/>
      <c r="C944"/>
      <c r="D944" s="104"/>
      <c r="E944"/>
      <c r="F944"/>
      <c r="G944"/>
      <c r="H944"/>
      <c r="I944" s="104"/>
    </row>
    <row r="945" spans="1:9" x14ac:dyDescent="0.25">
      <c r="A945" s="19"/>
      <c r="C945"/>
      <c r="D945" s="104"/>
      <c r="E945"/>
      <c r="F945"/>
      <c r="G945"/>
      <c r="H945"/>
      <c r="I945" s="104"/>
    </row>
    <row r="946" spans="1:9" x14ac:dyDescent="0.25">
      <c r="A946" s="19"/>
      <c r="C946"/>
      <c r="D946" s="104"/>
      <c r="E946"/>
      <c r="F946"/>
      <c r="G946"/>
      <c r="H946"/>
      <c r="I946" s="104"/>
    </row>
    <row r="947" spans="1:9" x14ac:dyDescent="0.25">
      <c r="A947" s="19"/>
      <c r="C947"/>
      <c r="D947" s="104"/>
      <c r="E947"/>
      <c r="F947"/>
      <c r="G947"/>
      <c r="H947"/>
      <c r="I947" s="104"/>
    </row>
    <row r="948" spans="1:9" x14ac:dyDescent="0.25">
      <c r="A948" s="19"/>
      <c r="C948"/>
      <c r="D948" s="104"/>
      <c r="E948"/>
      <c r="F948"/>
      <c r="G948"/>
      <c r="H948"/>
      <c r="I948" s="104"/>
    </row>
    <row r="949" spans="1:9" x14ac:dyDescent="0.25">
      <c r="A949" s="19"/>
      <c r="C949"/>
      <c r="D949" s="104"/>
      <c r="E949"/>
      <c r="F949"/>
      <c r="G949"/>
      <c r="H949"/>
      <c r="I949" s="104"/>
    </row>
    <row r="950" spans="1:9" x14ac:dyDescent="0.25">
      <c r="A950" s="19"/>
      <c r="C950"/>
      <c r="D950" s="104"/>
      <c r="E950"/>
      <c r="F950"/>
      <c r="G950"/>
      <c r="H950"/>
      <c r="I950" s="104"/>
    </row>
    <row r="951" spans="1:9" x14ac:dyDescent="0.25">
      <c r="A951" s="19"/>
      <c r="C951"/>
      <c r="D951" s="104"/>
      <c r="E951"/>
      <c r="F951"/>
      <c r="G951"/>
      <c r="H951"/>
      <c r="I951" s="104"/>
    </row>
    <row r="952" spans="1:9" x14ac:dyDescent="0.25">
      <c r="A952" s="19"/>
      <c r="C952"/>
      <c r="D952" s="104"/>
      <c r="E952"/>
      <c r="F952"/>
      <c r="G952"/>
      <c r="H952"/>
      <c r="I952" s="104"/>
    </row>
    <row r="953" spans="1:9" x14ac:dyDescent="0.25">
      <c r="A953" s="19"/>
      <c r="C953"/>
      <c r="D953" s="104"/>
      <c r="E953"/>
      <c r="F953"/>
      <c r="G953"/>
      <c r="H953"/>
      <c r="I953" s="104"/>
    </row>
    <row r="954" spans="1:9" x14ac:dyDescent="0.25">
      <c r="A954" s="19"/>
      <c r="C954"/>
      <c r="D954" s="104"/>
      <c r="E954"/>
      <c r="F954"/>
      <c r="G954"/>
      <c r="H954"/>
      <c r="I954" s="104"/>
    </row>
    <row r="955" spans="1:9" x14ac:dyDescent="0.25">
      <c r="A955" s="19"/>
      <c r="C955"/>
      <c r="D955" s="104"/>
      <c r="E955"/>
      <c r="F955"/>
      <c r="G955"/>
      <c r="H955"/>
      <c r="I955" s="104"/>
    </row>
    <row r="956" spans="1:9" x14ac:dyDescent="0.25">
      <c r="A956" s="19"/>
      <c r="C956"/>
      <c r="D956" s="104"/>
      <c r="E956"/>
      <c r="F956"/>
      <c r="G956"/>
      <c r="H956"/>
      <c r="I956" s="104"/>
    </row>
    <row r="957" spans="1:9" x14ac:dyDescent="0.25">
      <c r="A957" s="19"/>
      <c r="C957"/>
      <c r="D957" s="104"/>
      <c r="E957"/>
      <c r="F957"/>
      <c r="G957"/>
      <c r="H957"/>
      <c r="I957" s="104"/>
    </row>
    <row r="958" spans="1:9" x14ac:dyDescent="0.25">
      <c r="A958" s="19"/>
      <c r="C958"/>
      <c r="D958" s="104"/>
      <c r="E958"/>
      <c r="F958"/>
      <c r="G958"/>
      <c r="H958"/>
      <c r="I958" s="104"/>
    </row>
    <row r="959" spans="1:9" x14ac:dyDescent="0.25">
      <c r="A959" s="19"/>
      <c r="C959"/>
      <c r="D959" s="104"/>
      <c r="E959"/>
      <c r="F959"/>
      <c r="G959"/>
      <c r="H959"/>
      <c r="I959" s="104"/>
    </row>
    <row r="960" spans="1:9" x14ac:dyDescent="0.25">
      <c r="A960" s="19"/>
      <c r="C960"/>
      <c r="D960" s="104"/>
      <c r="E960"/>
      <c r="F960"/>
      <c r="G960"/>
      <c r="H960"/>
      <c r="I960" s="104"/>
    </row>
    <row r="961" spans="1:9" x14ac:dyDescent="0.25">
      <c r="A961" s="19"/>
      <c r="C961"/>
      <c r="D961" s="104"/>
      <c r="E961"/>
      <c r="F961"/>
      <c r="G961"/>
      <c r="H961"/>
      <c r="I961" s="104"/>
    </row>
    <row r="962" spans="1:9" x14ac:dyDescent="0.25">
      <c r="A962" s="19"/>
      <c r="C962"/>
      <c r="D962" s="104"/>
      <c r="E962"/>
      <c r="F962"/>
      <c r="G962"/>
      <c r="H962"/>
      <c r="I962" s="104"/>
    </row>
    <row r="963" spans="1:9" x14ac:dyDescent="0.25">
      <c r="A963" s="19"/>
      <c r="C963"/>
      <c r="D963" s="104"/>
      <c r="E963"/>
      <c r="F963"/>
      <c r="G963"/>
      <c r="H963"/>
      <c r="I963" s="104"/>
    </row>
    <row r="964" spans="1:9" x14ac:dyDescent="0.25">
      <c r="A964" s="19"/>
      <c r="C964"/>
      <c r="D964" s="104"/>
      <c r="E964"/>
      <c r="F964"/>
      <c r="G964"/>
      <c r="H964"/>
      <c r="I964" s="104"/>
    </row>
    <row r="965" spans="1:9" x14ac:dyDescent="0.25">
      <c r="A965" s="19"/>
      <c r="C965"/>
      <c r="D965" s="104"/>
      <c r="E965"/>
      <c r="F965"/>
      <c r="G965"/>
      <c r="H965"/>
      <c r="I965" s="104"/>
    </row>
    <row r="966" spans="1:9" x14ac:dyDescent="0.25">
      <c r="A966" s="19"/>
      <c r="C966"/>
      <c r="D966" s="104"/>
      <c r="E966"/>
      <c r="F966"/>
      <c r="G966"/>
      <c r="H966"/>
      <c r="I966" s="104"/>
    </row>
    <row r="967" spans="1:9" x14ac:dyDescent="0.25">
      <c r="A967" s="19"/>
      <c r="C967"/>
      <c r="D967" s="104"/>
      <c r="E967"/>
      <c r="F967"/>
      <c r="G967"/>
      <c r="H967"/>
      <c r="I967" s="104"/>
    </row>
    <row r="968" spans="1:9" x14ac:dyDescent="0.25">
      <c r="A968" s="19"/>
      <c r="C968"/>
      <c r="D968" s="104"/>
      <c r="E968"/>
      <c r="F968"/>
      <c r="G968"/>
      <c r="H968"/>
      <c r="I968" s="104"/>
    </row>
    <row r="969" spans="1:9" x14ac:dyDescent="0.25">
      <c r="A969" s="19"/>
      <c r="C969"/>
      <c r="D969" s="104"/>
      <c r="E969"/>
      <c r="F969"/>
      <c r="G969"/>
      <c r="H969"/>
      <c r="I969" s="104"/>
    </row>
    <row r="970" spans="1:9" x14ac:dyDescent="0.25">
      <c r="A970" s="19"/>
      <c r="C970"/>
      <c r="D970" s="104"/>
      <c r="E970"/>
      <c r="F970"/>
      <c r="G970"/>
      <c r="H970"/>
      <c r="I970" s="104"/>
    </row>
    <row r="971" spans="1:9" x14ac:dyDescent="0.25">
      <c r="A971" s="19"/>
      <c r="C971"/>
      <c r="D971" s="104"/>
      <c r="E971"/>
      <c r="F971"/>
      <c r="G971"/>
      <c r="H971"/>
      <c r="I971" s="104"/>
    </row>
    <row r="972" spans="1:9" x14ac:dyDescent="0.25">
      <c r="A972" s="19"/>
      <c r="C972"/>
      <c r="D972" s="104"/>
      <c r="E972"/>
      <c r="F972"/>
      <c r="G972"/>
      <c r="H972"/>
      <c r="I972" s="104"/>
    </row>
    <row r="973" spans="1:9" x14ac:dyDescent="0.25">
      <c r="A973" s="19"/>
      <c r="C973"/>
      <c r="D973" s="104"/>
      <c r="E973"/>
      <c r="F973"/>
      <c r="G973"/>
      <c r="H973"/>
      <c r="I973" s="104"/>
    </row>
    <row r="974" spans="1:9" x14ac:dyDescent="0.25">
      <c r="A974" s="19"/>
      <c r="C974"/>
      <c r="D974" s="104"/>
      <c r="E974"/>
      <c r="F974"/>
      <c r="G974"/>
      <c r="H974"/>
      <c r="I974" s="104"/>
    </row>
    <row r="975" spans="1:9" x14ac:dyDescent="0.25">
      <c r="A975" s="19"/>
      <c r="C975"/>
      <c r="D975" s="104"/>
      <c r="E975"/>
      <c r="F975"/>
      <c r="G975"/>
      <c r="H975"/>
      <c r="I975" s="104"/>
    </row>
    <row r="976" spans="1:9" x14ac:dyDescent="0.25">
      <c r="A976" s="19"/>
      <c r="C976"/>
      <c r="D976" s="104"/>
      <c r="E976"/>
      <c r="F976"/>
      <c r="G976"/>
      <c r="H976"/>
      <c r="I976" s="104"/>
    </row>
    <row r="977" spans="1:9" x14ac:dyDescent="0.25">
      <c r="A977" s="19"/>
      <c r="C977"/>
      <c r="D977" s="104"/>
      <c r="E977"/>
      <c r="F977"/>
      <c r="G977"/>
      <c r="H977"/>
      <c r="I977" s="104"/>
    </row>
    <row r="978" spans="1:9" x14ac:dyDescent="0.25">
      <c r="A978" s="19"/>
      <c r="C978"/>
      <c r="D978" s="104"/>
      <c r="E978"/>
      <c r="F978"/>
      <c r="G978"/>
      <c r="H978"/>
      <c r="I978" s="104"/>
    </row>
    <row r="979" spans="1:9" x14ac:dyDescent="0.25">
      <c r="A979" s="19"/>
      <c r="C979"/>
      <c r="D979" s="104"/>
      <c r="E979"/>
      <c r="F979"/>
      <c r="G979"/>
      <c r="H979"/>
      <c r="I979" s="104"/>
    </row>
    <row r="980" spans="1:9" x14ac:dyDescent="0.25">
      <c r="A980" s="19"/>
      <c r="C980"/>
      <c r="D980" s="104"/>
      <c r="E980"/>
      <c r="F980"/>
      <c r="G980"/>
      <c r="H980"/>
      <c r="I980" s="104"/>
    </row>
    <row r="981" spans="1:9" x14ac:dyDescent="0.25">
      <c r="A981" s="19"/>
      <c r="C981"/>
      <c r="D981" s="104"/>
      <c r="E981"/>
      <c r="F981"/>
      <c r="G981"/>
      <c r="H981"/>
      <c r="I981" s="104"/>
    </row>
    <row r="982" spans="1:9" x14ac:dyDescent="0.25">
      <c r="A982" s="19"/>
      <c r="C982"/>
      <c r="D982" s="104"/>
      <c r="E982"/>
      <c r="F982"/>
      <c r="G982"/>
      <c r="H982"/>
      <c r="I982" s="104"/>
    </row>
    <row r="983" spans="1:9" x14ac:dyDescent="0.25">
      <c r="A983" s="19"/>
      <c r="C983"/>
      <c r="D983" s="104"/>
      <c r="E983"/>
      <c r="F983"/>
      <c r="G983"/>
      <c r="H983"/>
      <c r="I983" s="104"/>
    </row>
    <row r="984" spans="1:9" x14ac:dyDescent="0.25">
      <c r="A984" s="19"/>
      <c r="C984"/>
      <c r="D984" s="104"/>
      <c r="E984"/>
      <c r="F984"/>
      <c r="G984"/>
      <c r="H984"/>
      <c r="I984" s="104"/>
    </row>
    <row r="985" spans="1:9" x14ac:dyDescent="0.25">
      <c r="A985" s="19"/>
      <c r="C985"/>
      <c r="D985" s="104"/>
      <c r="E985"/>
      <c r="F985"/>
      <c r="G985"/>
      <c r="H985"/>
      <c r="I985" s="104"/>
    </row>
    <row r="986" spans="1:9" x14ac:dyDescent="0.25">
      <c r="A986" s="19"/>
      <c r="C986"/>
      <c r="D986" s="104"/>
      <c r="E986"/>
      <c r="F986"/>
      <c r="G986"/>
      <c r="H986"/>
      <c r="I986" s="104"/>
    </row>
    <row r="987" spans="1:9" x14ac:dyDescent="0.25">
      <c r="A987" s="19"/>
      <c r="C987"/>
      <c r="D987" s="104"/>
      <c r="E987"/>
      <c r="F987"/>
      <c r="G987"/>
      <c r="H987"/>
      <c r="I987" s="104"/>
    </row>
    <row r="988" spans="1:9" x14ac:dyDescent="0.25">
      <c r="A988" s="19"/>
      <c r="C988"/>
      <c r="D988" s="104"/>
      <c r="E988"/>
      <c r="F988"/>
      <c r="G988"/>
      <c r="H988"/>
      <c r="I988" s="104"/>
    </row>
    <row r="989" spans="1:9" x14ac:dyDescent="0.25">
      <c r="A989" s="19"/>
      <c r="C989"/>
      <c r="D989" s="104"/>
      <c r="E989"/>
      <c r="F989"/>
      <c r="G989"/>
      <c r="H989"/>
      <c r="I989" s="104"/>
    </row>
    <row r="990" spans="1:9" x14ac:dyDescent="0.25">
      <c r="A990" s="19"/>
      <c r="C990"/>
      <c r="D990" s="104"/>
      <c r="E990"/>
      <c r="F990"/>
      <c r="G990"/>
      <c r="H990"/>
      <c r="I990" s="104"/>
    </row>
    <row r="991" spans="1:9" x14ac:dyDescent="0.25">
      <c r="A991" s="19"/>
      <c r="C991"/>
      <c r="D991" s="104"/>
      <c r="E991"/>
      <c r="F991"/>
      <c r="G991"/>
      <c r="H991"/>
      <c r="I991" s="104"/>
    </row>
    <row r="992" spans="1:9" x14ac:dyDescent="0.25">
      <c r="A992" s="19"/>
      <c r="C992"/>
      <c r="D992" s="104"/>
      <c r="E992"/>
      <c r="F992"/>
      <c r="G992"/>
      <c r="H992"/>
      <c r="I992" s="104"/>
    </row>
    <row r="993" spans="1:9" x14ac:dyDescent="0.25">
      <c r="A993" s="19"/>
      <c r="C993"/>
      <c r="D993" s="104"/>
      <c r="E993"/>
      <c r="F993"/>
      <c r="G993"/>
      <c r="H993"/>
      <c r="I993" s="104"/>
    </row>
    <row r="994" spans="1:9" x14ac:dyDescent="0.25">
      <c r="A994" s="19"/>
      <c r="C994"/>
      <c r="D994" s="104"/>
      <c r="E994"/>
      <c r="F994"/>
      <c r="G994"/>
      <c r="H994"/>
      <c r="I994" s="104"/>
    </row>
    <row r="995" spans="1:9" x14ac:dyDescent="0.25">
      <c r="A995" s="19"/>
      <c r="C995"/>
      <c r="D995" s="104"/>
      <c r="E995"/>
      <c r="F995"/>
      <c r="G995"/>
      <c r="H995"/>
      <c r="I995" s="104"/>
    </row>
    <row r="996" spans="1:9" x14ac:dyDescent="0.25">
      <c r="A996" s="19"/>
      <c r="C996"/>
      <c r="D996" s="104"/>
      <c r="E996"/>
      <c r="F996"/>
      <c r="G996"/>
      <c r="H996"/>
      <c r="I996" s="104"/>
    </row>
    <row r="997" spans="1:9" x14ac:dyDescent="0.25">
      <c r="A997" s="19"/>
      <c r="C997"/>
      <c r="D997" s="104"/>
      <c r="E997"/>
      <c r="F997"/>
      <c r="G997"/>
      <c r="H997"/>
      <c r="I997" s="104"/>
    </row>
    <row r="998" spans="1:9" x14ac:dyDescent="0.25">
      <c r="A998" s="19"/>
      <c r="C998"/>
      <c r="D998" s="104"/>
      <c r="E998"/>
      <c r="F998"/>
      <c r="G998"/>
      <c r="H998"/>
      <c r="I998" s="104"/>
    </row>
    <row r="999" spans="1:9" x14ac:dyDescent="0.25">
      <c r="A999" s="19"/>
      <c r="C999"/>
      <c r="D999" s="104"/>
      <c r="E999"/>
      <c r="F999"/>
      <c r="G999"/>
      <c r="H999"/>
      <c r="I999" s="104"/>
    </row>
    <row r="1000" spans="1:9" x14ac:dyDescent="0.25">
      <c r="A1000" s="19"/>
      <c r="C1000"/>
      <c r="D1000" s="104"/>
      <c r="E1000"/>
      <c r="F1000"/>
      <c r="G1000"/>
      <c r="H1000"/>
      <c r="I1000" s="104"/>
    </row>
    <row r="1001" spans="1:9" x14ac:dyDescent="0.25">
      <c r="A1001" s="19"/>
      <c r="C1001"/>
      <c r="D1001" s="104"/>
      <c r="E1001"/>
      <c r="F1001"/>
      <c r="G1001"/>
      <c r="H1001"/>
      <c r="I1001" s="104"/>
    </row>
    <row r="1002" spans="1:9" x14ac:dyDescent="0.25">
      <c r="A1002" s="19"/>
      <c r="C1002"/>
      <c r="D1002" s="104"/>
      <c r="E1002"/>
      <c r="F1002"/>
      <c r="G1002"/>
      <c r="H1002"/>
      <c r="I1002" s="104"/>
    </row>
    <row r="1003" spans="1:9" x14ac:dyDescent="0.25">
      <c r="A1003" s="19"/>
      <c r="C1003"/>
      <c r="D1003" s="104"/>
      <c r="E1003"/>
      <c r="F1003"/>
      <c r="G1003"/>
      <c r="H1003"/>
      <c r="I1003" s="104"/>
    </row>
    <row r="1004" spans="1:9" x14ac:dyDescent="0.25">
      <c r="A1004" s="19"/>
      <c r="C1004"/>
      <c r="D1004" s="104"/>
      <c r="E1004"/>
      <c r="F1004"/>
      <c r="G1004"/>
      <c r="H1004"/>
      <c r="I1004" s="104"/>
    </row>
    <row r="1005" spans="1:9" x14ac:dyDescent="0.25">
      <c r="A1005" s="19"/>
      <c r="C1005"/>
      <c r="D1005" s="104"/>
      <c r="E1005"/>
      <c r="F1005"/>
      <c r="G1005"/>
      <c r="H1005"/>
      <c r="I1005" s="104"/>
    </row>
    <row r="1006" spans="1:9" x14ac:dyDescent="0.25">
      <c r="A1006" s="19"/>
      <c r="C1006"/>
      <c r="D1006" s="104"/>
      <c r="E1006"/>
      <c r="F1006"/>
      <c r="G1006"/>
      <c r="H1006"/>
      <c r="I1006" s="104"/>
    </row>
    <row r="1007" spans="1:9" x14ac:dyDescent="0.25">
      <c r="A1007" s="19"/>
      <c r="C1007"/>
      <c r="D1007" s="104"/>
      <c r="E1007"/>
      <c r="F1007"/>
      <c r="G1007"/>
      <c r="H1007"/>
      <c r="I1007" s="104"/>
    </row>
    <row r="1008" spans="1:9" x14ac:dyDescent="0.25">
      <c r="A1008" s="19"/>
      <c r="C1008"/>
      <c r="D1008" s="104"/>
      <c r="E1008"/>
      <c r="F1008"/>
      <c r="G1008"/>
      <c r="H1008"/>
      <c r="I1008" s="104"/>
    </row>
    <row r="1009" spans="1:9" x14ac:dyDescent="0.25">
      <c r="A1009" s="19"/>
      <c r="C1009"/>
      <c r="D1009" s="104"/>
      <c r="E1009"/>
      <c r="F1009"/>
      <c r="G1009"/>
      <c r="H1009"/>
      <c r="I1009" s="104"/>
    </row>
    <row r="1010" spans="1:9" x14ac:dyDescent="0.25">
      <c r="A1010" s="19"/>
      <c r="C1010"/>
      <c r="D1010" s="104"/>
      <c r="E1010"/>
      <c r="F1010"/>
      <c r="G1010"/>
      <c r="H1010"/>
      <c r="I1010" s="104"/>
    </row>
    <row r="1011" spans="1:9" x14ac:dyDescent="0.25">
      <c r="A1011" s="19"/>
      <c r="C1011"/>
      <c r="D1011" s="104"/>
      <c r="E1011"/>
      <c r="F1011"/>
      <c r="G1011"/>
      <c r="H1011"/>
      <c r="I1011" s="104"/>
    </row>
    <row r="1012" spans="1:9" x14ac:dyDescent="0.25">
      <c r="A1012" s="19"/>
      <c r="C1012"/>
      <c r="D1012" s="104"/>
      <c r="E1012"/>
      <c r="F1012"/>
      <c r="G1012"/>
      <c r="H1012"/>
      <c r="I1012" s="104"/>
    </row>
    <row r="1013" spans="1:9" x14ac:dyDescent="0.25">
      <c r="A1013" s="19"/>
      <c r="C1013"/>
      <c r="D1013" s="104"/>
      <c r="E1013"/>
      <c r="F1013"/>
      <c r="G1013"/>
      <c r="H1013"/>
      <c r="I1013" s="104"/>
    </row>
    <row r="1014" spans="1:9" x14ac:dyDescent="0.25">
      <c r="A1014" s="19"/>
      <c r="C1014"/>
      <c r="D1014" s="104"/>
      <c r="E1014"/>
      <c r="F1014"/>
      <c r="G1014"/>
      <c r="H1014"/>
      <c r="I1014" s="104"/>
    </row>
    <row r="1015" spans="1:9" x14ac:dyDescent="0.25">
      <c r="A1015" s="19"/>
      <c r="C1015"/>
      <c r="D1015" s="104"/>
      <c r="E1015"/>
      <c r="F1015"/>
      <c r="G1015"/>
      <c r="H1015"/>
      <c r="I1015" s="104"/>
    </row>
    <row r="1016" spans="1:9" x14ac:dyDescent="0.25">
      <c r="A1016" s="19"/>
      <c r="C1016"/>
      <c r="D1016" s="104"/>
      <c r="E1016"/>
      <c r="F1016"/>
      <c r="G1016"/>
      <c r="H1016"/>
      <c r="I1016" s="104"/>
    </row>
    <row r="1017" spans="1:9" x14ac:dyDescent="0.25">
      <c r="A1017" s="19"/>
      <c r="C1017"/>
      <c r="D1017" s="104"/>
      <c r="E1017"/>
      <c r="F1017"/>
      <c r="G1017"/>
      <c r="H1017"/>
      <c r="I1017" s="104"/>
    </row>
    <row r="1018" spans="1:9" x14ac:dyDescent="0.25">
      <c r="A1018" s="19"/>
      <c r="C1018"/>
      <c r="D1018" s="104"/>
      <c r="E1018"/>
      <c r="F1018"/>
      <c r="G1018"/>
      <c r="H1018"/>
      <c r="I1018" s="104"/>
    </row>
    <row r="1019" spans="1:9" x14ac:dyDescent="0.25">
      <c r="A1019" s="19"/>
      <c r="C1019"/>
      <c r="D1019" s="104"/>
      <c r="E1019"/>
      <c r="F1019"/>
      <c r="G1019"/>
      <c r="H1019"/>
      <c r="I1019" s="104"/>
    </row>
    <row r="1020" spans="1:9" x14ac:dyDescent="0.25">
      <c r="A1020" s="19"/>
      <c r="C1020"/>
      <c r="D1020" s="104"/>
      <c r="E1020"/>
      <c r="F1020"/>
      <c r="G1020"/>
      <c r="H1020"/>
      <c r="I1020" s="104"/>
    </row>
    <row r="1021" spans="1:9" x14ac:dyDescent="0.25">
      <c r="A1021" s="19"/>
      <c r="C1021"/>
      <c r="D1021" s="104"/>
      <c r="E1021"/>
      <c r="F1021"/>
      <c r="G1021"/>
      <c r="H1021"/>
      <c r="I1021" s="104"/>
    </row>
    <row r="1022" spans="1:9" x14ac:dyDescent="0.25">
      <c r="A1022" s="19"/>
      <c r="C1022"/>
      <c r="D1022" s="104"/>
      <c r="E1022"/>
      <c r="F1022"/>
      <c r="G1022"/>
      <c r="H1022"/>
      <c r="I1022" s="104"/>
    </row>
    <row r="1023" spans="1:9" x14ac:dyDescent="0.25">
      <c r="A1023" s="19"/>
      <c r="C1023"/>
      <c r="D1023" s="104"/>
      <c r="E1023"/>
      <c r="F1023"/>
      <c r="G1023"/>
      <c r="H1023"/>
      <c r="I1023" s="104"/>
    </row>
    <row r="1024" spans="1:9" x14ac:dyDescent="0.25">
      <c r="A1024" s="19"/>
      <c r="C1024"/>
      <c r="D1024" s="104"/>
      <c r="E1024"/>
      <c r="F1024"/>
      <c r="G1024"/>
      <c r="H1024"/>
      <c r="I1024" s="104"/>
    </row>
    <row r="1025" spans="1:9" x14ac:dyDescent="0.25">
      <c r="A1025" s="19"/>
      <c r="C1025"/>
      <c r="D1025" s="104"/>
      <c r="E1025"/>
      <c r="F1025"/>
      <c r="G1025"/>
      <c r="H1025"/>
      <c r="I1025" s="104"/>
    </row>
    <row r="1026" spans="1:9" x14ac:dyDescent="0.25">
      <c r="A1026" s="19"/>
      <c r="C1026"/>
      <c r="D1026" s="104"/>
      <c r="E1026"/>
      <c r="F1026"/>
      <c r="G1026"/>
      <c r="H1026"/>
      <c r="I1026" s="104"/>
    </row>
    <row r="1027" spans="1:9" x14ac:dyDescent="0.25">
      <c r="A1027" s="19"/>
      <c r="C1027"/>
      <c r="D1027" s="104"/>
      <c r="E1027"/>
      <c r="F1027"/>
      <c r="G1027"/>
      <c r="H1027"/>
      <c r="I1027" s="104"/>
    </row>
    <row r="1028" spans="1:9" x14ac:dyDescent="0.25">
      <c r="A1028" s="19"/>
      <c r="C1028"/>
      <c r="D1028" s="104"/>
      <c r="E1028"/>
      <c r="F1028"/>
      <c r="G1028"/>
      <c r="H1028"/>
      <c r="I1028" s="104"/>
    </row>
    <row r="1029" spans="1:9" x14ac:dyDescent="0.25">
      <c r="A1029" s="19"/>
      <c r="C1029"/>
      <c r="D1029" s="104"/>
      <c r="E1029"/>
      <c r="F1029"/>
      <c r="G1029"/>
      <c r="H1029"/>
      <c r="I1029" s="104"/>
    </row>
    <row r="1030" spans="1:9" x14ac:dyDescent="0.25">
      <c r="A1030" s="19"/>
      <c r="C1030"/>
      <c r="D1030" s="104"/>
      <c r="E1030"/>
      <c r="F1030"/>
      <c r="G1030"/>
      <c r="H1030"/>
      <c r="I1030" s="104"/>
    </row>
    <row r="1031" spans="1:9" x14ac:dyDescent="0.25">
      <c r="A1031" s="19"/>
      <c r="C1031"/>
      <c r="D1031" s="104"/>
      <c r="E1031"/>
      <c r="F1031"/>
      <c r="G1031"/>
      <c r="H1031"/>
      <c r="I1031" s="104"/>
    </row>
    <row r="1032" spans="1:9" x14ac:dyDescent="0.25">
      <c r="A1032" s="19"/>
      <c r="C1032"/>
      <c r="D1032" s="104"/>
      <c r="E1032"/>
      <c r="F1032"/>
      <c r="G1032"/>
      <c r="H1032"/>
      <c r="I1032" s="104"/>
    </row>
    <row r="1033" spans="1:9" x14ac:dyDescent="0.25">
      <c r="A1033" s="19"/>
      <c r="C1033"/>
      <c r="D1033" s="104"/>
      <c r="E1033"/>
      <c r="F1033"/>
      <c r="G1033"/>
      <c r="H1033"/>
      <c r="I1033" s="104"/>
    </row>
    <row r="1034" spans="1:9" x14ac:dyDescent="0.25">
      <c r="A1034" s="19"/>
      <c r="C1034"/>
      <c r="D1034" s="104"/>
      <c r="E1034"/>
      <c r="F1034"/>
      <c r="G1034"/>
      <c r="H1034"/>
      <c r="I1034" s="104"/>
    </row>
    <row r="1035" spans="1:9" x14ac:dyDescent="0.25">
      <c r="A1035" s="19"/>
      <c r="C1035"/>
      <c r="D1035" s="104"/>
      <c r="E1035"/>
      <c r="F1035"/>
      <c r="G1035"/>
      <c r="H1035"/>
      <c r="I1035" s="104"/>
    </row>
    <row r="1036" spans="1:9" x14ac:dyDescent="0.25">
      <c r="A1036" s="19"/>
      <c r="C1036"/>
      <c r="D1036" s="104"/>
      <c r="E1036"/>
      <c r="F1036"/>
      <c r="G1036"/>
      <c r="H1036"/>
      <c r="I1036" s="104"/>
    </row>
    <row r="1037" spans="1:9" x14ac:dyDescent="0.25">
      <c r="A1037" s="19"/>
      <c r="C1037"/>
      <c r="D1037" s="104"/>
      <c r="E1037"/>
      <c r="F1037"/>
      <c r="G1037"/>
      <c r="H1037"/>
      <c r="I1037" s="104"/>
    </row>
    <row r="1038" spans="1:9" x14ac:dyDescent="0.25">
      <c r="A1038" s="19"/>
      <c r="C1038"/>
      <c r="D1038" s="104"/>
      <c r="E1038"/>
      <c r="F1038"/>
      <c r="G1038"/>
      <c r="H1038"/>
      <c r="I1038" s="104"/>
    </row>
    <row r="1039" spans="1:9" x14ac:dyDescent="0.25">
      <c r="A1039" s="19"/>
      <c r="C1039"/>
      <c r="D1039" s="104"/>
      <c r="E1039"/>
      <c r="F1039"/>
      <c r="G1039"/>
      <c r="H1039"/>
      <c r="I1039" s="104"/>
    </row>
    <row r="1040" spans="1:9" x14ac:dyDescent="0.25">
      <c r="A1040" s="19"/>
      <c r="C1040"/>
      <c r="D1040" s="104"/>
      <c r="E1040"/>
      <c r="F1040"/>
      <c r="G1040"/>
      <c r="H1040"/>
      <c r="I1040" s="104"/>
    </row>
    <row r="1041" spans="1:9" x14ac:dyDescent="0.25">
      <c r="A1041" s="19"/>
      <c r="C1041"/>
      <c r="D1041" s="104"/>
      <c r="E1041"/>
      <c r="F1041"/>
      <c r="G1041"/>
      <c r="H1041"/>
      <c r="I1041" s="104"/>
    </row>
    <row r="1042" spans="1:9" x14ac:dyDescent="0.25">
      <c r="A1042" s="19"/>
      <c r="C1042"/>
      <c r="D1042" s="104"/>
      <c r="E1042"/>
      <c r="F1042"/>
      <c r="G1042"/>
      <c r="H1042"/>
      <c r="I1042" s="104"/>
    </row>
    <row r="1043" spans="1:9" x14ac:dyDescent="0.25">
      <c r="A1043" s="19"/>
      <c r="C1043"/>
      <c r="D1043" s="104"/>
      <c r="E1043"/>
      <c r="F1043"/>
      <c r="G1043"/>
      <c r="H1043"/>
      <c r="I1043" s="104"/>
    </row>
    <row r="1044" spans="1:9" x14ac:dyDescent="0.25">
      <c r="A1044" s="19"/>
      <c r="C1044"/>
      <c r="D1044" s="104"/>
      <c r="E1044"/>
      <c r="F1044"/>
      <c r="G1044"/>
      <c r="H1044"/>
      <c r="I1044" s="104"/>
    </row>
    <row r="1045" spans="1:9" x14ac:dyDescent="0.25">
      <c r="A1045" s="19"/>
      <c r="C1045"/>
      <c r="D1045" s="104"/>
      <c r="E1045"/>
      <c r="F1045"/>
      <c r="G1045"/>
      <c r="H1045"/>
      <c r="I1045" s="104"/>
    </row>
    <row r="1046" spans="1:9" x14ac:dyDescent="0.25">
      <c r="A1046" s="19"/>
      <c r="C1046"/>
      <c r="D1046" s="104"/>
      <c r="E1046"/>
      <c r="F1046"/>
      <c r="G1046"/>
      <c r="H1046"/>
      <c r="I1046" s="104"/>
    </row>
    <row r="1047" spans="1:9" x14ac:dyDescent="0.25">
      <c r="A1047" s="19"/>
      <c r="C1047"/>
      <c r="D1047" s="104"/>
      <c r="E1047"/>
      <c r="F1047"/>
      <c r="G1047"/>
      <c r="H1047"/>
      <c r="I1047" s="104"/>
    </row>
    <row r="1048" spans="1:9" x14ac:dyDescent="0.25">
      <c r="A1048" s="19"/>
      <c r="C1048"/>
      <c r="D1048" s="104"/>
      <c r="E1048"/>
      <c r="F1048"/>
      <c r="G1048"/>
      <c r="H1048"/>
      <c r="I1048" s="104"/>
    </row>
    <row r="1049" spans="1:9" x14ac:dyDescent="0.25">
      <c r="A1049" s="19"/>
      <c r="C1049"/>
      <c r="D1049" s="104"/>
      <c r="E1049"/>
      <c r="F1049"/>
      <c r="G1049"/>
      <c r="H1049"/>
      <c r="I1049" s="104"/>
    </row>
    <row r="1050" spans="1:9" x14ac:dyDescent="0.25">
      <c r="A1050" s="19"/>
      <c r="C1050"/>
      <c r="D1050" s="104"/>
      <c r="E1050"/>
      <c r="F1050"/>
      <c r="G1050"/>
      <c r="H1050"/>
      <c r="I1050" s="104"/>
    </row>
    <row r="1051" spans="1:9" x14ac:dyDescent="0.25">
      <c r="A1051" s="19"/>
      <c r="C1051"/>
      <c r="D1051" s="104"/>
      <c r="E1051"/>
      <c r="F1051"/>
      <c r="G1051"/>
      <c r="H1051"/>
      <c r="I1051" s="104"/>
    </row>
    <row r="1052" spans="1:9" x14ac:dyDescent="0.25">
      <c r="A1052" s="19"/>
      <c r="C1052"/>
      <c r="D1052" s="104"/>
      <c r="E1052"/>
      <c r="F1052"/>
      <c r="G1052"/>
      <c r="H1052"/>
      <c r="I1052" s="104"/>
    </row>
    <row r="1053" spans="1:9" x14ac:dyDescent="0.25">
      <c r="A1053" s="19"/>
      <c r="C1053"/>
      <c r="D1053" s="104"/>
      <c r="E1053"/>
      <c r="F1053"/>
      <c r="G1053"/>
      <c r="H1053"/>
      <c r="I1053" s="104"/>
    </row>
    <row r="1054" spans="1:9" x14ac:dyDescent="0.25">
      <c r="A1054" s="19"/>
      <c r="C1054"/>
      <c r="D1054" s="104"/>
      <c r="E1054"/>
      <c r="F1054"/>
      <c r="G1054"/>
      <c r="H1054"/>
      <c r="I1054" s="104"/>
    </row>
    <row r="1055" spans="1:9" x14ac:dyDescent="0.25">
      <c r="A1055" s="19"/>
      <c r="C1055"/>
      <c r="D1055" s="104"/>
      <c r="E1055"/>
      <c r="F1055"/>
      <c r="G1055"/>
      <c r="H1055"/>
      <c r="I1055" s="104"/>
    </row>
    <row r="1056" spans="1:9" x14ac:dyDescent="0.25">
      <c r="A1056" s="19"/>
      <c r="C1056"/>
      <c r="D1056" s="104"/>
      <c r="E1056"/>
      <c r="F1056"/>
      <c r="G1056"/>
      <c r="H1056"/>
      <c r="I1056" s="104"/>
    </row>
    <row r="1057" spans="1:9" x14ac:dyDescent="0.25">
      <c r="A1057" s="19"/>
      <c r="C1057"/>
      <c r="D1057" s="104"/>
      <c r="E1057"/>
      <c r="F1057"/>
      <c r="G1057"/>
      <c r="H1057"/>
      <c r="I1057" s="104"/>
    </row>
    <row r="1058" spans="1:9" x14ac:dyDescent="0.25">
      <c r="A1058" s="19"/>
      <c r="C1058"/>
      <c r="D1058" s="104"/>
      <c r="E1058"/>
      <c r="F1058"/>
      <c r="G1058"/>
      <c r="H1058"/>
      <c r="I1058" s="104"/>
    </row>
    <row r="1059" spans="1:9" x14ac:dyDescent="0.25">
      <c r="A1059" s="19"/>
      <c r="C1059"/>
      <c r="D1059" s="104"/>
      <c r="E1059"/>
      <c r="F1059"/>
      <c r="G1059"/>
      <c r="H1059"/>
      <c r="I1059" s="104"/>
    </row>
    <row r="1060" spans="1:9" x14ac:dyDescent="0.25">
      <c r="A1060" s="19"/>
      <c r="C1060"/>
      <c r="D1060" s="104"/>
      <c r="E1060"/>
      <c r="F1060"/>
      <c r="G1060"/>
      <c r="H1060"/>
      <c r="I1060" s="104"/>
    </row>
    <row r="1061" spans="1:9" x14ac:dyDescent="0.25">
      <c r="A1061" s="19"/>
      <c r="C1061"/>
      <c r="D1061" s="104"/>
      <c r="E1061"/>
      <c r="F1061"/>
      <c r="G1061"/>
      <c r="H1061"/>
      <c r="I1061" s="104"/>
    </row>
    <row r="1062" spans="1:9" x14ac:dyDescent="0.25">
      <c r="A1062" s="19"/>
      <c r="C1062"/>
      <c r="D1062" s="104"/>
      <c r="E1062"/>
      <c r="F1062"/>
      <c r="G1062"/>
      <c r="H1062"/>
      <c r="I1062" s="104"/>
    </row>
    <row r="1063" spans="1:9" x14ac:dyDescent="0.25">
      <c r="A1063" s="19"/>
      <c r="C1063"/>
      <c r="D1063" s="104"/>
      <c r="E1063"/>
      <c r="F1063"/>
      <c r="G1063"/>
      <c r="H1063"/>
      <c r="I1063" s="104"/>
    </row>
    <row r="1064" spans="1:9" x14ac:dyDescent="0.25">
      <c r="A1064" s="19"/>
      <c r="C1064"/>
      <c r="D1064" s="104"/>
      <c r="E1064"/>
      <c r="F1064"/>
      <c r="G1064"/>
      <c r="H1064"/>
      <c r="I1064" s="104"/>
    </row>
    <row r="1065" spans="1:9" x14ac:dyDescent="0.25">
      <c r="A1065" s="19"/>
      <c r="C1065"/>
      <c r="D1065" s="104"/>
      <c r="E1065"/>
      <c r="F1065"/>
      <c r="G1065"/>
      <c r="H1065"/>
      <c r="I1065" s="104"/>
    </row>
    <row r="1066" spans="1:9" x14ac:dyDescent="0.25">
      <c r="A1066" s="19"/>
      <c r="C1066"/>
      <c r="D1066" s="104"/>
      <c r="E1066"/>
      <c r="F1066"/>
      <c r="G1066"/>
      <c r="H1066"/>
      <c r="I1066" s="104"/>
    </row>
    <row r="1067" spans="1:9" x14ac:dyDescent="0.25">
      <c r="A1067" s="19"/>
      <c r="C1067"/>
      <c r="D1067" s="104"/>
      <c r="E1067"/>
      <c r="F1067"/>
      <c r="G1067"/>
      <c r="H1067"/>
      <c r="I1067" s="104"/>
    </row>
    <row r="1068" spans="1:9" x14ac:dyDescent="0.25">
      <c r="A1068" s="19"/>
      <c r="C1068"/>
      <c r="D1068" s="104"/>
      <c r="E1068"/>
      <c r="F1068"/>
      <c r="G1068"/>
      <c r="H1068"/>
      <c r="I1068" s="104"/>
    </row>
    <row r="1069" spans="1:9" x14ac:dyDescent="0.25">
      <c r="A1069" s="19"/>
      <c r="C1069"/>
      <c r="D1069" s="104"/>
      <c r="E1069"/>
      <c r="F1069"/>
      <c r="G1069"/>
      <c r="H1069"/>
      <c r="I1069" s="104"/>
    </row>
    <row r="1070" spans="1:9" x14ac:dyDescent="0.25">
      <c r="A1070" s="19"/>
      <c r="C1070"/>
      <c r="D1070" s="104"/>
      <c r="E1070"/>
      <c r="F1070"/>
      <c r="G1070"/>
      <c r="H1070"/>
      <c r="I1070" s="104"/>
    </row>
    <row r="1071" spans="1:9" x14ac:dyDescent="0.25">
      <c r="A1071" s="19"/>
      <c r="C1071"/>
      <c r="D1071" s="104"/>
      <c r="E1071"/>
      <c r="F1071"/>
      <c r="G1071"/>
      <c r="H1071"/>
      <c r="I1071" s="104"/>
    </row>
    <row r="1072" spans="1:9" x14ac:dyDescent="0.25">
      <c r="A1072" s="19"/>
      <c r="C1072"/>
      <c r="D1072" s="104"/>
      <c r="E1072"/>
      <c r="F1072"/>
      <c r="G1072"/>
      <c r="H1072"/>
      <c r="I1072" s="104"/>
    </row>
    <row r="1073" spans="1:9" x14ac:dyDescent="0.25">
      <c r="A1073" s="19"/>
      <c r="C1073"/>
      <c r="D1073" s="104"/>
      <c r="E1073"/>
      <c r="F1073"/>
      <c r="G1073"/>
      <c r="H1073"/>
      <c r="I1073" s="104"/>
    </row>
    <row r="1074" spans="1:9" x14ac:dyDescent="0.25">
      <c r="A1074" s="19"/>
      <c r="C1074"/>
      <c r="D1074" s="104"/>
      <c r="E1074"/>
      <c r="F1074"/>
      <c r="G1074"/>
      <c r="H1074"/>
      <c r="I1074" s="104"/>
    </row>
    <row r="1075" spans="1:9" x14ac:dyDescent="0.25">
      <c r="A1075" s="19"/>
      <c r="C1075"/>
      <c r="D1075" s="104"/>
      <c r="E1075"/>
      <c r="F1075"/>
      <c r="G1075"/>
      <c r="H1075"/>
      <c r="I1075" s="104"/>
    </row>
    <row r="1076" spans="1:9" x14ac:dyDescent="0.25">
      <c r="A1076" s="19"/>
      <c r="C1076"/>
      <c r="D1076" s="104"/>
      <c r="E1076"/>
      <c r="F1076"/>
      <c r="G1076"/>
      <c r="H1076"/>
      <c r="I1076" s="104"/>
    </row>
    <row r="1077" spans="1:9" x14ac:dyDescent="0.25">
      <c r="A1077" s="19"/>
      <c r="C1077"/>
      <c r="D1077" s="104"/>
      <c r="E1077"/>
      <c r="F1077"/>
      <c r="G1077"/>
      <c r="H1077"/>
      <c r="I1077" s="104"/>
    </row>
    <row r="1078" spans="1:9" x14ac:dyDescent="0.25">
      <c r="A1078" s="19"/>
      <c r="C1078"/>
      <c r="D1078" s="104"/>
      <c r="E1078"/>
      <c r="F1078"/>
      <c r="G1078"/>
      <c r="H1078"/>
      <c r="I1078" s="104"/>
    </row>
    <row r="1079" spans="1:9" x14ac:dyDescent="0.25">
      <c r="A1079" s="19"/>
      <c r="C1079"/>
      <c r="D1079" s="104"/>
      <c r="E1079"/>
      <c r="F1079"/>
      <c r="G1079"/>
      <c r="H1079"/>
      <c r="I1079" s="104"/>
    </row>
    <row r="1080" spans="1:9" x14ac:dyDescent="0.25">
      <c r="A1080" s="19"/>
      <c r="C1080"/>
      <c r="D1080" s="104"/>
      <c r="E1080"/>
      <c r="F1080"/>
      <c r="G1080"/>
      <c r="H1080"/>
      <c r="I1080" s="104"/>
    </row>
    <row r="1081" spans="1:9" x14ac:dyDescent="0.25">
      <c r="A1081" s="19"/>
      <c r="C1081"/>
      <c r="D1081" s="104"/>
      <c r="E1081"/>
      <c r="F1081"/>
      <c r="G1081"/>
      <c r="H1081"/>
      <c r="I1081" s="104"/>
    </row>
    <row r="1082" spans="1:9" x14ac:dyDescent="0.25">
      <c r="A1082" s="19"/>
      <c r="C1082"/>
      <c r="D1082" s="104"/>
      <c r="E1082"/>
      <c r="F1082"/>
      <c r="G1082"/>
      <c r="H1082"/>
      <c r="I1082" s="104"/>
    </row>
    <row r="1083" spans="1:9" x14ac:dyDescent="0.25">
      <c r="A1083" s="19"/>
      <c r="C1083"/>
      <c r="D1083" s="104"/>
      <c r="E1083"/>
      <c r="F1083"/>
      <c r="G1083"/>
      <c r="H1083"/>
      <c r="I1083" s="104"/>
    </row>
    <row r="1084" spans="1:9" x14ac:dyDescent="0.25">
      <c r="A1084" s="19"/>
      <c r="C1084"/>
      <c r="D1084" s="104"/>
      <c r="E1084"/>
      <c r="F1084"/>
      <c r="G1084"/>
      <c r="H1084"/>
      <c r="I1084" s="104"/>
    </row>
    <row r="1085" spans="1:9" x14ac:dyDescent="0.25">
      <c r="A1085" s="19"/>
      <c r="C1085"/>
      <c r="D1085" s="104"/>
      <c r="E1085"/>
      <c r="F1085"/>
      <c r="G1085"/>
      <c r="H1085"/>
      <c r="I1085" s="104"/>
    </row>
    <row r="1086" spans="1:9" x14ac:dyDescent="0.25">
      <c r="A1086" s="19"/>
      <c r="C1086"/>
      <c r="D1086" s="104"/>
      <c r="E1086"/>
      <c r="F1086"/>
      <c r="G1086"/>
      <c r="H1086"/>
      <c r="I1086" s="104"/>
    </row>
    <row r="1087" spans="1:9" x14ac:dyDescent="0.25">
      <c r="A1087" s="19"/>
      <c r="C1087"/>
      <c r="D1087" s="104"/>
      <c r="E1087"/>
      <c r="F1087"/>
      <c r="G1087"/>
      <c r="H1087"/>
      <c r="I1087" s="104"/>
    </row>
    <row r="1088" spans="1:9" x14ac:dyDescent="0.25">
      <c r="A1088" s="19"/>
      <c r="C1088"/>
      <c r="D1088" s="104"/>
      <c r="E1088"/>
      <c r="F1088"/>
      <c r="G1088"/>
      <c r="H1088"/>
      <c r="I1088" s="104"/>
    </row>
    <row r="1089" spans="1:9" x14ac:dyDescent="0.25">
      <c r="A1089" s="19"/>
      <c r="C1089"/>
      <c r="D1089" s="104"/>
      <c r="E1089"/>
      <c r="F1089"/>
      <c r="G1089"/>
      <c r="H1089"/>
      <c r="I1089" s="104"/>
    </row>
    <row r="1090" spans="1:9" x14ac:dyDescent="0.25">
      <c r="A1090" s="19"/>
      <c r="C1090"/>
      <c r="D1090" s="104"/>
      <c r="E1090"/>
      <c r="F1090"/>
      <c r="G1090"/>
      <c r="H1090"/>
      <c r="I1090" s="104"/>
    </row>
    <row r="1091" spans="1:9" x14ac:dyDescent="0.25">
      <c r="A1091" s="19"/>
      <c r="C1091"/>
      <c r="D1091" s="104"/>
      <c r="E1091"/>
      <c r="F1091"/>
      <c r="G1091"/>
      <c r="H1091"/>
      <c r="I1091" s="104"/>
    </row>
    <row r="1092" spans="1:9" x14ac:dyDescent="0.25">
      <c r="A1092" s="19"/>
      <c r="C1092"/>
      <c r="D1092" s="104"/>
      <c r="E1092"/>
      <c r="F1092"/>
      <c r="G1092"/>
      <c r="H1092"/>
      <c r="I1092" s="104"/>
    </row>
    <row r="1093" spans="1:9" x14ac:dyDescent="0.25">
      <c r="A1093" s="19"/>
      <c r="C1093"/>
      <c r="D1093" s="104"/>
      <c r="E1093"/>
      <c r="F1093"/>
      <c r="G1093"/>
      <c r="H1093"/>
      <c r="I1093" s="104"/>
    </row>
    <row r="1094" spans="1:9" x14ac:dyDescent="0.25">
      <c r="A1094" s="19"/>
      <c r="C1094"/>
      <c r="D1094" s="104"/>
      <c r="E1094"/>
      <c r="F1094"/>
      <c r="G1094"/>
      <c r="H1094"/>
      <c r="I1094" s="104"/>
    </row>
    <row r="1095" spans="1:9" x14ac:dyDescent="0.25">
      <c r="A1095" s="19"/>
      <c r="C1095"/>
      <c r="D1095" s="104"/>
      <c r="E1095"/>
      <c r="F1095"/>
      <c r="G1095"/>
      <c r="H1095"/>
      <c r="I1095" s="104"/>
    </row>
    <row r="1096" spans="1:9" x14ac:dyDescent="0.25">
      <c r="A1096" s="19"/>
      <c r="C1096"/>
      <c r="D1096" s="104"/>
      <c r="E1096"/>
      <c r="F1096"/>
      <c r="G1096"/>
      <c r="H1096"/>
      <c r="I1096" s="104"/>
    </row>
    <row r="1097" spans="1:9" x14ac:dyDescent="0.25">
      <c r="A1097" s="19"/>
      <c r="C1097"/>
      <c r="D1097" s="104"/>
      <c r="E1097"/>
      <c r="F1097"/>
      <c r="G1097"/>
      <c r="H1097"/>
      <c r="I1097" s="104"/>
    </row>
    <row r="1098" spans="1:9" x14ac:dyDescent="0.25">
      <c r="A1098" s="19"/>
      <c r="C1098"/>
      <c r="D1098" s="104"/>
      <c r="E1098"/>
      <c r="F1098"/>
      <c r="G1098"/>
      <c r="H1098"/>
      <c r="I1098" s="104"/>
    </row>
    <row r="1099" spans="1:9" x14ac:dyDescent="0.25">
      <c r="A1099" s="19"/>
      <c r="C1099"/>
      <c r="D1099" s="104"/>
      <c r="E1099"/>
      <c r="F1099"/>
      <c r="G1099"/>
      <c r="H1099"/>
      <c r="I1099" s="104"/>
    </row>
    <row r="1100" spans="1:9" x14ac:dyDescent="0.25">
      <c r="A1100" s="19"/>
      <c r="C1100"/>
      <c r="D1100" s="104"/>
      <c r="E1100"/>
      <c r="F1100"/>
      <c r="G1100"/>
      <c r="H1100"/>
      <c r="I1100" s="104"/>
    </row>
    <row r="1101" spans="1:9" x14ac:dyDescent="0.25">
      <c r="A1101" s="19"/>
      <c r="C1101"/>
      <c r="D1101" s="104"/>
      <c r="E1101"/>
      <c r="F1101"/>
      <c r="G1101"/>
      <c r="H1101"/>
      <c r="I1101" s="104"/>
    </row>
    <row r="1102" spans="1:9" x14ac:dyDescent="0.25">
      <c r="A1102" s="19"/>
      <c r="C1102"/>
      <c r="D1102" s="104"/>
      <c r="E1102"/>
      <c r="F1102"/>
      <c r="G1102"/>
      <c r="H1102"/>
      <c r="I1102" s="104"/>
    </row>
    <row r="1103" spans="1:9" x14ac:dyDescent="0.25">
      <c r="A1103" s="19"/>
      <c r="C1103"/>
      <c r="D1103" s="104"/>
      <c r="E1103"/>
      <c r="F1103"/>
      <c r="G1103"/>
      <c r="H1103"/>
      <c r="I1103" s="104"/>
    </row>
    <row r="1104" spans="1:9" x14ac:dyDescent="0.25">
      <c r="A1104" s="19"/>
      <c r="C1104"/>
      <c r="D1104" s="104"/>
      <c r="E1104"/>
      <c r="F1104"/>
      <c r="G1104"/>
      <c r="H1104"/>
      <c r="I1104" s="104"/>
    </row>
    <row r="1105" spans="1:9" x14ac:dyDescent="0.25">
      <c r="A1105" s="19"/>
      <c r="C1105"/>
      <c r="D1105" s="104"/>
      <c r="E1105"/>
      <c r="F1105"/>
      <c r="G1105"/>
      <c r="H1105"/>
      <c r="I1105" s="104"/>
    </row>
    <row r="1106" spans="1:9" x14ac:dyDescent="0.25">
      <c r="A1106" s="19"/>
      <c r="C1106"/>
      <c r="D1106" s="104"/>
      <c r="E1106"/>
      <c r="F1106"/>
      <c r="G1106"/>
      <c r="H1106"/>
      <c r="I1106" s="104"/>
    </row>
    <row r="1107" spans="1:9" x14ac:dyDescent="0.25">
      <c r="A1107" s="19"/>
      <c r="C1107"/>
      <c r="D1107" s="104"/>
      <c r="E1107"/>
      <c r="F1107"/>
      <c r="G1107"/>
      <c r="H1107"/>
      <c r="I1107" s="104"/>
    </row>
    <row r="1108" spans="1:9" x14ac:dyDescent="0.25">
      <c r="A1108" s="19"/>
      <c r="C1108"/>
      <c r="D1108" s="104"/>
      <c r="E1108"/>
      <c r="F1108"/>
      <c r="G1108"/>
      <c r="H1108"/>
      <c r="I1108" s="104"/>
    </row>
    <row r="1109" spans="1:9" x14ac:dyDescent="0.25">
      <c r="A1109" s="19"/>
      <c r="C1109"/>
      <c r="D1109" s="104"/>
      <c r="E1109"/>
      <c r="F1109"/>
      <c r="G1109"/>
      <c r="H1109"/>
      <c r="I1109" s="104"/>
    </row>
    <row r="1110" spans="1:9" x14ac:dyDescent="0.25">
      <c r="A1110" s="19"/>
      <c r="C1110"/>
      <c r="D1110" s="104"/>
      <c r="E1110"/>
      <c r="F1110"/>
      <c r="G1110"/>
      <c r="H1110"/>
      <c r="I1110" s="104"/>
    </row>
    <row r="1111" spans="1:9" x14ac:dyDescent="0.25">
      <c r="A1111" s="19"/>
      <c r="C1111"/>
      <c r="D1111" s="104"/>
      <c r="E1111"/>
      <c r="F1111"/>
      <c r="G1111"/>
      <c r="H1111"/>
      <c r="I1111" s="104"/>
    </row>
    <row r="1112" spans="1:9" x14ac:dyDescent="0.25">
      <c r="A1112" s="19"/>
      <c r="C1112"/>
      <c r="D1112" s="104"/>
      <c r="E1112"/>
      <c r="F1112"/>
      <c r="G1112"/>
      <c r="H1112"/>
      <c r="I1112" s="104"/>
    </row>
    <row r="1113" spans="1:9" x14ac:dyDescent="0.25">
      <c r="A1113" s="19"/>
      <c r="C1113"/>
      <c r="D1113" s="104"/>
      <c r="E1113"/>
      <c r="F1113"/>
      <c r="G1113"/>
      <c r="H1113"/>
      <c r="I1113" s="104"/>
    </row>
    <row r="1114" spans="1:9" x14ac:dyDescent="0.25">
      <c r="A1114" s="19"/>
      <c r="C1114"/>
      <c r="D1114" s="104"/>
      <c r="E1114"/>
      <c r="F1114"/>
      <c r="G1114"/>
      <c r="H1114"/>
      <c r="I1114" s="104"/>
    </row>
    <row r="1115" spans="1:9" x14ac:dyDescent="0.25">
      <c r="A1115" s="19"/>
      <c r="C1115"/>
      <c r="D1115" s="104"/>
      <c r="E1115"/>
      <c r="F1115"/>
      <c r="G1115"/>
      <c r="H1115"/>
      <c r="I1115" s="104"/>
    </row>
    <row r="1116" spans="1:9" x14ac:dyDescent="0.25">
      <c r="A1116" s="19"/>
      <c r="C1116"/>
      <c r="D1116" s="104"/>
      <c r="E1116"/>
      <c r="F1116"/>
      <c r="G1116"/>
      <c r="H1116"/>
      <c r="I1116" s="104"/>
    </row>
    <row r="1117" spans="1:9" x14ac:dyDescent="0.25">
      <c r="A1117" s="19"/>
      <c r="C1117"/>
      <c r="D1117" s="104"/>
      <c r="E1117"/>
      <c r="F1117"/>
      <c r="G1117"/>
      <c r="H1117"/>
      <c r="I1117" s="104"/>
    </row>
    <row r="1118" spans="1:9" x14ac:dyDescent="0.25">
      <c r="A1118" s="19"/>
      <c r="C1118"/>
      <c r="D1118" s="104"/>
      <c r="E1118"/>
      <c r="F1118"/>
      <c r="G1118"/>
      <c r="H1118"/>
      <c r="I1118" s="104"/>
    </row>
    <row r="1119" spans="1:9" x14ac:dyDescent="0.25">
      <c r="A1119" s="19"/>
      <c r="C1119"/>
      <c r="D1119" s="104"/>
      <c r="E1119"/>
      <c r="F1119"/>
      <c r="G1119"/>
      <c r="H1119"/>
      <c r="I1119" s="104"/>
    </row>
    <row r="1120" spans="1:9" x14ac:dyDescent="0.25">
      <c r="A1120" s="19"/>
      <c r="C1120"/>
      <c r="D1120" s="104"/>
      <c r="E1120"/>
      <c r="F1120"/>
      <c r="G1120"/>
      <c r="H1120"/>
      <c r="I1120" s="104"/>
    </row>
    <row r="1121" spans="1:9" x14ac:dyDescent="0.25">
      <c r="A1121" s="19"/>
      <c r="C1121"/>
      <c r="D1121" s="104"/>
      <c r="E1121"/>
      <c r="F1121"/>
      <c r="G1121"/>
      <c r="H1121"/>
      <c r="I1121" s="104"/>
    </row>
    <row r="1122" spans="1:9" x14ac:dyDescent="0.25">
      <c r="A1122" s="19"/>
      <c r="C1122"/>
      <c r="D1122" s="104"/>
      <c r="E1122"/>
      <c r="F1122"/>
      <c r="G1122"/>
      <c r="H1122"/>
      <c r="I1122" s="104"/>
    </row>
    <row r="1123" spans="1:9" x14ac:dyDescent="0.25">
      <c r="A1123" s="19"/>
      <c r="C1123"/>
      <c r="D1123" s="104"/>
      <c r="E1123"/>
      <c r="F1123"/>
      <c r="G1123"/>
      <c r="H1123"/>
      <c r="I1123" s="104"/>
    </row>
    <row r="1124" spans="1:9" x14ac:dyDescent="0.25">
      <c r="A1124" s="19"/>
      <c r="C1124"/>
      <c r="D1124" s="104"/>
      <c r="E1124"/>
      <c r="F1124"/>
      <c r="G1124"/>
      <c r="H1124"/>
      <c r="I1124" s="104"/>
    </row>
    <row r="1125" spans="1:9" x14ac:dyDescent="0.25">
      <c r="A1125" s="19"/>
      <c r="C1125"/>
      <c r="D1125" s="104"/>
      <c r="E1125"/>
      <c r="F1125"/>
      <c r="G1125"/>
      <c r="H1125"/>
      <c r="I1125" s="104"/>
    </row>
    <row r="1126" spans="1:9" x14ac:dyDescent="0.25">
      <c r="A1126" s="19"/>
      <c r="C1126"/>
      <c r="D1126" s="104"/>
      <c r="E1126"/>
      <c r="F1126"/>
      <c r="G1126"/>
      <c r="H1126"/>
      <c r="I1126" s="104"/>
    </row>
    <row r="1127" spans="1:9" x14ac:dyDescent="0.25">
      <c r="A1127" s="19"/>
      <c r="C1127"/>
      <c r="D1127" s="104"/>
      <c r="E1127"/>
      <c r="F1127"/>
      <c r="G1127"/>
      <c r="H1127"/>
      <c r="I1127" s="104"/>
    </row>
    <row r="1128" spans="1:9" x14ac:dyDescent="0.25">
      <c r="A1128" s="19"/>
      <c r="C1128"/>
      <c r="D1128" s="104"/>
      <c r="E1128"/>
      <c r="F1128"/>
      <c r="G1128"/>
      <c r="H1128"/>
      <c r="I1128" s="104"/>
    </row>
    <row r="1129" spans="1:9" x14ac:dyDescent="0.25">
      <c r="A1129" s="19"/>
      <c r="C1129"/>
      <c r="D1129" s="104"/>
      <c r="E1129"/>
      <c r="F1129"/>
      <c r="G1129"/>
      <c r="H1129"/>
      <c r="I1129" s="104"/>
    </row>
    <row r="1130" spans="1:9" x14ac:dyDescent="0.25">
      <c r="A1130" s="19"/>
      <c r="C1130"/>
      <c r="D1130" s="104"/>
      <c r="E1130"/>
      <c r="F1130"/>
      <c r="G1130"/>
      <c r="H1130"/>
      <c r="I1130" s="104"/>
    </row>
    <row r="1131" spans="1:9" x14ac:dyDescent="0.25">
      <c r="A1131" s="19"/>
      <c r="C1131"/>
      <c r="D1131" s="104"/>
      <c r="E1131"/>
      <c r="F1131"/>
      <c r="G1131"/>
      <c r="H1131"/>
      <c r="I1131" s="104"/>
    </row>
    <row r="1132" spans="1:9" x14ac:dyDescent="0.25">
      <c r="A1132" s="19"/>
      <c r="C1132"/>
      <c r="D1132" s="104"/>
      <c r="E1132"/>
      <c r="F1132"/>
      <c r="G1132"/>
      <c r="H1132"/>
      <c r="I1132" s="104"/>
    </row>
    <row r="1133" spans="1:9" x14ac:dyDescent="0.25">
      <c r="A1133" s="19"/>
      <c r="C1133"/>
      <c r="D1133" s="104"/>
      <c r="E1133"/>
      <c r="F1133"/>
      <c r="G1133"/>
      <c r="H1133"/>
      <c r="I1133" s="104"/>
    </row>
    <row r="1134" spans="1:9" x14ac:dyDescent="0.25">
      <c r="A1134" s="19"/>
      <c r="C1134"/>
      <c r="D1134" s="104"/>
      <c r="E1134"/>
      <c r="F1134"/>
      <c r="G1134"/>
      <c r="H1134"/>
      <c r="I1134" s="104"/>
    </row>
    <row r="1135" spans="1:9" x14ac:dyDescent="0.25">
      <c r="A1135" s="19"/>
      <c r="C1135"/>
      <c r="D1135" s="104"/>
      <c r="E1135"/>
      <c r="F1135"/>
      <c r="G1135"/>
      <c r="H1135"/>
      <c r="I1135" s="104"/>
    </row>
    <row r="1136" spans="1:9" x14ac:dyDescent="0.25">
      <c r="A1136" s="19"/>
      <c r="C1136"/>
      <c r="D1136" s="104"/>
      <c r="E1136"/>
      <c r="F1136"/>
      <c r="G1136"/>
      <c r="H1136"/>
      <c r="I1136" s="104"/>
    </row>
    <row r="1137" spans="1:9" x14ac:dyDescent="0.25">
      <c r="A1137" s="19"/>
      <c r="C1137"/>
      <c r="D1137" s="104"/>
      <c r="E1137"/>
      <c r="F1137"/>
      <c r="G1137"/>
      <c r="H1137"/>
      <c r="I1137" s="104"/>
    </row>
    <row r="1138" spans="1:9" x14ac:dyDescent="0.25">
      <c r="A1138" s="19"/>
      <c r="C1138"/>
      <c r="D1138" s="104"/>
      <c r="E1138"/>
      <c r="F1138"/>
      <c r="G1138"/>
      <c r="H1138"/>
      <c r="I1138" s="104"/>
    </row>
    <row r="1139" spans="1:9" x14ac:dyDescent="0.25">
      <c r="A1139" s="19"/>
      <c r="C1139"/>
      <c r="D1139" s="104"/>
      <c r="E1139"/>
      <c r="F1139"/>
      <c r="G1139"/>
      <c r="H1139"/>
      <c r="I1139" s="104"/>
    </row>
    <row r="1140" spans="1:9" x14ac:dyDescent="0.25">
      <c r="A1140" s="19"/>
      <c r="C1140"/>
      <c r="D1140" s="104"/>
      <c r="E1140"/>
      <c r="F1140"/>
      <c r="G1140"/>
      <c r="H1140"/>
      <c r="I1140" s="104"/>
    </row>
    <row r="1141" spans="1:9" x14ac:dyDescent="0.25">
      <c r="A1141" s="19"/>
      <c r="C1141"/>
      <c r="D1141" s="104"/>
      <c r="E1141"/>
      <c r="F1141"/>
      <c r="G1141"/>
      <c r="H1141"/>
      <c r="I1141" s="104"/>
    </row>
    <row r="1142" spans="1:9" x14ac:dyDescent="0.25">
      <c r="A1142" s="19"/>
      <c r="C1142"/>
      <c r="D1142" s="104"/>
      <c r="E1142"/>
      <c r="F1142"/>
      <c r="G1142"/>
      <c r="H1142"/>
      <c r="I1142" s="104"/>
    </row>
    <row r="1143" spans="1:9" x14ac:dyDescent="0.25">
      <c r="A1143" s="19"/>
      <c r="C1143"/>
      <c r="D1143" s="104"/>
      <c r="E1143"/>
      <c r="F1143"/>
      <c r="G1143"/>
      <c r="H1143"/>
      <c r="I1143" s="104"/>
    </row>
    <row r="1144" spans="1:9" x14ac:dyDescent="0.25">
      <c r="A1144" s="19"/>
      <c r="C1144"/>
      <c r="D1144" s="104"/>
      <c r="E1144"/>
      <c r="F1144"/>
      <c r="G1144"/>
      <c r="H1144"/>
      <c r="I1144" s="104"/>
    </row>
    <row r="1145" spans="1:9" x14ac:dyDescent="0.25">
      <c r="A1145" s="19"/>
      <c r="C1145"/>
      <c r="D1145" s="104"/>
      <c r="E1145"/>
      <c r="F1145"/>
      <c r="G1145"/>
      <c r="H1145"/>
      <c r="I1145" s="104"/>
    </row>
    <row r="1146" spans="1:9" x14ac:dyDescent="0.25">
      <c r="A1146" s="19"/>
      <c r="C1146"/>
      <c r="D1146" s="104"/>
      <c r="E1146"/>
      <c r="F1146"/>
      <c r="G1146"/>
      <c r="H1146"/>
      <c r="I1146" s="104"/>
    </row>
    <row r="1147" spans="1:9" x14ac:dyDescent="0.25">
      <c r="A1147" s="19"/>
      <c r="C1147"/>
      <c r="D1147" s="104"/>
      <c r="E1147"/>
      <c r="F1147"/>
      <c r="G1147"/>
      <c r="H1147"/>
      <c r="I1147" s="104"/>
    </row>
    <row r="1148" spans="1:9" x14ac:dyDescent="0.25">
      <c r="A1148" s="19"/>
      <c r="C1148"/>
      <c r="D1148" s="104"/>
      <c r="E1148"/>
      <c r="F1148"/>
      <c r="G1148"/>
      <c r="H1148"/>
      <c r="I1148" s="104"/>
    </row>
    <row r="1149" spans="1:9" x14ac:dyDescent="0.25">
      <c r="A1149" s="19"/>
      <c r="C1149"/>
      <c r="D1149" s="104"/>
      <c r="E1149"/>
      <c r="F1149"/>
      <c r="G1149"/>
      <c r="H1149"/>
      <c r="I1149" s="104"/>
    </row>
    <row r="1150" spans="1:9" x14ac:dyDescent="0.25">
      <c r="C1150"/>
      <c r="D1150" s="104"/>
      <c r="E1150"/>
      <c r="F1150"/>
      <c r="G1150"/>
      <c r="H1150"/>
      <c r="I1150" s="104"/>
    </row>
    <row r="1151" spans="1:9" x14ac:dyDescent="0.25">
      <c r="C1151"/>
      <c r="D1151" s="104"/>
      <c r="E1151"/>
      <c r="F1151"/>
      <c r="G1151"/>
      <c r="H1151"/>
      <c r="I1151" s="104"/>
    </row>
    <row r="1152" spans="1:9" x14ac:dyDescent="0.25">
      <c r="C1152"/>
      <c r="D1152" s="104"/>
      <c r="E1152"/>
      <c r="F1152"/>
      <c r="G1152"/>
      <c r="H1152"/>
      <c r="I1152" s="104"/>
    </row>
    <row r="1153" spans="3:9" x14ac:dyDescent="0.25">
      <c r="C1153"/>
      <c r="D1153" s="104"/>
      <c r="E1153"/>
      <c r="F1153"/>
      <c r="G1153"/>
      <c r="H1153"/>
      <c r="I1153" s="104"/>
    </row>
    <row r="1154" spans="3:9" x14ac:dyDescent="0.25">
      <c r="C1154"/>
      <c r="D1154" s="104"/>
      <c r="E1154"/>
      <c r="F1154"/>
      <c r="G1154"/>
      <c r="H1154"/>
      <c r="I1154" s="10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4" width="22" style="1" customWidth="1"/>
    <col min="5" max="5" width="12.85546875" style="1" customWidth="1"/>
    <col min="6" max="6" width="11.5703125" style="104" customWidth="1"/>
    <col min="7" max="16384" width="9.140625" style="104"/>
  </cols>
  <sheetData>
    <row r="1" spans="1:6" s="1" customFormat="1" ht="23.25" x14ac:dyDescent="0.35">
      <c r="A1" s="171" t="s">
        <v>1168</v>
      </c>
      <c r="C1" s="2" t="s">
        <v>0</v>
      </c>
      <c r="D1" s="2"/>
      <c r="E1" s="113" t="s">
        <v>1169</v>
      </c>
      <c r="F1" s="114"/>
    </row>
    <row r="2" spans="1:6" s="2" customFormat="1" x14ac:dyDescent="0.25">
      <c r="A2" s="171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6"/>
      <c r="F3" s="47"/>
    </row>
    <row r="4" spans="1:6" s="1" customFormat="1" ht="135.75" customHeight="1" x14ac:dyDescent="0.25">
      <c r="A4" s="3"/>
      <c r="C4" s="7" t="s">
        <v>36</v>
      </c>
      <c r="D4" s="7" t="s">
        <v>1102</v>
      </c>
      <c r="E4" s="8" t="s">
        <v>1371</v>
      </c>
      <c r="F4" s="9" t="s">
        <v>1170</v>
      </c>
    </row>
    <row r="5" spans="1:6" x14ac:dyDescent="0.25">
      <c r="A5" s="14"/>
      <c r="C5" s="1" t="s">
        <v>1101</v>
      </c>
      <c r="F5" s="60">
        <f>SUBTOTAL(109,impatt[plhiv_fy19])</f>
        <v>0</v>
      </c>
    </row>
    <row r="6" spans="1:6" x14ac:dyDescent="0.25">
      <c r="A6" s="14"/>
      <c r="C6" s="26" t="s">
        <v>55</v>
      </c>
      <c r="D6" s="26" t="s">
        <v>3</v>
      </c>
      <c r="E6" s="26" t="s">
        <v>1460</v>
      </c>
      <c r="F6" s="26" t="s">
        <v>1459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4"/>
      <c r="D12" s="104"/>
      <c r="E12" s="104"/>
    </row>
    <row r="13" spans="1:6" x14ac:dyDescent="0.25">
      <c r="A13" s="16"/>
      <c r="C13" s="104"/>
      <c r="D13" s="104"/>
      <c r="E13" s="104"/>
    </row>
    <row r="14" spans="1:6" x14ac:dyDescent="0.25">
      <c r="A14" s="16"/>
      <c r="C14" s="104"/>
      <c r="D14" s="104"/>
      <c r="E14" s="104"/>
    </row>
    <row r="15" spans="1:6" x14ac:dyDescent="0.25">
      <c r="A15" s="16"/>
      <c r="C15" s="104"/>
      <c r="D15" s="104"/>
      <c r="E15" s="104"/>
    </row>
    <row r="16" spans="1:6" x14ac:dyDescent="0.25">
      <c r="A16" s="16"/>
      <c r="C16" s="104"/>
      <c r="D16" s="104"/>
      <c r="E16" s="104"/>
    </row>
    <row r="17" spans="1:5" x14ac:dyDescent="0.25">
      <c r="A17" s="16"/>
      <c r="C17" s="104"/>
      <c r="D17" s="104"/>
      <c r="E17" s="104"/>
    </row>
    <row r="18" spans="1:5" x14ac:dyDescent="0.25">
      <c r="A18" s="16"/>
      <c r="C18" s="104"/>
      <c r="D18" s="104"/>
      <c r="E18" s="104"/>
    </row>
    <row r="19" spans="1:5" x14ac:dyDescent="0.25">
      <c r="A19" s="16"/>
      <c r="C19" s="104"/>
      <c r="D19" s="104"/>
      <c r="E19" s="104"/>
    </row>
    <row r="20" spans="1:5" x14ac:dyDescent="0.25">
      <c r="A20" s="16"/>
      <c r="C20" s="104"/>
      <c r="D20" s="104"/>
      <c r="E20" s="104"/>
    </row>
    <row r="21" spans="1:5" x14ac:dyDescent="0.25">
      <c r="A21" s="16"/>
      <c r="C21" s="104"/>
      <c r="D21" s="104"/>
      <c r="E21" s="104"/>
    </row>
    <row r="22" spans="1:5" x14ac:dyDescent="0.25">
      <c r="A22" s="16"/>
      <c r="C22" s="104"/>
      <c r="D22" s="104"/>
      <c r="E22" s="104"/>
    </row>
    <row r="23" spans="1:5" x14ac:dyDescent="0.25">
      <c r="A23" s="16"/>
      <c r="C23" s="104"/>
      <c r="D23" s="104"/>
      <c r="E23" s="104"/>
    </row>
    <row r="24" spans="1:5" x14ac:dyDescent="0.25">
      <c r="A24" s="16"/>
      <c r="C24" s="104"/>
      <c r="D24" s="104"/>
      <c r="E24" s="104"/>
    </row>
    <row r="25" spans="1:5" x14ac:dyDescent="0.25">
      <c r="A25" s="16"/>
      <c r="C25" s="104"/>
      <c r="D25" s="104"/>
      <c r="E25" s="104"/>
    </row>
    <row r="26" spans="1:5" x14ac:dyDescent="0.25">
      <c r="A26" s="16"/>
      <c r="C26" s="104"/>
      <c r="D26" s="104"/>
      <c r="E26" s="104"/>
    </row>
    <row r="27" spans="1:5" x14ac:dyDescent="0.25">
      <c r="A27" s="16"/>
      <c r="C27" s="104"/>
      <c r="D27" s="104"/>
      <c r="E27" s="104"/>
    </row>
    <row r="28" spans="1:5" x14ac:dyDescent="0.25">
      <c r="A28" s="16"/>
      <c r="C28" s="104"/>
      <c r="D28" s="104"/>
      <c r="E28" s="104"/>
    </row>
    <row r="29" spans="1:5" x14ac:dyDescent="0.25">
      <c r="A29" s="16"/>
      <c r="C29" s="104"/>
      <c r="D29" s="104"/>
      <c r="E29" s="104"/>
    </row>
    <row r="30" spans="1:5" x14ac:dyDescent="0.25">
      <c r="A30" s="16"/>
      <c r="C30" s="104"/>
      <c r="D30" s="104"/>
      <c r="E30" s="104"/>
    </row>
    <row r="31" spans="1:5" x14ac:dyDescent="0.25">
      <c r="A31" s="16"/>
      <c r="C31" s="104"/>
      <c r="D31" s="104"/>
      <c r="E31" s="104"/>
    </row>
    <row r="32" spans="1:5" x14ac:dyDescent="0.25">
      <c r="A32" s="16"/>
      <c r="C32" s="104"/>
      <c r="D32" s="104"/>
      <c r="E32" s="104"/>
    </row>
    <row r="33" spans="1:5" x14ac:dyDescent="0.25">
      <c r="A33" s="16"/>
      <c r="C33" s="104"/>
      <c r="D33" s="104"/>
      <c r="E33" s="104"/>
    </row>
    <row r="34" spans="1:5" x14ac:dyDescent="0.25">
      <c r="A34" s="16"/>
      <c r="C34" s="104"/>
      <c r="D34" s="104"/>
      <c r="E34" s="104"/>
    </row>
    <row r="35" spans="1:5" x14ac:dyDescent="0.25">
      <c r="A35" s="16"/>
      <c r="C35" s="104"/>
      <c r="D35" s="104"/>
      <c r="E35" s="104"/>
    </row>
    <row r="36" spans="1:5" x14ac:dyDescent="0.25">
      <c r="A36" s="16"/>
      <c r="C36" s="104"/>
      <c r="D36" s="104"/>
      <c r="E36" s="104"/>
    </row>
    <row r="37" spans="1:5" x14ac:dyDescent="0.25">
      <c r="A37" s="16"/>
      <c r="C37" s="104"/>
      <c r="D37" s="104"/>
      <c r="E37" s="104"/>
    </row>
    <row r="38" spans="1:5" x14ac:dyDescent="0.25">
      <c r="A38" s="16"/>
      <c r="C38" s="104"/>
      <c r="D38" s="104"/>
      <c r="E38" s="104"/>
    </row>
    <row r="39" spans="1:5" x14ac:dyDescent="0.25">
      <c r="A39" s="16"/>
      <c r="C39" s="104"/>
      <c r="D39" s="104"/>
      <c r="E39" s="104"/>
    </row>
    <row r="40" spans="1:5" x14ac:dyDescent="0.25">
      <c r="A40" s="16"/>
      <c r="C40" s="104"/>
      <c r="D40" s="104"/>
      <c r="E40" s="104"/>
    </row>
    <row r="41" spans="1:5" x14ac:dyDescent="0.25">
      <c r="A41" s="16"/>
      <c r="C41" s="104"/>
      <c r="D41" s="104"/>
      <c r="E41" s="104"/>
    </row>
    <row r="42" spans="1:5" x14ac:dyDescent="0.25">
      <c r="A42" s="16"/>
      <c r="C42" s="104"/>
      <c r="D42" s="104"/>
      <c r="E42" s="104"/>
    </row>
    <row r="43" spans="1:5" x14ac:dyDescent="0.25">
      <c r="A43" s="16"/>
      <c r="C43" s="104"/>
      <c r="D43" s="104"/>
      <c r="E43" s="104"/>
    </row>
    <row r="44" spans="1:5" x14ac:dyDescent="0.25">
      <c r="A44" s="16"/>
      <c r="C44" s="104"/>
      <c r="D44" s="104"/>
      <c r="E44" s="104"/>
    </row>
    <row r="45" spans="1:5" x14ac:dyDescent="0.25">
      <c r="A45" s="16"/>
      <c r="C45" s="104"/>
      <c r="D45" s="104"/>
      <c r="E45" s="104"/>
    </row>
    <row r="46" spans="1:5" x14ac:dyDescent="0.25">
      <c r="A46" s="16"/>
      <c r="C46" s="104"/>
      <c r="D46" s="104"/>
      <c r="E46" s="104"/>
    </row>
    <row r="47" spans="1:5" x14ac:dyDescent="0.25">
      <c r="A47" s="16"/>
      <c r="C47" s="104"/>
      <c r="D47" s="104"/>
      <c r="E47" s="104"/>
    </row>
    <row r="48" spans="1:5" x14ac:dyDescent="0.25">
      <c r="A48" s="16"/>
      <c r="C48" s="104"/>
      <c r="D48" s="104"/>
      <c r="E48" s="104"/>
    </row>
    <row r="49" spans="1:5" x14ac:dyDescent="0.25">
      <c r="A49" s="16"/>
      <c r="C49" s="104"/>
      <c r="D49" s="104"/>
      <c r="E49" s="104"/>
    </row>
    <row r="50" spans="1:5" x14ac:dyDescent="0.25">
      <c r="A50" s="16"/>
      <c r="C50" s="104"/>
      <c r="D50" s="104"/>
      <c r="E50" s="104"/>
    </row>
    <row r="51" spans="1:5" x14ac:dyDescent="0.25">
      <c r="A51" s="16"/>
      <c r="C51" s="104"/>
      <c r="D51" s="104"/>
      <c r="E51" s="104"/>
    </row>
    <row r="52" spans="1:5" x14ac:dyDescent="0.25">
      <c r="A52" s="16"/>
      <c r="C52" s="104"/>
      <c r="D52" s="104"/>
      <c r="E52" s="104"/>
    </row>
    <row r="53" spans="1:5" x14ac:dyDescent="0.25">
      <c r="A53" s="16"/>
      <c r="C53" s="104"/>
      <c r="D53" s="104"/>
      <c r="E53" s="104"/>
    </row>
    <row r="54" spans="1:5" x14ac:dyDescent="0.25">
      <c r="A54" s="16"/>
      <c r="C54" s="104"/>
      <c r="D54" s="104"/>
      <c r="E54" s="104"/>
    </row>
    <row r="55" spans="1:5" x14ac:dyDescent="0.25">
      <c r="A55" s="16"/>
      <c r="C55" s="104"/>
      <c r="D55" s="104"/>
      <c r="E55" s="104"/>
    </row>
    <row r="56" spans="1:5" x14ac:dyDescent="0.25">
      <c r="A56" s="16"/>
      <c r="C56" s="104"/>
      <c r="D56" s="104"/>
      <c r="E56" s="104"/>
    </row>
    <row r="57" spans="1:5" x14ac:dyDescent="0.25">
      <c r="A57" s="16"/>
      <c r="C57" s="104"/>
      <c r="D57" s="104"/>
      <c r="E57" s="104"/>
    </row>
    <row r="58" spans="1:5" x14ac:dyDescent="0.25">
      <c r="A58" s="16"/>
      <c r="C58" s="104"/>
      <c r="D58" s="104"/>
      <c r="E58" s="104"/>
    </row>
    <row r="59" spans="1:5" x14ac:dyDescent="0.25">
      <c r="A59" s="16"/>
      <c r="C59" s="104"/>
      <c r="D59" s="104"/>
      <c r="E59" s="104"/>
    </row>
    <row r="60" spans="1:5" x14ac:dyDescent="0.25">
      <c r="A60" s="16"/>
      <c r="C60" s="104"/>
      <c r="D60" s="104"/>
      <c r="E60" s="104"/>
    </row>
    <row r="61" spans="1:5" x14ac:dyDescent="0.25">
      <c r="A61" s="16"/>
      <c r="C61" s="104"/>
      <c r="D61" s="104"/>
      <c r="E61" s="104"/>
    </row>
    <row r="62" spans="1:5" x14ac:dyDescent="0.25">
      <c r="A62" s="16"/>
      <c r="C62" s="104"/>
      <c r="D62" s="104"/>
      <c r="E62" s="104"/>
    </row>
    <row r="63" spans="1:5" x14ac:dyDescent="0.25">
      <c r="A63" s="16"/>
      <c r="C63" s="104"/>
      <c r="D63" s="104"/>
      <c r="E63" s="104"/>
    </row>
    <row r="64" spans="1:5" x14ac:dyDescent="0.25">
      <c r="A64" s="16"/>
      <c r="C64" s="104"/>
      <c r="D64" s="104"/>
      <c r="E64" s="104"/>
    </row>
    <row r="65" spans="1:5" x14ac:dyDescent="0.25">
      <c r="A65" s="16"/>
      <c r="C65" s="104"/>
      <c r="D65" s="104"/>
      <c r="E65" s="104"/>
    </row>
    <row r="66" spans="1:5" x14ac:dyDescent="0.25">
      <c r="A66" s="16"/>
      <c r="C66" s="104"/>
      <c r="D66" s="104"/>
      <c r="E66" s="104"/>
    </row>
    <row r="67" spans="1:5" x14ac:dyDescent="0.25">
      <c r="A67" s="16"/>
      <c r="C67" s="104"/>
      <c r="D67" s="104"/>
      <c r="E67" s="104"/>
    </row>
    <row r="68" spans="1:5" x14ac:dyDescent="0.25">
      <c r="A68" s="16"/>
      <c r="C68" s="104"/>
      <c r="D68" s="104"/>
      <c r="E68" s="104"/>
    </row>
    <row r="69" spans="1:5" x14ac:dyDescent="0.25">
      <c r="A69" s="16"/>
      <c r="C69" s="104"/>
      <c r="D69" s="104"/>
      <c r="E69" s="104"/>
    </row>
    <row r="70" spans="1:5" x14ac:dyDescent="0.25">
      <c r="A70" s="16"/>
      <c r="C70" s="104"/>
      <c r="D70" s="104"/>
      <c r="E70" s="104"/>
    </row>
    <row r="71" spans="1:5" x14ac:dyDescent="0.25">
      <c r="A71" s="16"/>
      <c r="C71" s="104"/>
      <c r="D71" s="104"/>
      <c r="E71" s="104"/>
    </row>
    <row r="72" spans="1:5" x14ac:dyDescent="0.25">
      <c r="A72" s="16"/>
      <c r="C72" s="104"/>
      <c r="D72" s="104"/>
      <c r="E72" s="104"/>
    </row>
    <row r="73" spans="1:5" x14ac:dyDescent="0.25">
      <c r="A73" s="16"/>
      <c r="C73" s="104"/>
      <c r="D73" s="104"/>
      <c r="E73" s="104"/>
    </row>
    <row r="74" spans="1:5" x14ac:dyDescent="0.25">
      <c r="A74" s="16"/>
      <c r="C74" s="104"/>
      <c r="D74" s="104"/>
      <c r="E74" s="104"/>
    </row>
    <row r="75" spans="1:5" x14ac:dyDescent="0.25">
      <c r="A75" s="16"/>
      <c r="C75" s="104"/>
      <c r="D75" s="104"/>
      <c r="E75" s="104"/>
    </row>
    <row r="76" spans="1:5" x14ac:dyDescent="0.25">
      <c r="A76" s="16"/>
      <c r="C76" s="104"/>
      <c r="D76" s="104"/>
      <c r="E76" s="104"/>
    </row>
    <row r="77" spans="1:5" x14ac:dyDescent="0.25">
      <c r="A77" s="16"/>
      <c r="C77" s="104"/>
      <c r="D77" s="104"/>
      <c r="E77" s="104"/>
    </row>
    <row r="78" spans="1:5" x14ac:dyDescent="0.25">
      <c r="A78" s="16"/>
      <c r="C78" s="104"/>
      <c r="D78" s="104"/>
      <c r="E78" s="104"/>
    </row>
    <row r="79" spans="1:5" x14ac:dyDescent="0.25">
      <c r="A79" s="16"/>
      <c r="C79" s="104"/>
      <c r="D79" s="104"/>
      <c r="E79" s="104"/>
    </row>
    <row r="80" spans="1:5" x14ac:dyDescent="0.25">
      <c r="A80" s="16"/>
      <c r="C80" s="104"/>
      <c r="D80" s="104"/>
      <c r="E80" s="104"/>
    </row>
    <row r="81" spans="1:5" x14ac:dyDescent="0.25">
      <c r="A81" s="16"/>
      <c r="C81" s="104"/>
      <c r="D81" s="104"/>
      <c r="E81" s="104"/>
    </row>
    <row r="82" spans="1:5" x14ac:dyDescent="0.25">
      <c r="A82" s="16"/>
      <c r="C82" s="104"/>
      <c r="D82" s="104"/>
      <c r="E82" s="104"/>
    </row>
    <row r="83" spans="1:5" x14ac:dyDescent="0.25">
      <c r="A83" s="16"/>
      <c r="C83" s="104"/>
      <c r="D83" s="104"/>
      <c r="E83" s="104"/>
    </row>
    <row r="84" spans="1:5" x14ac:dyDescent="0.25">
      <c r="A84" s="16"/>
      <c r="C84" s="104"/>
      <c r="D84" s="104"/>
      <c r="E84" s="104"/>
    </row>
    <row r="85" spans="1:5" x14ac:dyDescent="0.25">
      <c r="A85" s="16"/>
      <c r="C85" s="104"/>
      <c r="D85" s="104"/>
      <c r="E85" s="104"/>
    </row>
    <row r="86" spans="1:5" x14ac:dyDescent="0.25">
      <c r="A86" s="16"/>
      <c r="C86" s="104"/>
      <c r="D86" s="104"/>
      <c r="E86" s="104"/>
    </row>
    <row r="87" spans="1:5" x14ac:dyDescent="0.25">
      <c r="A87" s="16"/>
      <c r="C87" s="104"/>
      <c r="D87" s="104"/>
      <c r="E87" s="104"/>
    </row>
    <row r="88" spans="1:5" x14ac:dyDescent="0.25">
      <c r="A88" s="16"/>
      <c r="C88" s="104"/>
      <c r="D88" s="104"/>
      <c r="E88" s="104"/>
    </row>
    <row r="89" spans="1:5" x14ac:dyDescent="0.25">
      <c r="A89" s="16"/>
      <c r="C89" s="104"/>
      <c r="D89" s="104"/>
      <c r="E89" s="104"/>
    </row>
    <row r="90" spans="1:5" x14ac:dyDescent="0.25">
      <c r="A90" s="16"/>
      <c r="C90" s="104"/>
      <c r="D90" s="104"/>
      <c r="E90" s="104"/>
    </row>
    <row r="91" spans="1:5" x14ac:dyDescent="0.25">
      <c r="A91" s="16"/>
      <c r="C91" s="104"/>
      <c r="D91" s="104"/>
      <c r="E91" s="104"/>
    </row>
    <row r="92" spans="1:5" x14ac:dyDescent="0.25">
      <c r="A92" s="16"/>
      <c r="C92" s="104"/>
      <c r="D92" s="104"/>
      <c r="E92" s="104"/>
    </row>
    <row r="93" spans="1:5" x14ac:dyDescent="0.25">
      <c r="A93" s="16"/>
      <c r="C93" s="104"/>
      <c r="D93" s="104"/>
      <c r="E93" s="104"/>
    </row>
    <row r="94" spans="1:5" x14ac:dyDescent="0.25">
      <c r="A94" s="16"/>
      <c r="C94" s="104"/>
      <c r="D94" s="104"/>
      <c r="E94" s="104"/>
    </row>
    <row r="95" spans="1:5" x14ac:dyDescent="0.25">
      <c r="A95" s="16"/>
      <c r="C95" s="104"/>
      <c r="D95" s="104"/>
      <c r="E95" s="104"/>
    </row>
    <row r="96" spans="1:5" x14ac:dyDescent="0.25">
      <c r="A96" s="16"/>
      <c r="C96" s="104"/>
      <c r="D96" s="104"/>
      <c r="E96" s="104"/>
    </row>
    <row r="97" spans="1:5" x14ac:dyDescent="0.25">
      <c r="A97" s="16"/>
      <c r="C97" s="104"/>
      <c r="D97" s="104"/>
      <c r="E97" s="104"/>
    </row>
    <row r="98" spans="1:5" x14ac:dyDescent="0.25">
      <c r="A98" s="16"/>
      <c r="C98" s="104"/>
      <c r="D98" s="104"/>
      <c r="E98" s="104"/>
    </row>
    <row r="99" spans="1:5" x14ac:dyDescent="0.25">
      <c r="A99" s="16"/>
      <c r="C99" s="104"/>
      <c r="D99" s="104"/>
      <c r="E99" s="104"/>
    </row>
    <row r="100" spans="1:5" x14ac:dyDescent="0.25">
      <c r="A100" s="16"/>
      <c r="C100" s="104"/>
      <c r="D100" s="104"/>
      <c r="E100" s="104"/>
    </row>
    <row r="101" spans="1:5" x14ac:dyDescent="0.25">
      <c r="A101" s="16"/>
      <c r="C101" s="104"/>
      <c r="D101" s="104"/>
      <c r="E101" s="104"/>
    </row>
    <row r="102" spans="1:5" x14ac:dyDescent="0.25">
      <c r="A102" s="16"/>
      <c r="C102" s="104"/>
      <c r="D102" s="104"/>
      <c r="E102" s="104"/>
    </row>
    <row r="103" spans="1:5" x14ac:dyDescent="0.25">
      <c r="A103" s="16"/>
      <c r="C103" s="104"/>
      <c r="D103" s="104"/>
      <c r="E103" s="104"/>
    </row>
    <row r="104" spans="1:5" x14ac:dyDescent="0.25">
      <c r="A104" s="16"/>
      <c r="C104" s="104"/>
      <c r="D104" s="104"/>
      <c r="E104" s="104"/>
    </row>
    <row r="105" spans="1:5" x14ac:dyDescent="0.25">
      <c r="A105" s="16"/>
      <c r="C105" s="104"/>
      <c r="D105" s="104"/>
      <c r="E105" s="104"/>
    </row>
    <row r="106" spans="1:5" x14ac:dyDescent="0.25">
      <c r="A106" s="16"/>
      <c r="C106" s="104"/>
      <c r="D106" s="104"/>
      <c r="E106" s="104"/>
    </row>
    <row r="107" spans="1:5" x14ac:dyDescent="0.25">
      <c r="A107" s="16"/>
      <c r="C107" s="104"/>
      <c r="D107" s="104"/>
      <c r="E107" s="104"/>
    </row>
    <row r="108" spans="1:5" x14ac:dyDescent="0.25">
      <c r="A108" s="16"/>
      <c r="C108" s="104"/>
      <c r="D108" s="104"/>
      <c r="E108" s="104"/>
    </row>
    <row r="109" spans="1:5" x14ac:dyDescent="0.25">
      <c r="A109" s="16"/>
      <c r="C109" s="104"/>
      <c r="D109" s="104"/>
      <c r="E109" s="104"/>
    </row>
    <row r="110" spans="1:5" x14ac:dyDescent="0.25">
      <c r="A110" s="16"/>
      <c r="C110" s="104"/>
      <c r="D110" s="104"/>
      <c r="E110" s="104"/>
    </row>
    <row r="111" spans="1:5" x14ac:dyDescent="0.25">
      <c r="A111" s="16"/>
      <c r="C111" s="104"/>
      <c r="D111" s="104"/>
      <c r="E111" s="104"/>
    </row>
    <row r="112" spans="1:5" x14ac:dyDescent="0.25">
      <c r="A112" s="16"/>
      <c r="C112" s="104"/>
      <c r="D112" s="104"/>
      <c r="E112" s="104"/>
    </row>
    <row r="113" spans="1:5" x14ac:dyDescent="0.25">
      <c r="A113" s="16"/>
      <c r="C113" s="104"/>
      <c r="D113" s="104"/>
      <c r="E113" s="104"/>
    </row>
    <row r="114" spans="1:5" x14ac:dyDescent="0.25">
      <c r="A114" s="16"/>
      <c r="C114" s="104"/>
      <c r="D114" s="104"/>
      <c r="E114" s="104"/>
    </row>
    <row r="115" spans="1:5" x14ac:dyDescent="0.25">
      <c r="A115" s="16"/>
      <c r="C115" s="104"/>
      <c r="D115" s="104"/>
      <c r="E115" s="104"/>
    </row>
    <row r="116" spans="1:5" x14ac:dyDescent="0.25">
      <c r="A116" s="16"/>
      <c r="C116" s="104"/>
      <c r="D116" s="104"/>
      <c r="E116" s="104"/>
    </row>
    <row r="117" spans="1:5" x14ac:dyDescent="0.25">
      <c r="A117" s="16"/>
      <c r="C117" s="104"/>
      <c r="D117" s="104"/>
      <c r="E117" s="104"/>
    </row>
    <row r="118" spans="1:5" x14ac:dyDescent="0.25">
      <c r="A118" s="16"/>
      <c r="C118" s="104"/>
      <c r="D118" s="104"/>
      <c r="E118" s="104"/>
    </row>
    <row r="119" spans="1:5" x14ac:dyDescent="0.25">
      <c r="A119" s="16"/>
      <c r="C119" s="104"/>
      <c r="D119" s="104"/>
      <c r="E119" s="104"/>
    </row>
    <row r="120" spans="1:5" x14ac:dyDescent="0.25">
      <c r="A120" s="16"/>
      <c r="C120" s="104"/>
      <c r="D120" s="104"/>
      <c r="E120" s="104"/>
    </row>
    <row r="121" spans="1:5" x14ac:dyDescent="0.25">
      <c r="A121" s="16"/>
      <c r="C121" s="104"/>
      <c r="D121" s="104"/>
      <c r="E121" s="104"/>
    </row>
    <row r="122" spans="1:5" x14ac:dyDescent="0.25">
      <c r="A122" s="16"/>
      <c r="C122" s="104"/>
      <c r="D122" s="104"/>
      <c r="E122" s="104"/>
    </row>
    <row r="123" spans="1:5" x14ac:dyDescent="0.25">
      <c r="A123" s="16"/>
      <c r="C123" s="104"/>
      <c r="D123" s="104"/>
      <c r="E123" s="104"/>
    </row>
    <row r="124" spans="1:5" x14ac:dyDescent="0.25">
      <c r="A124" s="16"/>
      <c r="C124" s="104"/>
      <c r="D124" s="104"/>
      <c r="E124" s="104"/>
    </row>
    <row r="125" spans="1:5" x14ac:dyDescent="0.25">
      <c r="A125" s="16"/>
      <c r="C125" s="104"/>
      <c r="D125" s="104"/>
      <c r="E125" s="104"/>
    </row>
    <row r="126" spans="1:5" x14ac:dyDescent="0.25">
      <c r="A126" s="16"/>
      <c r="C126" s="104"/>
      <c r="D126" s="104"/>
      <c r="E126" s="104"/>
    </row>
    <row r="127" spans="1:5" x14ac:dyDescent="0.25">
      <c r="A127" s="16"/>
      <c r="C127" s="104"/>
      <c r="D127" s="104"/>
      <c r="E127" s="104"/>
    </row>
    <row r="128" spans="1:5" x14ac:dyDescent="0.25">
      <c r="A128" s="16"/>
      <c r="C128" s="104"/>
      <c r="D128" s="104"/>
      <c r="E128" s="104"/>
    </row>
    <row r="129" spans="1:5" x14ac:dyDescent="0.25">
      <c r="A129" s="16"/>
      <c r="C129" s="104"/>
      <c r="D129" s="104"/>
      <c r="E129" s="104"/>
    </row>
    <row r="130" spans="1:5" x14ac:dyDescent="0.25">
      <c r="A130" s="16"/>
      <c r="C130" s="104"/>
      <c r="D130" s="104"/>
      <c r="E130" s="104"/>
    </row>
    <row r="131" spans="1:5" x14ac:dyDescent="0.25">
      <c r="A131" s="16"/>
      <c r="C131" s="104"/>
      <c r="D131" s="104"/>
      <c r="E131" s="104"/>
    </row>
    <row r="132" spans="1:5" x14ac:dyDescent="0.25">
      <c r="A132" s="16"/>
      <c r="C132" s="104"/>
      <c r="D132" s="104"/>
      <c r="E132" s="104"/>
    </row>
    <row r="133" spans="1:5" x14ac:dyDescent="0.25">
      <c r="A133" s="16"/>
      <c r="C133" s="104"/>
      <c r="D133" s="104"/>
      <c r="E133" s="104"/>
    </row>
    <row r="134" spans="1:5" x14ac:dyDescent="0.25">
      <c r="A134" s="16"/>
      <c r="C134" s="104"/>
      <c r="D134" s="104"/>
      <c r="E134" s="104"/>
    </row>
    <row r="135" spans="1:5" x14ac:dyDescent="0.25">
      <c r="A135" s="16"/>
      <c r="C135" s="104"/>
      <c r="D135" s="104"/>
      <c r="E135" s="104"/>
    </row>
    <row r="136" spans="1:5" x14ac:dyDescent="0.25">
      <c r="A136" s="16"/>
      <c r="C136" s="104"/>
      <c r="D136" s="104"/>
      <c r="E136" s="104"/>
    </row>
    <row r="137" spans="1:5" x14ac:dyDescent="0.25">
      <c r="A137" s="16"/>
      <c r="C137" s="104"/>
      <c r="D137" s="104"/>
      <c r="E137" s="104"/>
    </row>
    <row r="138" spans="1:5" x14ac:dyDescent="0.25">
      <c r="A138" s="16"/>
      <c r="C138" s="104"/>
      <c r="D138" s="104"/>
      <c r="E138" s="104"/>
    </row>
    <row r="139" spans="1:5" x14ac:dyDescent="0.25">
      <c r="A139" s="16"/>
      <c r="C139" s="104"/>
      <c r="D139" s="104"/>
      <c r="E139" s="104"/>
    </row>
    <row r="140" spans="1:5" x14ac:dyDescent="0.25">
      <c r="A140" s="16"/>
      <c r="C140" s="104"/>
      <c r="D140" s="104"/>
      <c r="E140" s="104"/>
    </row>
    <row r="141" spans="1:5" x14ac:dyDescent="0.25">
      <c r="A141" s="16"/>
      <c r="C141" s="104"/>
      <c r="D141" s="104"/>
      <c r="E141" s="104"/>
    </row>
    <row r="142" spans="1:5" x14ac:dyDescent="0.25">
      <c r="A142" s="16"/>
      <c r="C142" s="104"/>
      <c r="D142" s="104"/>
      <c r="E142" s="104"/>
    </row>
    <row r="143" spans="1:5" x14ac:dyDescent="0.25">
      <c r="A143" s="16"/>
      <c r="C143" s="104"/>
      <c r="D143" s="104"/>
      <c r="E143" s="104"/>
    </row>
    <row r="144" spans="1:5" x14ac:dyDescent="0.25">
      <c r="A144" s="16"/>
      <c r="C144" s="104"/>
      <c r="D144" s="104"/>
      <c r="E144" s="104"/>
    </row>
    <row r="145" spans="1:5" x14ac:dyDescent="0.25">
      <c r="A145" s="16"/>
      <c r="C145" s="104"/>
      <c r="D145" s="104"/>
      <c r="E145" s="104"/>
    </row>
    <row r="146" spans="1:5" x14ac:dyDescent="0.25">
      <c r="A146" s="16"/>
      <c r="C146" s="104"/>
      <c r="D146" s="104"/>
      <c r="E146" s="104"/>
    </row>
    <row r="147" spans="1:5" x14ac:dyDescent="0.25">
      <c r="A147" s="16"/>
      <c r="C147" s="104"/>
      <c r="D147" s="104"/>
      <c r="E147" s="104"/>
    </row>
    <row r="148" spans="1:5" x14ac:dyDescent="0.25">
      <c r="A148" s="16"/>
      <c r="C148" s="104"/>
      <c r="D148" s="104"/>
      <c r="E148" s="104"/>
    </row>
    <row r="149" spans="1:5" x14ac:dyDescent="0.25">
      <c r="A149" s="16"/>
      <c r="C149" s="104"/>
      <c r="D149" s="104"/>
      <c r="E149" s="104"/>
    </row>
    <row r="150" spans="1:5" x14ac:dyDescent="0.25">
      <c r="A150" s="16"/>
      <c r="C150" s="104"/>
      <c r="D150" s="104"/>
      <c r="E150" s="104"/>
    </row>
    <row r="151" spans="1:5" x14ac:dyDescent="0.25">
      <c r="A151" s="16"/>
      <c r="C151" s="104"/>
      <c r="D151" s="104"/>
      <c r="E151" s="104"/>
    </row>
    <row r="152" spans="1:5" x14ac:dyDescent="0.25">
      <c r="A152" s="16"/>
      <c r="C152" s="104"/>
      <c r="D152" s="104"/>
      <c r="E152" s="104"/>
    </row>
    <row r="153" spans="1:5" x14ac:dyDescent="0.25">
      <c r="A153" s="16"/>
      <c r="C153" s="104"/>
      <c r="D153" s="104"/>
      <c r="E153" s="104"/>
    </row>
    <row r="154" spans="1:5" x14ac:dyDescent="0.25">
      <c r="A154" s="16"/>
      <c r="C154" s="104"/>
      <c r="D154" s="104"/>
      <c r="E154" s="104"/>
    </row>
    <row r="155" spans="1:5" x14ac:dyDescent="0.25">
      <c r="A155" s="16"/>
      <c r="C155" s="104"/>
      <c r="D155" s="104"/>
      <c r="E155" s="104"/>
    </row>
    <row r="156" spans="1:5" x14ac:dyDescent="0.25">
      <c r="A156" s="16"/>
      <c r="C156" s="104"/>
      <c r="D156" s="104"/>
      <c r="E156" s="104"/>
    </row>
    <row r="157" spans="1:5" x14ac:dyDescent="0.25">
      <c r="A157" s="16"/>
      <c r="C157" s="104"/>
      <c r="D157" s="104"/>
      <c r="E157" s="104"/>
    </row>
    <row r="158" spans="1:5" x14ac:dyDescent="0.25">
      <c r="A158" s="16"/>
      <c r="C158" s="104"/>
      <c r="D158" s="104"/>
      <c r="E158" s="104"/>
    </row>
    <row r="159" spans="1:5" x14ac:dyDescent="0.25">
      <c r="A159" s="16"/>
      <c r="C159" s="104"/>
      <c r="D159" s="104"/>
      <c r="E159" s="104"/>
    </row>
    <row r="160" spans="1:5" x14ac:dyDescent="0.25">
      <c r="A160" s="16"/>
      <c r="C160" s="104"/>
      <c r="D160" s="104"/>
      <c r="E160" s="104"/>
    </row>
    <row r="161" spans="1:5" x14ac:dyDescent="0.25">
      <c r="A161" s="16"/>
      <c r="C161" s="104"/>
      <c r="D161" s="104"/>
      <c r="E161" s="104"/>
    </row>
    <row r="162" spans="1:5" x14ac:dyDescent="0.25">
      <c r="A162" s="16"/>
      <c r="C162" s="104"/>
      <c r="D162" s="104"/>
      <c r="E162" s="104"/>
    </row>
    <row r="163" spans="1:5" x14ac:dyDescent="0.25">
      <c r="A163" s="16"/>
      <c r="C163" s="104"/>
      <c r="D163" s="104"/>
      <c r="E163" s="104"/>
    </row>
    <row r="164" spans="1:5" x14ac:dyDescent="0.25">
      <c r="A164" s="16"/>
      <c r="C164" s="104"/>
      <c r="D164" s="104"/>
      <c r="E164" s="104"/>
    </row>
    <row r="165" spans="1:5" x14ac:dyDescent="0.25">
      <c r="A165" s="16"/>
      <c r="C165" s="104"/>
      <c r="D165" s="104"/>
      <c r="E165" s="104"/>
    </row>
    <row r="166" spans="1:5" x14ac:dyDescent="0.25">
      <c r="A166" s="16"/>
      <c r="C166" s="104"/>
      <c r="D166" s="104"/>
      <c r="E166" s="104"/>
    </row>
    <row r="167" spans="1:5" x14ac:dyDescent="0.25">
      <c r="A167" s="16"/>
      <c r="C167" s="104"/>
      <c r="D167" s="104"/>
      <c r="E167" s="104"/>
    </row>
    <row r="168" spans="1:5" x14ac:dyDescent="0.25">
      <c r="A168" s="16"/>
      <c r="C168" s="104"/>
      <c r="D168" s="104"/>
      <c r="E168" s="104"/>
    </row>
    <row r="169" spans="1:5" x14ac:dyDescent="0.25">
      <c r="A169" s="16"/>
      <c r="C169" s="104"/>
      <c r="D169" s="104"/>
      <c r="E169" s="104"/>
    </row>
    <row r="170" spans="1:5" x14ac:dyDescent="0.25">
      <c r="A170" s="16"/>
      <c r="C170" s="104"/>
      <c r="D170" s="104"/>
      <c r="E170" s="104"/>
    </row>
    <row r="171" spans="1:5" x14ac:dyDescent="0.25">
      <c r="A171" s="16"/>
      <c r="C171" s="104"/>
      <c r="D171" s="104"/>
      <c r="E171" s="104"/>
    </row>
    <row r="172" spans="1:5" x14ac:dyDescent="0.25">
      <c r="A172" s="16"/>
      <c r="C172" s="104"/>
      <c r="D172" s="104"/>
      <c r="E172" s="104"/>
    </row>
    <row r="173" spans="1:5" x14ac:dyDescent="0.25">
      <c r="A173" s="16"/>
      <c r="C173" s="104"/>
      <c r="D173" s="104"/>
      <c r="E173" s="104"/>
    </row>
    <row r="174" spans="1:5" x14ac:dyDescent="0.25">
      <c r="A174" s="16"/>
      <c r="C174" s="104"/>
      <c r="D174" s="104"/>
      <c r="E174" s="104"/>
    </row>
    <row r="175" spans="1:5" x14ac:dyDescent="0.25">
      <c r="A175" s="16"/>
      <c r="C175" s="104"/>
      <c r="D175" s="104"/>
      <c r="E175" s="104"/>
    </row>
    <row r="176" spans="1:5" x14ac:dyDescent="0.25">
      <c r="A176" s="16"/>
      <c r="C176" s="104"/>
      <c r="D176" s="104"/>
      <c r="E176" s="104"/>
    </row>
    <row r="177" spans="1:5" x14ac:dyDescent="0.25">
      <c r="A177" s="16"/>
      <c r="C177" s="104"/>
      <c r="D177" s="104"/>
      <c r="E177" s="104"/>
    </row>
    <row r="178" spans="1:5" x14ac:dyDescent="0.25">
      <c r="A178" s="16"/>
      <c r="C178" s="104"/>
      <c r="D178" s="104"/>
      <c r="E178" s="104"/>
    </row>
    <row r="179" spans="1:5" x14ac:dyDescent="0.25">
      <c r="A179" s="16"/>
      <c r="C179" s="104"/>
      <c r="D179" s="104"/>
      <c r="E179" s="104"/>
    </row>
    <row r="180" spans="1:5" x14ac:dyDescent="0.25">
      <c r="A180" s="16"/>
      <c r="C180" s="104"/>
      <c r="D180" s="104"/>
      <c r="E180" s="104"/>
    </row>
    <row r="181" spans="1:5" x14ac:dyDescent="0.25">
      <c r="A181" s="16"/>
      <c r="C181" s="104"/>
      <c r="D181" s="104"/>
      <c r="E181" s="104"/>
    </row>
    <row r="182" spans="1:5" x14ac:dyDescent="0.25">
      <c r="A182" s="16"/>
      <c r="C182" s="104"/>
      <c r="D182" s="104"/>
      <c r="E182" s="104"/>
    </row>
    <row r="183" spans="1:5" x14ac:dyDescent="0.25">
      <c r="A183" s="16"/>
      <c r="C183" s="104"/>
      <c r="D183" s="104"/>
      <c r="E183" s="104"/>
    </row>
    <row r="184" spans="1:5" x14ac:dyDescent="0.25">
      <c r="A184" s="16"/>
      <c r="C184" s="104"/>
      <c r="D184" s="104"/>
      <c r="E184" s="104"/>
    </row>
    <row r="185" spans="1:5" x14ac:dyDescent="0.25">
      <c r="A185" s="16"/>
      <c r="C185" s="104"/>
      <c r="D185" s="104"/>
      <c r="E185" s="104"/>
    </row>
    <row r="186" spans="1:5" x14ac:dyDescent="0.25">
      <c r="A186" s="16"/>
      <c r="C186" s="104"/>
      <c r="D186" s="104"/>
      <c r="E186" s="104"/>
    </row>
    <row r="187" spans="1:5" x14ac:dyDescent="0.25">
      <c r="A187" s="16"/>
      <c r="C187" s="104"/>
      <c r="D187" s="104"/>
      <c r="E187" s="104"/>
    </row>
    <row r="188" spans="1:5" x14ac:dyDescent="0.25">
      <c r="A188" s="16"/>
      <c r="C188" s="104"/>
      <c r="D188" s="104"/>
      <c r="E188" s="104"/>
    </row>
    <row r="189" spans="1:5" x14ac:dyDescent="0.25">
      <c r="A189" s="16"/>
      <c r="C189" s="104"/>
      <c r="D189" s="104"/>
      <c r="E189" s="104"/>
    </row>
    <row r="190" spans="1:5" x14ac:dyDescent="0.25">
      <c r="A190" s="16"/>
      <c r="C190" s="104"/>
      <c r="D190" s="104"/>
      <c r="E190" s="104"/>
    </row>
    <row r="191" spans="1:5" x14ac:dyDescent="0.25">
      <c r="A191" s="16"/>
      <c r="C191" s="104"/>
      <c r="D191" s="104"/>
      <c r="E191" s="104"/>
    </row>
    <row r="192" spans="1:5" x14ac:dyDescent="0.25">
      <c r="A192" s="16"/>
      <c r="C192" s="104"/>
      <c r="D192" s="104"/>
      <c r="E192" s="104"/>
    </row>
    <row r="193" spans="1:5" x14ac:dyDescent="0.25">
      <c r="A193" s="16"/>
      <c r="C193" s="104"/>
      <c r="D193" s="104"/>
      <c r="E193" s="104"/>
    </row>
    <row r="194" spans="1:5" x14ac:dyDescent="0.25">
      <c r="A194" s="16"/>
      <c r="C194" s="104"/>
      <c r="D194" s="104"/>
      <c r="E194" s="104"/>
    </row>
    <row r="195" spans="1:5" x14ac:dyDescent="0.25">
      <c r="A195" s="16"/>
      <c r="C195" s="104"/>
      <c r="D195" s="104"/>
      <c r="E195" s="104"/>
    </row>
    <row r="196" spans="1:5" x14ac:dyDescent="0.25">
      <c r="A196" s="16"/>
      <c r="C196" s="104"/>
      <c r="D196" s="104"/>
      <c r="E196" s="104"/>
    </row>
    <row r="197" spans="1:5" x14ac:dyDescent="0.25">
      <c r="A197" s="16"/>
      <c r="C197" s="104"/>
      <c r="D197" s="104"/>
      <c r="E197" s="104"/>
    </row>
    <row r="198" spans="1:5" x14ac:dyDescent="0.25">
      <c r="A198" s="16"/>
      <c r="C198" s="104"/>
      <c r="D198" s="104"/>
      <c r="E198" s="104"/>
    </row>
    <row r="199" spans="1:5" x14ac:dyDescent="0.25">
      <c r="A199" s="16"/>
      <c r="C199" s="104"/>
      <c r="D199" s="104"/>
      <c r="E199" s="104"/>
    </row>
    <row r="200" spans="1:5" x14ac:dyDescent="0.25">
      <c r="A200" s="16"/>
      <c r="C200" s="104"/>
      <c r="D200" s="104"/>
      <c r="E200" s="104"/>
    </row>
    <row r="201" spans="1:5" x14ac:dyDescent="0.25">
      <c r="A201" s="19"/>
      <c r="C201" s="104"/>
      <c r="D201" s="104"/>
      <c r="E201" s="104"/>
    </row>
    <row r="202" spans="1:5" x14ac:dyDescent="0.25">
      <c r="A202" s="19"/>
      <c r="C202" s="104"/>
      <c r="D202" s="104"/>
      <c r="E202" s="104"/>
    </row>
    <row r="203" spans="1:5" x14ac:dyDescent="0.25">
      <c r="A203" s="19"/>
      <c r="C203" s="104"/>
      <c r="D203" s="104"/>
      <c r="E203" s="104"/>
    </row>
    <row r="204" spans="1:5" x14ac:dyDescent="0.25">
      <c r="A204" s="19"/>
      <c r="C204" s="104"/>
      <c r="D204" s="104"/>
      <c r="E204" s="104"/>
    </row>
    <row r="205" spans="1:5" x14ac:dyDescent="0.25">
      <c r="A205" s="19"/>
      <c r="C205" s="104"/>
      <c r="D205" s="104"/>
      <c r="E205" s="104"/>
    </row>
    <row r="206" spans="1:5" x14ac:dyDescent="0.25">
      <c r="A206" s="19"/>
      <c r="C206" s="104"/>
      <c r="D206" s="104"/>
      <c r="E206" s="104"/>
    </row>
    <row r="207" spans="1:5" x14ac:dyDescent="0.25">
      <c r="A207" s="19"/>
      <c r="C207" s="104"/>
      <c r="D207" s="104"/>
      <c r="E207" s="104"/>
    </row>
    <row r="208" spans="1:5" x14ac:dyDescent="0.25">
      <c r="A208" s="19"/>
      <c r="C208" s="104"/>
      <c r="D208" s="104"/>
      <c r="E208" s="104"/>
    </row>
    <row r="209" spans="1:5" x14ac:dyDescent="0.25">
      <c r="A209" s="19"/>
      <c r="C209" s="104"/>
      <c r="D209" s="104"/>
      <c r="E209" s="104"/>
    </row>
    <row r="210" spans="1:5" x14ac:dyDescent="0.25">
      <c r="A210" s="19"/>
      <c r="C210" s="104"/>
      <c r="D210" s="104"/>
      <c r="E210" s="104"/>
    </row>
    <row r="211" spans="1:5" x14ac:dyDescent="0.25">
      <c r="A211" s="19"/>
      <c r="C211" s="104"/>
      <c r="D211" s="104"/>
      <c r="E211" s="104"/>
    </row>
    <row r="212" spans="1:5" x14ac:dyDescent="0.25">
      <c r="A212" s="19"/>
      <c r="C212" s="104"/>
      <c r="D212" s="104"/>
      <c r="E212" s="104"/>
    </row>
    <row r="213" spans="1:5" x14ac:dyDescent="0.25">
      <c r="A213" s="19"/>
      <c r="C213" s="104"/>
      <c r="D213" s="104"/>
      <c r="E213" s="104"/>
    </row>
    <row r="214" spans="1:5" x14ac:dyDescent="0.25">
      <c r="A214" s="19"/>
      <c r="C214" s="104"/>
      <c r="D214" s="104"/>
      <c r="E214" s="104"/>
    </row>
    <row r="215" spans="1:5" x14ac:dyDescent="0.25">
      <c r="A215" s="19"/>
      <c r="C215" s="104"/>
      <c r="D215" s="104"/>
      <c r="E215" s="104"/>
    </row>
    <row r="216" spans="1:5" x14ac:dyDescent="0.25">
      <c r="A216" s="19"/>
      <c r="C216" s="104"/>
      <c r="D216" s="104"/>
      <c r="E216" s="104"/>
    </row>
    <row r="217" spans="1:5" x14ac:dyDescent="0.25">
      <c r="A217" s="19"/>
      <c r="C217" s="104"/>
      <c r="D217" s="104"/>
      <c r="E217" s="104"/>
    </row>
    <row r="218" spans="1:5" x14ac:dyDescent="0.25">
      <c r="A218" s="19"/>
      <c r="C218" s="104"/>
      <c r="D218" s="104"/>
      <c r="E218" s="104"/>
    </row>
    <row r="219" spans="1:5" x14ac:dyDescent="0.25">
      <c r="A219" s="19"/>
      <c r="C219" s="104"/>
      <c r="D219" s="104"/>
      <c r="E219" s="104"/>
    </row>
    <row r="220" spans="1:5" x14ac:dyDescent="0.25">
      <c r="A220" s="19"/>
      <c r="C220" s="104"/>
      <c r="D220" s="104"/>
      <c r="E220" s="104"/>
    </row>
    <row r="221" spans="1:5" x14ac:dyDescent="0.25">
      <c r="A221" s="19"/>
      <c r="C221" s="104"/>
      <c r="D221" s="104"/>
      <c r="E221" s="104"/>
    </row>
    <row r="222" spans="1:5" x14ac:dyDescent="0.25">
      <c r="A222" s="19"/>
      <c r="C222" s="104"/>
      <c r="D222" s="104"/>
      <c r="E222" s="104"/>
    </row>
    <row r="223" spans="1:5" x14ac:dyDescent="0.25">
      <c r="A223" s="19"/>
      <c r="C223" s="104"/>
      <c r="D223" s="104"/>
      <c r="E223" s="104"/>
    </row>
    <row r="224" spans="1:5" x14ac:dyDescent="0.25">
      <c r="A224" s="19"/>
      <c r="C224" s="104"/>
      <c r="D224" s="104"/>
      <c r="E224" s="104"/>
    </row>
    <row r="225" spans="1:5" x14ac:dyDescent="0.25">
      <c r="A225" s="19"/>
      <c r="C225" s="104"/>
      <c r="D225" s="104"/>
      <c r="E225" s="104"/>
    </row>
    <row r="226" spans="1:5" x14ac:dyDescent="0.25">
      <c r="A226" s="19"/>
      <c r="C226" s="104"/>
      <c r="D226" s="104"/>
      <c r="E226" s="104"/>
    </row>
    <row r="227" spans="1:5" x14ac:dyDescent="0.25">
      <c r="A227" s="19"/>
      <c r="C227" s="104"/>
      <c r="D227" s="104"/>
      <c r="E227" s="104"/>
    </row>
    <row r="228" spans="1:5" x14ac:dyDescent="0.25">
      <c r="A228" s="19"/>
      <c r="C228" s="104"/>
      <c r="D228" s="104"/>
      <c r="E228" s="104"/>
    </row>
    <row r="229" spans="1:5" x14ac:dyDescent="0.25">
      <c r="A229" s="19"/>
      <c r="C229" s="104"/>
      <c r="D229" s="104"/>
      <c r="E229" s="104"/>
    </row>
    <row r="230" spans="1:5" x14ac:dyDescent="0.25">
      <c r="A230" s="19"/>
      <c r="C230" s="104"/>
      <c r="D230" s="104"/>
      <c r="E230" s="104"/>
    </row>
    <row r="231" spans="1:5" x14ac:dyDescent="0.25">
      <c r="A231" s="19"/>
      <c r="C231" s="104"/>
      <c r="D231" s="104"/>
      <c r="E231" s="104"/>
    </row>
    <row r="232" spans="1:5" x14ac:dyDescent="0.25">
      <c r="A232" s="19"/>
      <c r="C232" s="104"/>
      <c r="D232" s="104"/>
      <c r="E232" s="104"/>
    </row>
    <row r="233" spans="1:5" x14ac:dyDescent="0.25">
      <c r="A233" s="19"/>
      <c r="C233" s="104"/>
      <c r="D233" s="104"/>
      <c r="E233" s="104"/>
    </row>
    <row r="234" spans="1:5" x14ac:dyDescent="0.25">
      <c r="A234" s="19"/>
      <c r="C234" s="104"/>
      <c r="D234" s="104"/>
      <c r="E234" s="104"/>
    </row>
    <row r="235" spans="1:5" x14ac:dyDescent="0.25">
      <c r="A235" s="19"/>
      <c r="C235" s="104"/>
      <c r="D235" s="104"/>
      <c r="E235" s="104"/>
    </row>
    <row r="236" spans="1:5" x14ac:dyDescent="0.25">
      <c r="A236" s="19"/>
      <c r="C236" s="104"/>
      <c r="D236" s="104"/>
      <c r="E236" s="104"/>
    </row>
    <row r="237" spans="1:5" x14ac:dyDescent="0.25">
      <c r="A237" s="19"/>
      <c r="C237" s="104"/>
      <c r="D237" s="104"/>
      <c r="E237" s="104"/>
    </row>
    <row r="238" spans="1:5" x14ac:dyDescent="0.25">
      <c r="A238" s="19"/>
      <c r="C238" s="104"/>
      <c r="D238" s="104"/>
      <c r="E238" s="104"/>
    </row>
    <row r="239" spans="1:5" x14ac:dyDescent="0.25">
      <c r="A239" s="19"/>
      <c r="C239" s="104"/>
      <c r="D239" s="104"/>
      <c r="E239" s="104"/>
    </row>
    <row r="240" spans="1:5" x14ac:dyDescent="0.25">
      <c r="A240" s="19"/>
      <c r="C240" s="104"/>
      <c r="D240" s="104"/>
      <c r="E240" s="104"/>
    </row>
    <row r="241" spans="1:5" x14ac:dyDescent="0.25">
      <c r="A241" s="19"/>
      <c r="C241" s="104"/>
      <c r="D241" s="104"/>
      <c r="E241" s="104"/>
    </row>
    <row r="242" spans="1:5" x14ac:dyDescent="0.25">
      <c r="A242" s="19"/>
      <c r="C242" s="104"/>
      <c r="D242" s="104"/>
      <c r="E242" s="104"/>
    </row>
    <row r="243" spans="1:5" x14ac:dyDescent="0.25">
      <c r="A243" s="19"/>
      <c r="C243" s="104"/>
      <c r="D243" s="104"/>
      <c r="E243" s="104"/>
    </row>
    <row r="244" spans="1:5" x14ac:dyDescent="0.25">
      <c r="A244" s="19"/>
      <c r="C244" s="104"/>
      <c r="D244" s="104"/>
      <c r="E244" s="104"/>
    </row>
    <row r="245" spans="1:5" x14ac:dyDescent="0.25">
      <c r="A245" s="19"/>
      <c r="C245" s="104"/>
      <c r="D245" s="104"/>
      <c r="E245" s="104"/>
    </row>
    <row r="246" spans="1:5" x14ac:dyDescent="0.25">
      <c r="A246" s="19"/>
      <c r="C246" s="104"/>
      <c r="D246" s="104"/>
      <c r="E246" s="104"/>
    </row>
    <row r="247" spans="1:5" x14ac:dyDescent="0.25">
      <c r="A247" s="19"/>
      <c r="C247" s="104"/>
      <c r="D247" s="104"/>
      <c r="E247" s="104"/>
    </row>
    <row r="248" spans="1:5" x14ac:dyDescent="0.25">
      <c r="A248" s="19"/>
      <c r="C248" s="104"/>
      <c r="D248" s="104"/>
      <c r="E248" s="104"/>
    </row>
    <row r="249" spans="1:5" x14ac:dyDescent="0.25">
      <c r="A249" s="19"/>
      <c r="C249" s="104"/>
      <c r="D249" s="104"/>
      <c r="E249" s="104"/>
    </row>
    <row r="250" spans="1:5" x14ac:dyDescent="0.25">
      <c r="A250" s="19"/>
      <c r="C250" s="104"/>
      <c r="D250" s="104"/>
      <c r="E250" s="104"/>
    </row>
    <row r="251" spans="1:5" x14ac:dyDescent="0.25">
      <c r="A251" s="19"/>
      <c r="C251" s="104"/>
      <c r="D251" s="104"/>
      <c r="E251" s="104"/>
    </row>
    <row r="252" spans="1:5" x14ac:dyDescent="0.25">
      <c r="A252" s="19"/>
      <c r="C252" s="104"/>
      <c r="D252" s="104"/>
      <c r="E252" s="104"/>
    </row>
    <row r="253" spans="1:5" x14ac:dyDescent="0.25">
      <c r="A253" s="19"/>
      <c r="C253" s="104"/>
      <c r="D253" s="104"/>
      <c r="E253" s="104"/>
    </row>
    <row r="254" spans="1:5" x14ac:dyDescent="0.25">
      <c r="A254" s="19"/>
      <c r="C254" s="104"/>
      <c r="D254" s="104"/>
      <c r="E254" s="104"/>
    </row>
    <row r="255" spans="1:5" x14ac:dyDescent="0.25">
      <c r="A255" s="19"/>
      <c r="C255" s="104"/>
      <c r="D255" s="104"/>
      <c r="E255" s="104"/>
    </row>
    <row r="256" spans="1:5" x14ac:dyDescent="0.25">
      <c r="A256" s="19"/>
      <c r="C256" s="104"/>
      <c r="D256" s="104"/>
      <c r="E256" s="104"/>
    </row>
    <row r="257" spans="1:5" x14ac:dyDescent="0.25">
      <c r="A257" s="19"/>
      <c r="C257" s="104"/>
      <c r="D257" s="104"/>
      <c r="E257" s="104"/>
    </row>
    <row r="258" spans="1:5" x14ac:dyDescent="0.25">
      <c r="A258" s="19"/>
      <c r="C258" s="104"/>
      <c r="D258" s="104"/>
      <c r="E258" s="104"/>
    </row>
    <row r="259" spans="1:5" x14ac:dyDescent="0.25">
      <c r="A259" s="19"/>
      <c r="C259" s="104"/>
      <c r="D259" s="104"/>
      <c r="E259" s="104"/>
    </row>
    <row r="260" spans="1:5" x14ac:dyDescent="0.25">
      <c r="A260" s="19"/>
      <c r="C260" s="104"/>
      <c r="D260" s="104"/>
      <c r="E260" s="104"/>
    </row>
    <row r="261" spans="1:5" x14ac:dyDescent="0.25">
      <c r="A261" s="19"/>
      <c r="C261" s="104"/>
      <c r="D261" s="104"/>
      <c r="E261" s="104"/>
    </row>
    <row r="262" spans="1:5" x14ac:dyDescent="0.25">
      <c r="A262" s="19"/>
      <c r="C262" s="104"/>
      <c r="D262" s="104"/>
      <c r="E262" s="104"/>
    </row>
    <row r="263" spans="1:5" x14ac:dyDescent="0.25">
      <c r="A263" s="19"/>
      <c r="C263" s="104"/>
      <c r="D263" s="104"/>
      <c r="E263" s="104"/>
    </row>
    <row r="264" spans="1:5" x14ac:dyDescent="0.25">
      <c r="A264" s="19"/>
      <c r="C264" s="104"/>
      <c r="D264" s="104"/>
      <c r="E264" s="104"/>
    </row>
    <row r="265" spans="1:5" x14ac:dyDescent="0.25">
      <c r="A265" s="19"/>
      <c r="C265" s="104"/>
      <c r="D265" s="104"/>
      <c r="E265" s="104"/>
    </row>
    <row r="266" spans="1:5" x14ac:dyDescent="0.25">
      <c r="A266" s="19"/>
      <c r="C266" s="104"/>
      <c r="D266" s="104"/>
      <c r="E266" s="104"/>
    </row>
    <row r="267" spans="1:5" x14ac:dyDescent="0.25">
      <c r="A267" s="19"/>
      <c r="C267" s="104"/>
      <c r="D267" s="104"/>
      <c r="E267" s="104"/>
    </row>
    <row r="268" spans="1:5" x14ac:dyDescent="0.25">
      <c r="A268" s="19"/>
      <c r="C268" s="104"/>
      <c r="D268" s="104"/>
      <c r="E268" s="104"/>
    </row>
    <row r="269" spans="1:5" x14ac:dyDescent="0.25">
      <c r="A269" s="19"/>
      <c r="C269" s="104"/>
      <c r="D269" s="104"/>
      <c r="E269" s="104"/>
    </row>
    <row r="270" spans="1:5" x14ac:dyDescent="0.25">
      <c r="A270" s="19"/>
      <c r="C270" s="104"/>
      <c r="D270" s="104"/>
      <c r="E270" s="104"/>
    </row>
    <row r="271" spans="1:5" x14ac:dyDescent="0.25">
      <c r="A271" s="19"/>
      <c r="C271" s="104"/>
      <c r="D271" s="104"/>
      <c r="E271" s="104"/>
    </row>
    <row r="272" spans="1:5" x14ac:dyDescent="0.25">
      <c r="A272" s="19"/>
      <c r="C272" s="104"/>
      <c r="D272" s="104"/>
      <c r="E272" s="104"/>
    </row>
    <row r="273" spans="1:5" x14ac:dyDescent="0.25">
      <c r="A273" s="19"/>
      <c r="C273" s="104"/>
      <c r="D273" s="104"/>
      <c r="E273" s="104"/>
    </row>
    <row r="274" spans="1:5" x14ac:dyDescent="0.25">
      <c r="A274" s="19"/>
      <c r="C274" s="104"/>
      <c r="D274" s="104"/>
      <c r="E274" s="104"/>
    </row>
    <row r="275" spans="1:5" x14ac:dyDescent="0.25">
      <c r="A275" s="19"/>
      <c r="C275" s="104"/>
      <c r="D275" s="104"/>
      <c r="E275" s="104"/>
    </row>
    <row r="276" spans="1:5" x14ac:dyDescent="0.25">
      <c r="A276" s="19"/>
      <c r="C276" s="104"/>
      <c r="D276" s="104"/>
      <c r="E276" s="104"/>
    </row>
    <row r="277" spans="1:5" x14ac:dyDescent="0.25">
      <c r="A277" s="19"/>
      <c r="C277" s="104"/>
      <c r="D277" s="104"/>
      <c r="E277" s="104"/>
    </row>
    <row r="278" spans="1:5" x14ac:dyDescent="0.25">
      <c r="A278" s="19"/>
      <c r="C278" s="104"/>
      <c r="D278" s="104"/>
      <c r="E278" s="104"/>
    </row>
    <row r="279" spans="1:5" x14ac:dyDescent="0.25">
      <c r="A279" s="19"/>
      <c r="C279" s="104"/>
      <c r="D279" s="104"/>
      <c r="E279" s="104"/>
    </row>
    <row r="280" spans="1:5" x14ac:dyDescent="0.25">
      <c r="A280" s="19"/>
      <c r="C280" s="104"/>
      <c r="D280" s="104"/>
      <c r="E280" s="104"/>
    </row>
    <row r="281" spans="1:5" x14ac:dyDescent="0.25">
      <c r="A281" s="19"/>
      <c r="C281" s="104"/>
      <c r="D281" s="104"/>
      <c r="E281" s="104"/>
    </row>
    <row r="282" spans="1:5" x14ac:dyDescent="0.25">
      <c r="A282" s="19"/>
      <c r="C282" s="104"/>
      <c r="D282" s="104"/>
      <c r="E282" s="104"/>
    </row>
    <row r="283" spans="1:5" x14ac:dyDescent="0.25">
      <c r="A283" s="19"/>
      <c r="C283" s="104"/>
      <c r="D283" s="104"/>
      <c r="E283" s="104"/>
    </row>
    <row r="284" spans="1:5" x14ac:dyDescent="0.25">
      <c r="A284" s="19"/>
      <c r="C284" s="104"/>
      <c r="D284" s="104"/>
      <c r="E284" s="104"/>
    </row>
    <row r="285" spans="1:5" x14ac:dyDescent="0.25">
      <c r="A285" s="19"/>
      <c r="C285" s="104"/>
      <c r="D285" s="104"/>
      <c r="E285" s="104"/>
    </row>
    <row r="286" spans="1:5" x14ac:dyDescent="0.25">
      <c r="A286" s="19"/>
      <c r="C286" s="104"/>
      <c r="D286" s="104"/>
      <c r="E286" s="104"/>
    </row>
    <row r="287" spans="1:5" x14ac:dyDescent="0.25">
      <c r="A287" s="19"/>
      <c r="C287" s="104"/>
      <c r="D287" s="104"/>
      <c r="E287" s="104"/>
    </row>
    <row r="288" spans="1:5" x14ac:dyDescent="0.25">
      <c r="A288" s="19"/>
      <c r="C288" s="104"/>
      <c r="D288" s="104"/>
      <c r="E288" s="104"/>
    </row>
    <row r="289" spans="1:5" x14ac:dyDescent="0.25">
      <c r="A289" s="19"/>
      <c r="C289" s="104"/>
      <c r="D289" s="104"/>
      <c r="E289" s="104"/>
    </row>
    <row r="290" spans="1:5" x14ac:dyDescent="0.25">
      <c r="A290" s="19"/>
      <c r="C290" s="104"/>
      <c r="D290" s="104"/>
      <c r="E290" s="104"/>
    </row>
    <row r="291" spans="1:5" x14ac:dyDescent="0.25">
      <c r="A291" s="19"/>
      <c r="C291" s="104"/>
      <c r="D291" s="104"/>
      <c r="E291" s="104"/>
    </row>
    <row r="292" spans="1:5" x14ac:dyDescent="0.25">
      <c r="A292" s="19"/>
      <c r="C292" s="104"/>
      <c r="D292" s="104"/>
      <c r="E292" s="104"/>
    </row>
    <row r="293" spans="1:5" x14ac:dyDescent="0.25">
      <c r="A293" s="19"/>
      <c r="C293" s="104"/>
      <c r="D293" s="104"/>
      <c r="E293" s="104"/>
    </row>
    <row r="294" spans="1:5" x14ac:dyDescent="0.25">
      <c r="A294" s="19"/>
      <c r="C294" s="104"/>
      <c r="D294" s="104"/>
      <c r="E294" s="104"/>
    </row>
    <row r="295" spans="1:5" x14ac:dyDescent="0.25">
      <c r="A295" s="19"/>
      <c r="C295" s="104"/>
      <c r="D295" s="104"/>
      <c r="E295" s="104"/>
    </row>
    <row r="296" spans="1:5" x14ac:dyDescent="0.25">
      <c r="A296" s="19"/>
      <c r="C296" s="104"/>
      <c r="D296" s="104"/>
      <c r="E296" s="104"/>
    </row>
    <row r="297" spans="1:5" x14ac:dyDescent="0.25">
      <c r="A297" s="19"/>
      <c r="C297" s="104"/>
      <c r="D297" s="104"/>
      <c r="E297" s="104"/>
    </row>
    <row r="298" spans="1:5" x14ac:dyDescent="0.25">
      <c r="A298" s="19"/>
      <c r="C298" s="104"/>
      <c r="D298" s="104"/>
      <c r="E298" s="104"/>
    </row>
    <row r="299" spans="1:5" x14ac:dyDescent="0.25">
      <c r="A299" s="19"/>
      <c r="C299" s="104"/>
      <c r="D299" s="104"/>
      <c r="E299" s="104"/>
    </row>
    <row r="300" spans="1:5" x14ac:dyDescent="0.25">
      <c r="A300" s="19"/>
      <c r="C300" s="104"/>
      <c r="D300" s="104"/>
      <c r="E300" s="104"/>
    </row>
    <row r="301" spans="1:5" x14ac:dyDescent="0.25">
      <c r="A301" s="19"/>
      <c r="C301" s="104"/>
      <c r="D301" s="104"/>
      <c r="E301" s="104"/>
    </row>
    <row r="302" spans="1:5" x14ac:dyDescent="0.25">
      <c r="A302" s="19"/>
      <c r="C302" s="104"/>
      <c r="D302" s="104"/>
      <c r="E302" s="104"/>
    </row>
    <row r="303" spans="1:5" x14ac:dyDescent="0.25">
      <c r="A303" s="19"/>
      <c r="C303" s="104"/>
      <c r="D303" s="104"/>
      <c r="E303" s="104"/>
    </row>
    <row r="304" spans="1:5" x14ac:dyDescent="0.25">
      <c r="A304" s="19"/>
      <c r="C304" s="104"/>
      <c r="D304" s="104"/>
      <c r="E304" s="104"/>
    </row>
    <row r="305" spans="1:5" x14ac:dyDescent="0.25">
      <c r="A305" s="19"/>
      <c r="C305" s="104"/>
      <c r="D305" s="104"/>
      <c r="E305" s="104"/>
    </row>
    <row r="306" spans="1:5" x14ac:dyDescent="0.25">
      <c r="A306" s="19"/>
      <c r="C306" s="104"/>
      <c r="D306" s="104"/>
      <c r="E306" s="104"/>
    </row>
    <row r="307" spans="1:5" x14ac:dyDescent="0.25">
      <c r="A307" s="19"/>
      <c r="C307" s="104"/>
      <c r="D307" s="104"/>
      <c r="E307" s="104"/>
    </row>
    <row r="308" spans="1:5" x14ac:dyDescent="0.25">
      <c r="A308" s="19"/>
      <c r="C308" s="104"/>
      <c r="D308" s="104"/>
      <c r="E308" s="104"/>
    </row>
    <row r="309" spans="1:5" x14ac:dyDescent="0.25">
      <c r="A309" s="19"/>
      <c r="C309" s="104"/>
      <c r="D309" s="104"/>
      <c r="E309" s="104"/>
    </row>
    <row r="310" spans="1:5" x14ac:dyDescent="0.25">
      <c r="A310" s="19"/>
      <c r="C310" s="104"/>
      <c r="D310" s="104"/>
      <c r="E310" s="104"/>
    </row>
    <row r="311" spans="1:5" x14ac:dyDescent="0.25">
      <c r="A311" s="19"/>
      <c r="C311" s="104"/>
      <c r="D311" s="104"/>
      <c r="E311" s="104"/>
    </row>
    <row r="312" spans="1:5" x14ac:dyDescent="0.25">
      <c r="A312" s="19"/>
      <c r="C312" s="104"/>
      <c r="D312" s="104"/>
      <c r="E312" s="104"/>
    </row>
    <row r="313" spans="1:5" x14ac:dyDescent="0.25">
      <c r="A313" s="19"/>
      <c r="C313" s="104"/>
      <c r="D313" s="104"/>
      <c r="E313" s="104"/>
    </row>
    <row r="314" spans="1:5" x14ac:dyDescent="0.25">
      <c r="A314" s="19"/>
      <c r="C314" s="104"/>
      <c r="D314" s="104"/>
      <c r="E314" s="104"/>
    </row>
    <row r="315" spans="1:5" x14ac:dyDescent="0.25">
      <c r="A315" s="19"/>
      <c r="C315" s="104"/>
      <c r="D315" s="104"/>
      <c r="E315" s="104"/>
    </row>
    <row r="316" spans="1:5" x14ac:dyDescent="0.25">
      <c r="A316" s="19"/>
      <c r="C316" s="104"/>
      <c r="D316" s="104"/>
      <c r="E316" s="104"/>
    </row>
    <row r="317" spans="1:5" x14ac:dyDescent="0.25">
      <c r="A317" s="19"/>
      <c r="C317" s="104"/>
      <c r="D317" s="104"/>
      <c r="E317" s="104"/>
    </row>
    <row r="318" spans="1:5" x14ac:dyDescent="0.25">
      <c r="A318" s="19"/>
      <c r="C318" s="104"/>
      <c r="D318" s="104"/>
      <c r="E318" s="104"/>
    </row>
    <row r="319" spans="1:5" x14ac:dyDescent="0.25">
      <c r="A319" s="19"/>
      <c r="C319" s="104"/>
      <c r="D319" s="104"/>
      <c r="E319" s="104"/>
    </row>
    <row r="320" spans="1:5" x14ac:dyDescent="0.25">
      <c r="A320" s="19"/>
      <c r="C320" s="104"/>
      <c r="D320" s="104"/>
      <c r="E320" s="104"/>
    </row>
    <row r="321" spans="1:5" x14ac:dyDescent="0.25">
      <c r="A321" s="19"/>
      <c r="C321" s="104"/>
      <c r="D321" s="104"/>
      <c r="E321" s="104"/>
    </row>
    <row r="322" spans="1:5" x14ac:dyDescent="0.25">
      <c r="A322" s="19"/>
      <c r="C322" s="104"/>
      <c r="D322" s="104"/>
      <c r="E322" s="104"/>
    </row>
    <row r="323" spans="1:5" x14ac:dyDescent="0.25">
      <c r="A323" s="19"/>
      <c r="C323" s="104"/>
      <c r="D323" s="104"/>
      <c r="E323" s="104"/>
    </row>
    <row r="324" spans="1:5" x14ac:dyDescent="0.25">
      <c r="A324" s="19"/>
      <c r="C324" s="104"/>
      <c r="D324" s="104"/>
      <c r="E324" s="104"/>
    </row>
    <row r="325" spans="1:5" x14ac:dyDescent="0.25">
      <c r="A325" s="19"/>
      <c r="C325" s="104"/>
      <c r="D325" s="104"/>
      <c r="E325" s="104"/>
    </row>
    <row r="326" spans="1:5" x14ac:dyDescent="0.25">
      <c r="A326" s="19"/>
      <c r="C326" s="104"/>
      <c r="D326" s="104"/>
      <c r="E326" s="104"/>
    </row>
    <row r="327" spans="1:5" x14ac:dyDescent="0.25">
      <c r="A327" s="19"/>
      <c r="C327" s="104"/>
      <c r="D327" s="104"/>
      <c r="E327" s="104"/>
    </row>
    <row r="328" spans="1:5" x14ac:dyDescent="0.25">
      <c r="A328" s="19"/>
      <c r="C328" s="104"/>
      <c r="D328" s="104"/>
      <c r="E328" s="104"/>
    </row>
    <row r="329" spans="1:5" x14ac:dyDescent="0.25">
      <c r="A329" s="19"/>
      <c r="C329" s="104"/>
      <c r="D329" s="104"/>
      <c r="E329" s="104"/>
    </row>
    <row r="330" spans="1:5" x14ac:dyDescent="0.25">
      <c r="A330" s="19"/>
      <c r="C330" s="104"/>
      <c r="D330" s="104"/>
      <c r="E330" s="104"/>
    </row>
    <row r="331" spans="1:5" x14ac:dyDescent="0.25">
      <c r="A331" s="19"/>
      <c r="C331" s="104"/>
      <c r="D331" s="104"/>
      <c r="E331" s="104"/>
    </row>
    <row r="332" spans="1:5" x14ac:dyDescent="0.25">
      <c r="A332" s="19"/>
      <c r="C332" s="104"/>
      <c r="D332" s="104"/>
      <c r="E332" s="104"/>
    </row>
    <row r="333" spans="1:5" x14ac:dyDescent="0.25">
      <c r="A333" s="19"/>
      <c r="C333" s="104"/>
      <c r="D333" s="104"/>
      <c r="E333" s="104"/>
    </row>
    <row r="334" spans="1:5" x14ac:dyDescent="0.25">
      <c r="A334" s="19"/>
      <c r="C334" s="104"/>
      <c r="D334" s="104"/>
      <c r="E334" s="104"/>
    </row>
    <row r="335" spans="1:5" x14ac:dyDescent="0.25">
      <c r="A335" s="19"/>
      <c r="C335" s="104"/>
      <c r="D335" s="104"/>
      <c r="E335" s="104"/>
    </row>
    <row r="336" spans="1:5" x14ac:dyDescent="0.25">
      <c r="A336" s="19"/>
      <c r="C336" s="104"/>
      <c r="D336" s="104"/>
      <c r="E336" s="104"/>
    </row>
    <row r="337" spans="1:5" x14ac:dyDescent="0.25">
      <c r="A337" s="19"/>
      <c r="C337" s="104"/>
      <c r="D337" s="104"/>
      <c r="E337" s="104"/>
    </row>
    <row r="338" spans="1:5" x14ac:dyDescent="0.25">
      <c r="A338" s="19"/>
      <c r="C338" s="104"/>
      <c r="D338" s="104"/>
      <c r="E338" s="104"/>
    </row>
    <row r="339" spans="1:5" x14ac:dyDescent="0.25">
      <c r="A339" s="19"/>
      <c r="C339" s="104"/>
      <c r="D339" s="104"/>
      <c r="E339" s="104"/>
    </row>
    <row r="340" spans="1:5" x14ac:dyDescent="0.25">
      <c r="A340" s="19"/>
      <c r="C340" s="104"/>
      <c r="D340" s="104"/>
      <c r="E340" s="104"/>
    </row>
    <row r="341" spans="1:5" x14ac:dyDescent="0.25">
      <c r="A341" s="19"/>
      <c r="C341" s="104"/>
      <c r="D341" s="104"/>
      <c r="E341" s="104"/>
    </row>
    <row r="342" spans="1:5" x14ac:dyDescent="0.25">
      <c r="A342" s="19"/>
      <c r="C342" s="104"/>
      <c r="D342" s="104"/>
      <c r="E342" s="104"/>
    </row>
    <row r="343" spans="1:5" x14ac:dyDescent="0.25">
      <c r="A343" s="19"/>
      <c r="C343" s="104"/>
      <c r="D343" s="104"/>
      <c r="E343" s="104"/>
    </row>
    <row r="344" spans="1:5" x14ac:dyDescent="0.25">
      <c r="A344" s="19"/>
      <c r="C344" s="104"/>
      <c r="D344" s="104"/>
      <c r="E344" s="104"/>
    </row>
    <row r="345" spans="1:5" x14ac:dyDescent="0.25">
      <c r="A345" s="19"/>
      <c r="C345" s="104"/>
      <c r="D345" s="104"/>
      <c r="E345" s="104"/>
    </row>
    <row r="346" spans="1:5" x14ac:dyDescent="0.25">
      <c r="A346" s="19"/>
      <c r="C346" s="104"/>
      <c r="D346" s="104"/>
      <c r="E346" s="104"/>
    </row>
    <row r="347" spans="1:5" x14ac:dyDescent="0.25">
      <c r="A347" s="19"/>
      <c r="C347" s="104"/>
      <c r="D347" s="104"/>
      <c r="E347" s="104"/>
    </row>
    <row r="348" spans="1:5" x14ac:dyDescent="0.25">
      <c r="A348" s="19"/>
      <c r="C348" s="104"/>
      <c r="D348" s="104"/>
      <c r="E348" s="104"/>
    </row>
    <row r="349" spans="1:5" x14ac:dyDescent="0.25">
      <c r="A349" s="19"/>
      <c r="C349" s="104"/>
      <c r="D349" s="104"/>
      <c r="E349" s="104"/>
    </row>
    <row r="350" spans="1:5" x14ac:dyDescent="0.25">
      <c r="A350" s="19"/>
      <c r="C350" s="104"/>
      <c r="D350" s="104"/>
      <c r="E350" s="104"/>
    </row>
    <row r="351" spans="1:5" x14ac:dyDescent="0.25">
      <c r="A351" s="19"/>
      <c r="C351" s="104"/>
      <c r="D351" s="104"/>
      <c r="E351" s="104"/>
    </row>
    <row r="352" spans="1:5" x14ac:dyDescent="0.25">
      <c r="A352" s="19"/>
      <c r="C352" s="104"/>
      <c r="D352" s="104"/>
      <c r="E352" s="104"/>
    </row>
    <row r="353" spans="1:5" x14ac:dyDescent="0.25">
      <c r="A353" s="19"/>
      <c r="C353" s="104"/>
      <c r="D353" s="104"/>
      <c r="E353" s="104"/>
    </row>
    <row r="354" spans="1:5" x14ac:dyDescent="0.25">
      <c r="A354" s="19"/>
      <c r="C354" s="104"/>
      <c r="D354" s="104"/>
      <c r="E354" s="104"/>
    </row>
    <row r="355" spans="1:5" x14ac:dyDescent="0.25">
      <c r="A355" s="19"/>
      <c r="C355" s="104"/>
      <c r="D355" s="104"/>
      <c r="E355" s="104"/>
    </row>
    <row r="356" spans="1:5" x14ac:dyDescent="0.25">
      <c r="A356" s="19"/>
      <c r="C356" s="104"/>
      <c r="D356" s="104"/>
      <c r="E356" s="104"/>
    </row>
    <row r="357" spans="1:5" x14ac:dyDescent="0.25">
      <c r="A357" s="19"/>
      <c r="C357" s="104"/>
      <c r="D357" s="104"/>
      <c r="E357" s="104"/>
    </row>
    <row r="358" spans="1:5" x14ac:dyDescent="0.25">
      <c r="A358" s="19"/>
      <c r="C358" s="104"/>
      <c r="D358" s="104"/>
      <c r="E358" s="104"/>
    </row>
    <row r="359" spans="1:5" x14ac:dyDescent="0.25">
      <c r="A359" s="19"/>
      <c r="C359" s="104"/>
      <c r="D359" s="104"/>
      <c r="E359" s="104"/>
    </row>
    <row r="360" spans="1:5" x14ac:dyDescent="0.25">
      <c r="A360" s="19"/>
      <c r="C360" s="104"/>
      <c r="D360" s="104"/>
      <c r="E360" s="104"/>
    </row>
    <row r="361" spans="1:5" x14ac:dyDescent="0.25">
      <c r="A361" s="19"/>
      <c r="C361" s="104"/>
      <c r="D361" s="104"/>
      <c r="E361" s="104"/>
    </row>
    <row r="362" spans="1:5" x14ac:dyDescent="0.25">
      <c r="A362" s="19"/>
      <c r="C362" s="104"/>
      <c r="D362" s="104"/>
      <c r="E362" s="104"/>
    </row>
    <row r="363" spans="1:5" x14ac:dyDescent="0.25">
      <c r="A363" s="19"/>
      <c r="C363" s="104"/>
      <c r="D363" s="104"/>
      <c r="E363" s="104"/>
    </row>
    <row r="364" spans="1:5" x14ac:dyDescent="0.25">
      <c r="A364" s="19"/>
      <c r="C364" s="104"/>
      <c r="D364" s="104"/>
      <c r="E364" s="104"/>
    </row>
    <row r="365" spans="1:5" x14ac:dyDescent="0.25">
      <c r="A365" s="19"/>
      <c r="C365" s="104"/>
      <c r="D365" s="104"/>
      <c r="E365" s="104"/>
    </row>
    <row r="366" spans="1:5" x14ac:dyDescent="0.25">
      <c r="A366" s="19"/>
      <c r="C366" s="104"/>
      <c r="D366" s="104"/>
      <c r="E366" s="104"/>
    </row>
    <row r="367" spans="1:5" x14ac:dyDescent="0.25">
      <c r="A367" s="19"/>
      <c r="C367" s="104"/>
      <c r="D367" s="104"/>
      <c r="E367" s="104"/>
    </row>
    <row r="368" spans="1:5" x14ac:dyDescent="0.25">
      <c r="A368" s="19"/>
      <c r="C368" s="104"/>
      <c r="D368" s="104"/>
      <c r="E368" s="104"/>
    </row>
    <row r="369" spans="1:5" x14ac:dyDescent="0.25">
      <c r="A369" s="19"/>
      <c r="C369" s="104"/>
      <c r="D369" s="104"/>
      <c r="E369" s="104"/>
    </row>
    <row r="370" spans="1:5" x14ac:dyDescent="0.25">
      <c r="A370" s="19"/>
      <c r="C370" s="104"/>
      <c r="D370" s="104"/>
      <c r="E370" s="104"/>
    </row>
    <row r="371" spans="1:5" x14ac:dyDescent="0.25">
      <c r="A371" s="19"/>
      <c r="C371" s="104"/>
      <c r="D371" s="104"/>
      <c r="E371" s="104"/>
    </row>
    <row r="372" spans="1:5" x14ac:dyDescent="0.25">
      <c r="A372" s="19"/>
      <c r="C372" s="104"/>
      <c r="D372" s="104"/>
      <c r="E372" s="104"/>
    </row>
    <row r="373" spans="1:5" x14ac:dyDescent="0.25">
      <c r="A373" s="19"/>
      <c r="C373" s="104"/>
      <c r="D373" s="104"/>
      <c r="E373" s="104"/>
    </row>
    <row r="374" spans="1:5" x14ac:dyDescent="0.25">
      <c r="A374" s="19"/>
      <c r="C374" s="104"/>
      <c r="D374" s="104"/>
      <c r="E374" s="104"/>
    </row>
    <row r="375" spans="1:5" x14ac:dyDescent="0.25">
      <c r="A375" s="19"/>
      <c r="C375" s="104"/>
      <c r="D375" s="104"/>
      <c r="E375" s="104"/>
    </row>
    <row r="376" spans="1:5" x14ac:dyDescent="0.25">
      <c r="A376" s="19"/>
      <c r="C376" s="104"/>
      <c r="D376" s="104"/>
      <c r="E376" s="104"/>
    </row>
    <row r="377" spans="1:5" x14ac:dyDescent="0.25">
      <c r="A377" s="19"/>
      <c r="C377" s="104"/>
      <c r="D377" s="104"/>
      <c r="E377" s="104"/>
    </row>
    <row r="378" spans="1:5" x14ac:dyDescent="0.25">
      <c r="A378" s="19"/>
      <c r="C378" s="104"/>
      <c r="D378" s="104"/>
      <c r="E378" s="104"/>
    </row>
    <row r="379" spans="1:5" x14ac:dyDescent="0.25">
      <c r="A379" s="19"/>
      <c r="C379" s="104"/>
      <c r="D379" s="104"/>
      <c r="E379" s="104"/>
    </row>
    <row r="380" spans="1:5" x14ac:dyDescent="0.25">
      <c r="A380" s="19"/>
      <c r="C380" s="104"/>
      <c r="D380" s="104"/>
      <c r="E380" s="104"/>
    </row>
    <row r="381" spans="1:5" x14ac:dyDescent="0.25">
      <c r="A381" s="19"/>
      <c r="C381" s="104"/>
      <c r="D381" s="104"/>
      <c r="E381" s="104"/>
    </row>
    <row r="382" spans="1:5" x14ac:dyDescent="0.25">
      <c r="A382" s="19"/>
      <c r="C382" s="104"/>
      <c r="D382" s="104"/>
      <c r="E382" s="104"/>
    </row>
    <row r="383" spans="1:5" x14ac:dyDescent="0.25">
      <c r="A383" s="19"/>
      <c r="C383" s="104"/>
      <c r="D383" s="104"/>
      <c r="E383" s="104"/>
    </row>
    <row r="384" spans="1:5" x14ac:dyDescent="0.25">
      <c r="A384" s="19"/>
      <c r="C384" s="104"/>
      <c r="D384" s="104"/>
      <c r="E384" s="104"/>
    </row>
    <row r="385" spans="1:5" x14ac:dyDescent="0.25">
      <c r="A385" s="19"/>
      <c r="C385" s="104"/>
      <c r="D385" s="104"/>
      <c r="E385" s="104"/>
    </row>
    <row r="386" spans="1:5" x14ac:dyDescent="0.25">
      <c r="A386" s="19"/>
      <c r="C386" s="104"/>
      <c r="D386" s="104"/>
      <c r="E386" s="104"/>
    </row>
    <row r="387" spans="1:5" x14ac:dyDescent="0.25">
      <c r="A387" s="19"/>
      <c r="C387" s="104"/>
      <c r="D387" s="104"/>
      <c r="E387" s="104"/>
    </row>
    <row r="388" spans="1:5" x14ac:dyDescent="0.25">
      <c r="A388" s="19"/>
      <c r="C388" s="104"/>
      <c r="D388" s="104"/>
      <c r="E388" s="104"/>
    </row>
    <row r="389" spans="1:5" x14ac:dyDescent="0.25">
      <c r="A389" s="19"/>
      <c r="C389" s="104"/>
      <c r="D389" s="104"/>
      <c r="E389" s="104"/>
    </row>
    <row r="390" spans="1:5" x14ac:dyDescent="0.25">
      <c r="A390" s="19"/>
      <c r="C390" s="104"/>
      <c r="D390" s="104"/>
      <c r="E390" s="104"/>
    </row>
    <row r="391" spans="1:5" x14ac:dyDescent="0.25">
      <c r="A391" s="19"/>
      <c r="C391" s="104"/>
      <c r="D391" s="104"/>
      <c r="E391" s="104"/>
    </row>
    <row r="392" spans="1:5" x14ac:dyDescent="0.25">
      <c r="A392" s="19"/>
      <c r="C392" s="104"/>
      <c r="D392" s="104"/>
      <c r="E392" s="104"/>
    </row>
    <row r="393" spans="1:5" x14ac:dyDescent="0.25">
      <c r="A393" s="19"/>
      <c r="C393" s="104"/>
      <c r="D393" s="104"/>
      <c r="E393" s="104"/>
    </row>
    <row r="394" spans="1:5" x14ac:dyDescent="0.25">
      <c r="A394" s="19"/>
      <c r="C394" s="104"/>
      <c r="D394" s="104"/>
      <c r="E394" s="104"/>
    </row>
    <row r="395" spans="1:5" x14ac:dyDescent="0.25">
      <c r="A395" s="19"/>
      <c r="C395" s="104"/>
      <c r="D395" s="104"/>
      <c r="E395" s="104"/>
    </row>
    <row r="396" spans="1:5" x14ac:dyDescent="0.25">
      <c r="A396" s="19"/>
      <c r="C396" s="104"/>
      <c r="D396" s="104"/>
      <c r="E396" s="104"/>
    </row>
    <row r="397" spans="1:5" x14ac:dyDescent="0.25">
      <c r="A397" s="19"/>
      <c r="C397" s="104"/>
      <c r="D397" s="104"/>
      <c r="E397" s="104"/>
    </row>
    <row r="398" spans="1:5" x14ac:dyDescent="0.25">
      <c r="A398" s="19"/>
      <c r="C398" s="104"/>
      <c r="D398" s="104"/>
      <c r="E398" s="104"/>
    </row>
    <row r="399" spans="1:5" x14ac:dyDescent="0.25">
      <c r="A399" s="19"/>
      <c r="C399" s="104"/>
      <c r="D399" s="104"/>
      <c r="E399" s="104"/>
    </row>
    <row r="400" spans="1:5" x14ac:dyDescent="0.25">
      <c r="A400" s="19"/>
      <c r="C400" s="104"/>
      <c r="D400" s="104"/>
      <c r="E400" s="104"/>
    </row>
    <row r="401" spans="1:5" x14ac:dyDescent="0.25">
      <c r="A401" s="19"/>
      <c r="C401" s="104"/>
      <c r="D401" s="104"/>
      <c r="E401" s="104"/>
    </row>
    <row r="402" spans="1:5" x14ac:dyDescent="0.25">
      <c r="A402" s="19"/>
      <c r="C402" s="104"/>
      <c r="D402" s="104"/>
      <c r="E402" s="104"/>
    </row>
    <row r="403" spans="1:5" x14ac:dyDescent="0.25">
      <c r="A403" s="19"/>
      <c r="C403" s="104"/>
      <c r="D403" s="104"/>
      <c r="E403" s="104"/>
    </row>
    <row r="404" spans="1:5" x14ac:dyDescent="0.25">
      <c r="A404" s="19"/>
      <c r="C404" s="104"/>
      <c r="D404" s="104"/>
      <c r="E404" s="104"/>
    </row>
    <row r="405" spans="1:5" x14ac:dyDescent="0.25">
      <c r="A405" s="19"/>
      <c r="C405" s="104"/>
      <c r="D405" s="104"/>
      <c r="E405" s="104"/>
    </row>
    <row r="406" spans="1:5" x14ac:dyDescent="0.25">
      <c r="A406" s="19"/>
      <c r="C406" s="104"/>
      <c r="D406" s="104"/>
      <c r="E406" s="104"/>
    </row>
    <row r="407" spans="1:5" x14ac:dyDescent="0.25">
      <c r="A407" s="19"/>
      <c r="C407" s="104"/>
      <c r="D407" s="104"/>
      <c r="E407" s="104"/>
    </row>
    <row r="408" spans="1:5" x14ac:dyDescent="0.25">
      <c r="A408" s="19"/>
      <c r="C408" s="104"/>
      <c r="D408" s="104"/>
      <c r="E408" s="104"/>
    </row>
    <row r="409" spans="1:5" x14ac:dyDescent="0.25">
      <c r="A409" s="19"/>
      <c r="C409" s="104"/>
      <c r="D409" s="104"/>
      <c r="E409" s="104"/>
    </row>
    <row r="410" spans="1:5" x14ac:dyDescent="0.25">
      <c r="A410" s="19"/>
      <c r="C410" s="104"/>
      <c r="D410" s="104"/>
      <c r="E410" s="104"/>
    </row>
    <row r="411" spans="1:5" x14ac:dyDescent="0.25">
      <c r="A411" s="19"/>
      <c r="C411" s="104"/>
      <c r="D411" s="104"/>
      <c r="E411" s="104"/>
    </row>
    <row r="412" spans="1:5" x14ac:dyDescent="0.25">
      <c r="A412" s="19"/>
      <c r="C412" s="104"/>
      <c r="D412" s="104"/>
      <c r="E412" s="104"/>
    </row>
    <row r="413" spans="1:5" x14ac:dyDescent="0.25">
      <c r="A413" s="19"/>
      <c r="C413" s="104"/>
      <c r="D413" s="104"/>
      <c r="E413" s="104"/>
    </row>
    <row r="414" spans="1:5" x14ac:dyDescent="0.25">
      <c r="A414" s="19"/>
      <c r="C414" s="104"/>
      <c r="D414" s="104"/>
      <c r="E414" s="104"/>
    </row>
    <row r="415" spans="1:5" x14ac:dyDescent="0.25">
      <c r="A415" s="19"/>
      <c r="C415" s="104"/>
      <c r="D415" s="104"/>
      <c r="E415" s="104"/>
    </row>
    <row r="416" spans="1:5" x14ac:dyDescent="0.25">
      <c r="A416" s="19"/>
      <c r="C416" s="104"/>
      <c r="D416" s="104"/>
      <c r="E416" s="104"/>
    </row>
    <row r="417" spans="1:5" x14ac:dyDescent="0.25">
      <c r="A417" s="19"/>
      <c r="C417" s="104"/>
      <c r="D417" s="104"/>
      <c r="E417" s="104"/>
    </row>
    <row r="418" spans="1:5" x14ac:dyDescent="0.25">
      <c r="A418" s="19"/>
      <c r="C418" s="104"/>
      <c r="D418" s="104"/>
      <c r="E418" s="104"/>
    </row>
    <row r="419" spans="1:5" x14ac:dyDescent="0.25">
      <c r="A419" s="19"/>
      <c r="C419" s="104"/>
      <c r="D419" s="104"/>
      <c r="E419" s="104"/>
    </row>
    <row r="420" spans="1:5" x14ac:dyDescent="0.25">
      <c r="A420" s="19"/>
      <c r="C420" s="104"/>
      <c r="D420" s="104"/>
      <c r="E420" s="104"/>
    </row>
    <row r="421" spans="1:5" x14ac:dyDescent="0.25">
      <c r="A421" s="19"/>
      <c r="C421" s="104"/>
      <c r="D421" s="104"/>
      <c r="E421" s="104"/>
    </row>
    <row r="422" spans="1:5" x14ac:dyDescent="0.25">
      <c r="A422" s="19"/>
      <c r="C422" s="104"/>
      <c r="D422" s="104"/>
      <c r="E422" s="104"/>
    </row>
    <row r="423" spans="1:5" x14ac:dyDescent="0.25">
      <c r="A423" s="19"/>
      <c r="C423" s="104"/>
      <c r="D423" s="104"/>
      <c r="E423" s="104"/>
    </row>
    <row r="424" spans="1:5" x14ac:dyDescent="0.25">
      <c r="A424" s="19"/>
      <c r="C424" s="104"/>
      <c r="D424" s="104"/>
      <c r="E424" s="104"/>
    </row>
    <row r="425" spans="1:5" x14ac:dyDescent="0.25">
      <c r="A425" s="19"/>
      <c r="C425" s="104"/>
      <c r="D425" s="104"/>
      <c r="E425" s="104"/>
    </row>
    <row r="426" spans="1:5" x14ac:dyDescent="0.25">
      <c r="A426" s="19"/>
      <c r="C426" s="104"/>
      <c r="D426" s="104"/>
      <c r="E426" s="104"/>
    </row>
    <row r="427" spans="1:5" x14ac:dyDescent="0.25">
      <c r="A427" s="19"/>
      <c r="C427" s="104"/>
      <c r="D427" s="104"/>
      <c r="E427" s="104"/>
    </row>
    <row r="428" spans="1:5" x14ac:dyDescent="0.25">
      <c r="A428" s="19"/>
      <c r="C428" s="104"/>
      <c r="D428" s="104"/>
      <c r="E428" s="104"/>
    </row>
    <row r="429" spans="1:5" x14ac:dyDescent="0.25">
      <c r="A429" s="19"/>
      <c r="C429" s="104"/>
      <c r="D429" s="104"/>
      <c r="E429" s="104"/>
    </row>
    <row r="430" spans="1:5" x14ac:dyDescent="0.25">
      <c r="A430" s="19"/>
      <c r="C430" s="104"/>
      <c r="D430" s="104"/>
      <c r="E430" s="104"/>
    </row>
    <row r="431" spans="1:5" x14ac:dyDescent="0.25">
      <c r="A431" s="19"/>
      <c r="C431" s="104"/>
      <c r="D431" s="104"/>
      <c r="E431" s="104"/>
    </row>
    <row r="432" spans="1:5" x14ac:dyDescent="0.25">
      <c r="A432" s="19"/>
      <c r="C432" s="104"/>
      <c r="D432" s="104"/>
      <c r="E432" s="104"/>
    </row>
    <row r="433" spans="1:5" x14ac:dyDescent="0.25">
      <c r="A433" s="19"/>
      <c r="C433" s="104"/>
      <c r="D433" s="104"/>
      <c r="E433" s="104"/>
    </row>
    <row r="434" spans="1:5" x14ac:dyDescent="0.25">
      <c r="A434" s="19"/>
      <c r="C434" s="104"/>
      <c r="D434" s="104"/>
      <c r="E434" s="104"/>
    </row>
    <row r="435" spans="1:5" x14ac:dyDescent="0.25">
      <c r="A435" s="19"/>
      <c r="C435" s="104"/>
      <c r="D435" s="104"/>
      <c r="E435" s="104"/>
    </row>
    <row r="436" spans="1:5" x14ac:dyDescent="0.25">
      <c r="A436" s="19"/>
      <c r="C436" s="104"/>
      <c r="D436" s="104"/>
      <c r="E436" s="104"/>
    </row>
    <row r="437" spans="1:5" x14ac:dyDescent="0.25">
      <c r="A437" s="19"/>
      <c r="C437" s="104"/>
      <c r="D437" s="104"/>
      <c r="E437" s="104"/>
    </row>
    <row r="438" spans="1:5" x14ac:dyDescent="0.25">
      <c r="A438" s="19"/>
      <c r="C438" s="104"/>
      <c r="D438" s="104"/>
      <c r="E438" s="104"/>
    </row>
    <row r="439" spans="1:5" x14ac:dyDescent="0.25">
      <c r="A439" s="19"/>
      <c r="C439" s="104"/>
      <c r="D439" s="104"/>
      <c r="E439" s="104"/>
    </row>
    <row r="440" spans="1:5" x14ac:dyDescent="0.25">
      <c r="A440" s="19"/>
      <c r="C440" s="104"/>
      <c r="D440" s="104"/>
      <c r="E440" s="104"/>
    </row>
    <row r="441" spans="1:5" x14ac:dyDescent="0.25">
      <c r="A441" s="19"/>
      <c r="C441" s="104"/>
      <c r="D441" s="104"/>
      <c r="E441" s="104"/>
    </row>
    <row r="442" spans="1:5" x14ac:dyDescent="0.25">
      <c r="A442" s="19"/>
      <c r="C442" s="104"/>
      <c r="D442" s="104"/>
      <c r="E442" s="104"/>
    </row>
    <row r="443" spans="1:5" x14ac:dyDescent="0.25">
      <c r="A443" s="19"/>
      <c r="C443" s="104"/>
      <c r="D443" s="104"/>
      <c r="E443" s="104"/>
    </row>
    <row r="444" spans="1:5" x14ac:dyDescent="0.25">
      <c r="A444" s="19"/>
      <c r="C444" s="104"/>
      <c r="D444" s="104"/>
      <c r="E444" s="104"/>
    </row>
    <row r="445" spans="1:5" x14ac:dyDescent="0.25">
      <c r="A445" s="19"/>
      <c r="C445" s="104"/>
      <c r="D445" s="104"/>
      <c r="E445" s="104"/>
    </row>
    <row r="446" spans="1:5" x14ac:dyDescent="0.25">
      <c r="A446" s="19"/>
      <c r="C446" s="104"/>
      <c r="D446" s="104"/>
      <c r="E446" s="104"/>
    </row>
    <row r="447" spans="1:5" x14ac:dyDescent="0.25">
      <c r="A447" s="19"/>
      <c r="C447" s="104"/>
      <c r="D447" s="104"/>
      <c r="E447" s="104"/>
    </row>
    <row r="448" spans="1:5" x14ac:dyDescent="0.25">
      <c r="A448" s="19"/>
      <c r="C448" s="104"/>
      <c r="D448" s="104"/>
      <c r="E448" s="104"/>
    </row>
    <row r="449" spans="1:5" x14ac:dyDescent="0.25">
      <c r="A449" s="19"/>
      <c r="C449" s="104"/>
      <c r="D449" s="104"/>
      <c r="E449" s="104"/>
    </row>
    <row r="450" spans="1:5" x14ac:dyDescent="0.25">
      <c r="A450" s="19"/>
      <c r="C450" s="104"/>
      <c r="D450" s="104"/>
      <c r="E450" s="104"/>
    </row>
    <row r="451" spans="1:5" x14ac:dyDescent="0.25">
      <c r="A451" s="19"/>
      <c r="C451" s="104"/>
      <c r="D451" s="104"/>
      <c r="E451" s="104"/>
    </row>
    <row r="452" spans="1:5" x14ac:dyDescent="0.25">
      <c r="A452" s="19"/>
      <c r="C452" s="104"/>
      <c r="D452" s="104"/>
      <c r="E452" s="104"/>
    </row>
    <row r="453" spans="1:5" x14ac:dyDescent="0.25">
      <c r="A453" s="19"/>
      <c r="C453" s="104"/>
      <c r="D453" s="104"/>
      <c r="E453" s="104"/>
    </row>
    <row r="454" spans="1:5" x14ac:dyDescent="0.25">
      <c r="A454" s="19"/>
      <c r="C454" s="104"/>
      <c r="D454" s="104"/>
      <c r="E454" s="104"/>
    </row>
    <row r="455" spans="1:5" x14ac:dyDescent="0.25">
      <c r="A455" s="19"/>
      <c r="C455" s="104"/>
      <c r="D455" s="104"/>
      <c r="E455" s="104"/>
    </row>
    <row r="456" spans="1:5" x14ac:dyDescent="0.25">
      <c r="A456" s="19"/>
      <c r="C456" s="104"/>
      <c r="D456" s="104"/>
      <c r="E456" s="104"/>
    </row>
    <row r="457" spans="1:5" x14ac:dyDescent="0.25">
      <c r="A457" s="19"/>
      <c r="C457" s="104"/>
      <c r="D457" s="104"/>
      <c r="E457" s="104"/>
    </row>
    <row r="458" spans="1:5" x14ac:dyDescent="0.25">
      <c r="A458" s="19"/>
      <c r="C458" s="104"/>
      <c r="D458" s="104"/>
      <c r="E458" s="104"/>
    </row>
    <row r="459" spans="1:5" x14ac:dyDescent="0.25">
      <c r="A459" s="19"/>
      <c r="C459" s="104"/>
      <c r="D459" s="104"/>
      <c r="E459" s="104"/>
    </row>
    <row r="460" spans="1:5" x14ac:dyDescent="0.25">
      <c r="A460" s="19"/>
      <c r="C460" s="104"/>
      <c r="D460" s="104"/>
      <c r="E460" s="104"/>
    </row>
    <row r="461" spans="1:5" x14ac:dyDescent="0.25">
      <c r="A461" s="19"/>
      <c r="C461" s="104"/>
      <c r="D461" s="104"/>
      <c r="E461" s="104"/>
    </row>
    <row r="462" spans="1:5" x14ac:dyDescent="0.25">
      <c r="A462" s="19"/>
      <c r="C462" s="104"/>
      <c r="D462" s="104"/>
      <c r="E462" s="104"/>
    </row>
    <row r="463" spans="1:5" x14ac:dyDescent="0.25">
      <c r="A463" s="19"/>
      <c r="C463" s="104"/>
      <c r="D463" s="104"/>
      <c r="E463" s="104"/>
    </row>
    <row r="464" spans="1:5" x14ac:dyDescent="0.25">
      <c r="A464" s="19"/>
      <c r="C464" s="104"/>
      <c r="D464" s="104"/>
      <c r="E464" s="104"/>
    </row>
    <row r="465" spans="1:5" x14ac:dyDescent="0.25">
      <c r="A465" s="19"/>
      <c r="C465" s="104"/>
      <c r="D465" s="104"/>
      <c r="E465" s="104"/>
    </row>
    <row r="466" spans="1:5" x14ac:dyDescent="0.25">
      <c r="A466" s="19"/>
      <c r="C466" s="104"/>
      <c r="D466" s="104"/>
      <c r="E466" s="104"/>
    </row>
    <row r="467" spans="1:5" x14ac:dyDescent="0.25">
      <c r="A467" s="19"/>
      <c r="C467" s="104"/>
      <c r="D467" s="104"/>
      <c r="E467" s="104"/>
    </row>
    <row r="468" spans="1:5" x14ac:dyDescent="0.25">
      <c r="A468" s="19"/>
      <c r="C468" s="104"/>
      <c r="D468" s="104"/>
      <c r="E468" s="104"/>
    </row>
    <row r="469" spans="1:5" x14ac:dyDescent="0.25">
      <c r="A469" s="19"/>
      <c r="C469" s="104"/>
      <c r="D469" s="104"/>
      <c r="E469" s="104"/>
    </row>
    <row r="470" spans="1:5" x14ac:dyDescent="0.25">
      <c r="A470" s="19"/>
      <c r="C470" s="104"/>
      <c r="D470" s="104"/>
      <c r="E470" s="104"/>
    </row>
    <row r="471" spans="1:5" x14ac:dyDescent="0.25">
      <c r="A471" s="19"/>
      <c r="C471" s="104"/>
      <c r="D471" s="104"/>
      <c r="E471" s="104"/>
    </row>
    <row r="472" spans="1:5" x14ac:dyDescent="0.25">
      <c r="A472" s="19"/>
      <c r="C472" s="104"/>
      <c r="D472" s="104"/>
      <c r="E472" s="104"/>
    </row>
    <row r="473" spans="1:5" x14ac:dyDescent="0.25">
      <c r="A473" s="19"/>
      <c r="C473" s="104"/>
      <c r="D473" s="104"/>
      <c r="E473" s="104"/>
    </row>
    <row r="474" spans="1:5" x14ac:dyDescent="0.25">
      <c r="A474" s="19"/>
      <c r="C474" s="104"/>
      <c r="D474" s="104"/>
      <c r="E474" s="104"/>
    </row>
    <row r="475" spans="1:5" x14ac:dyDescent="0.25">
      <c r="A475" s="19"/>
      <c r="C475" s="104"/>
      <c r="D475" s="104"/>
      <c r="E475" s="104"/>
    </row>
    <row r="476" spans="1:5" x14ac:dyDescent="0.25">
      <c r="A476" s="19"/>
      <c r="C476" s="104"/>
      <c r="D476" s="104"/>
      <c r="E476" s="104"/>
    </row>
    <row r="477" spans="1:5" x14ac:dyDescent="0.25">
      <c r="A477" s="19"/>
      <c r="C477" s="104"/>
      <c r="D477" s="104"/>
      <c r="E477" s="104"/>
    </row>
    <row r="478" spans="1:5" x14ac:dyDescent="0.25">
      <c r="A478" s="19"/>
      <c r="C478" s="104"/>
      <c r="D478" s="104"/>
      <c r="E478" s="104"/>
    </row>
    <row r="479" spans="1:5" x14ac:dyDescent="0.25">
      <c r="A479" s="19"/>
      <c r="C479" s="104"/>
      <c r="D479" s="104"/>
      <c r="E479" s="104"/>
    </row>
    <row r="480" spans="1:5" x14ac:dyDescent="0.25">
      <c r="A480" s="19"/>
      <c r="C480" s="104"/>
      <c r="D480" s="104"/>
      <c r="E480" s="104"/>
    </row>
    <row r="481" spans="1:5" x14ac:dyDescent="0.25">
      <c r="A481" s="19"/>
      <c r="C481" s="104"/>
      <c r="D481" s="104"/>
      <c r="E481" s="104"/>
    </row>
    <row r="482" spans="1:5" x14ac:dyDescent="0.25">
      <c r="A482" s="19"/>
      <c r="C482" s="104"/>
      <c r="D482" s="104"/>
      <c r="E482" s="104"/>
    </row>
    <row r="483" spans="1:5" x14ac:dyDescent="0.25">
      <c r="A483" s="19"/>
      <c r="C483" s="104"/>
      <c r="D483" s="104"/>
      <c r="E483" s="104"/>
    </row>
    <row r="484" spans="1:5" x14ac:dyDescent="0.25">
      <c r="A484" s="19"/>
      <c r="C484" s="104"/>
      <c r="D484" s="104"/>
      <c r="E484" s="104"/>
    </row>
    <row r="485" spans="1:5" x14ac:dyDescent="0.25">
      <c r="A485" s="19"/>
      <c r="C485" s="104"/>
      <c r="D485" s="104"/>
      <c r="E485" s="104"/>
    </row>
    <row r="486" spans="1:5" x14ac:dyDescent="0.25">
      <c r="A486" s="19"/>
      <c r="C486" s="104"/>
      <c r="D486" s="104"/>
      <c r="E486" s="104"/>
    </row>
    <row r="487" spans="1:5" x14ac:dyDescent="0.25">
      <c r="A487" s="19"/>
      <c r="C487" s="104"/>
      <c r="D487" s="104"/>
      <c r="E487" s="104"/>
    </row>
    <row r="488" spans="1:5" x14ac:dyDescent="0.25">
      <c r="A488" s="19"/>
      <c r="C488" s="104"/>
      <c r="D488" s="104"/>
      <c r="E488" s="104"/>
    </row>
    <row r="489" spans="1:5" x14ac:dyDescent="0.25">
      <c r="A489" s="19"/>
      <c r="C489" s="104"/>
      <c r="D489" s="104"/>
      <c r="E489" s="104"/>
    </row>
    <row r="490" spans="1:5" x14ac:dyDescent="0.25">
      <c r="A490" s="19"/>
      <c r="C490" s="104"/>
      <c r="D490" s="104"/>
      <c r="E490" s="104"/>
    </row>
    <row r="491" spans="1:5" x14ac:dyDescent="0.25">
      <c r="A491" s="19"/>
      <c r="C491" s="104"/>
      <c r="D491" s="104"/>
      <c r="E491" s="104"/>
    </row>
    <row r="492" spans="1:5" x14ac:dyDescent="0.25">
      <c r="A492" s="19"/>
      <c r="C492" s="104"/>
      <c r="D492" s="104"/>
      <c r="E492" s="104"/>
    </row>
    <row r="493" spans="1:5" x14ac:dyDescent="0.25">
      <c r="A493" s="19"/>
      <c r="C493" s="104"/>
      <c r="D493" s="104"/>
      <c r="E493" s="104"/>
    </row>
    <row r="494" spans="1:5" x14ac:dyDescent="0.25">
      <c r="A494" s="19"/>
      <c r="C494" s="104"/>
      <c r="D494" s="104"/>
      <c r="E494" s="104"/>
    </row>
    <row r="495" spans="1:5" x14ac:dyDescent="0.25">
      <c r="A495" s="19"/>
      <c r="C495" s="104"/>
      <c r="D495" s="104"/>
      <c r="E495" s="104"/>
    </row>
    <row r="496" spans="1:5" x14ac:dyDescent="0.25">
      <c r="A496" s="19"/>
      <c r="C496" s="104"/>
      <c r="D496" s="104"/>
      <c r="E496" s="104"/>
    </row>
    <row r="497" spans="1:5" x14ac:dyDescent="0.25">
      <c r="A497" s="19"/>
      <c r="C497" s="104"/>
      <c r="D497" s="104"/>
      <c r="E497" s="104"/>
    </row>
    <row r="498" spans="1:5" x14ac:dyDescent="0.25">
      <c r="A498" s="19"/>
      <c r="C498" s="104"/>
      <c r="D498" s="104"/>
      <c r="E498" s="104"/>
    </row>
    <row r="499" spans="1:5" x14ac:dyDescent="0.25">
      <c r="A499" s="19"/>
      <c r="C499" s="104"/>
      <c r="D499" s="104"/>
      <c r="E499" s="104"/>
    </row>
    <row r="500" spans="1:5" x14ac:dyDescent="0.25">
      <c r="A500" s="19"/>
      <c r="C500" s="104"/>
      <c r="D500" s="104"/>
      <c r="E500" s="104"/>
    </row>
    <row r="501" spans="1:5" x14ac:dyDescent="0.25">
      <c r="A501" s="19"/>
      <c r="C501" s="104"/>
      <c r="D501" s="104"/>
      <c r="E501" s="104"/>
    </row>
    <row r="502" spans="1:5" x14ac:dyDescent="0.25">
      <c r="A502" s="19"/>
      <c r="C502" s="104"/>
      <c r="D502" s="104"/>
      <c r="E502" s="104"/>
    </row>
    <row r="503" spans="1:5" x14ac:dyDescent="0.25">
      <c r="A503" s="19"/>
      <c r="C503" s="104"/>
      <c r="D503" s="104"/>
      <c r="E503" s="104"/>
    </row>
    <row r="504" spans="1:5" x14ac:dyDescent="0.25">
      <c r="A504" s="19"/>
      <c r="C504" s="104"/>
      <c r="D504" s="104"/>
      <c r="E504" s="104"/>
    </row>
    <row r="505" spans="1:5" x14ac:dyDescent="0.25">
      <c r="A505" s="19"/>
      <c r="C505" s="104"/>
      <c r="D505" s="104"/>
      <c r="E505" s="104"/>
    </row>
    <row r="506" spans="1:5" x14ac:dyDescent="0.25">
      <c r="A506" s="19"/>
      <c r="C506" s="104"/>
      <c r="D506" s="104"/>
      <c r="E506" s="104"/>
    </row>
    <row r="507" spans="1:5" x14ac:dyDescent="0.25">
      <c r="A507" s="19"/>
      <c r="C507" s="104"/>
      <c r="D507" s="104"/>
      <c r="E507" s="104"/>
    </row>
    <row r="508" spans="1:5" x14ac:dyDescent="0.25">
      <c r="A508" s="19"/>
      <c r="C508" s="104"/>
      <c r="D508" s="104"/>
      <c r="E508" s="104"/>
    </row>
    <row r="509" spans="1:5" x14ac:dyDescent="0.25">
      <c r="A509" s="19"/>
      <c r="C509" s="104"/>
      <c r="D509" s="104"/>
      <c r="E509" s="104"/>
    </row>
    <row r="510" spans="1:5" x14ac:dyDescent="0.25">
      <c r="A510" s="19"/>
      <c r="C510" s="104"/>
      <c r="D510" s="104"/>
      <c r="E510" s="104"/>
    </row>
    <row r="511" spans="1:5" x14ac:dyDescent="0.25">
      <c r="A511" s="19"/>
      <c r="C511" s="104"/>
      <c r="D511" s="104"/>
      <c r="E511" s="104"/>
    </row>
    <row r="512" spans="1:5" x14ac:dyDescent="0.25">
      <c r="A512" s="19"/>
      <c r="C512" s="104"/>
      <c r="D512" s="104"/>
      <c r="E512" s="104"/>
    </row>
    <row r="513" spans="1:5" x14ac:dyDescent="0.25">
      <c r="A513" s="19"/>
      <c r="C513" s="104"/>
      <c r="D513" s="104"/>
      <c r="E513" s="104"/>
    </row>
    <row r="514" spans="1:5" x14ac:dyDescent="0.25">
      <c r="A514" s="19"/>
      <c r="C514" s="104"/>
      <c r="D514" s="104"/>
      <c r="E514" s="104"/>
    </row>
    <row r="515" spans="1:5" x14ac:dyDescent="0.25">
      <c r="A515" s="19"/>
      <c r="C515" s="104"/>
      <c r="D515" s="104"/>
      <c r="E515" s="104"/>
    </row>
    <row r="516" spans="1:5" x14ac:dyDescent="0.25">
      <c r="A516" s="19"/>
      <c r="C516" s="104"/>
      <c r="D516" s="104"/>
      <c r="E516" s="104"/>
    </row>
    <row r="517" spans="1:5" x14ac:dyDescent="0.25">
      <c r="A517" s="19"/>
      <c r="C517" s="104"/>
      <c r="D517" s="104"/>
      <c r="E517" s="104"/>
    </row>
    <row r="518" spans="1:5" x14ac:dyDescent="0.25">
      <c r="A518" s="19"/>
      <c r="C518" s="104"/>
      <c r="D518" s="104"/>
      <c r="E518" s="104"/>
    </row>
    <row r="519" spans="1:5" x14ac:dyDescent="0.25">
      <c r="A519" s="19"/>
      <c r="C519" s="104"/>
      <c r="D519" s="104"/>
      <c r="E519" s="104"/>
    </row>
    <row r="520" spans="1:5" x14ac:dyDescent="0.25">
      <c r="A520" s="19"/>
      <c r="C520" s="104"/>
      <c r="D520" s="104"/>
      <c r="E520" s="104"/>
    </row>
    <row r="521" spans="1:5" x14ac:dyDescent="0.25">
      <c r="A521" s="19"/>
      <c r="C521" s="104"/>
      <c r="D521" s="104"/>
      <c r="E521" s="104"/>
    </row>
    <row r="522" spans="1:5" x14ac:dyDescent="0.25">
      <c r="A522" s="19"/>
      <c r="C522" s="104"/>
      <c r="D522" s="104"/>
      <c r="E522" s="104"/>
    </row>
    <row r="523" spans="1:5" x14ac:dyDescent="0.25">
      <c r="A523" s="19"/>
      <c r="C523" s="104"/>
      <c r="D523" s="104"/>
      <c r="E523" s="104"/>
    </row>
    <row r="524" spans="1:5" x14ac:dyDescent="0.25">
      <c r="A524" s="19"/>
      <c r="C524" s="104"/>
      <c r="D524" s="104"/>
      <c r="E524" s="104"/>
    </row>
    <row r="525" spans="1:5" x14ac:dyDescent="0.25">
      <c r="A525" s="19"/>
      <c r="C525" s="104"/>
      <c r="D525" s="104"/>
      <c r="E525" s="104"/>
    </row>
    <row r="526" spans="1:5" x14ac:dyDescent="0.25">
      <c r="A526" s="19"/>
      <c r="C526" s="104"/>
      <c r="D526" s="104"/>
      <c r="E526" s="104"/>
    </row>
    <row r="527" spans="1:5" x14ac:dyDescent="0.25">
      <c r="A527" s="19"/>
      <c r="C527" s="104"/>
      <c r="D527" s="104"/>
      <c r="E527" s="104"/>
    </row>
    <row r="528" spans="1:5" x14ac:dyDescent="0.25">
      <c r="A528" s="19"/>
      <c r="C528" s="104"/>
      <c r="D528" s="104"/>
      <c r="E528" s="104"/>
    </row>
    <row r="529" spans="1:5" x14ac:dyDescent="0.25">
      <c r="A529" s="19"/>
      <c r="C529" s="104"/>
      <c r="D529" s="104"/>
      <c r="E529" s="104"/>
    </row>
    <row r="530" spans="1:5" x14ac:dyDescent="0.25">
      <c r="A530" s="19"/>
      <c r="C530" s="104"/>
      <c r="D530" s="104"/>
      <c r="E530" s="104"/>
    </row>
    <row r="531" spans="1:5" x14ac:dyDescent="0.25">
      <c r="A531" s="19"/>
      <c r="C531" s="104"/>
      <c r="D531" s="104"/>
      <c r="E531" s="104"/>
    </row>
    <row r="532" spans="1:5" x14ac:dyDescent="0.25">
      <c r="A532" s="19"/>
      <c r="C532" s="104"/>
      <c r="D532" s="104"/>
      <c r="E532" s="104"/>
    </row>
    <row r="533" spans="1:5" x14ac:dyDescent="0.25">
      <c r="A533" s="19"/>
      <c r="C533" s="104"/>
      <c r="D533" s="104"/>
      <c r="E533" s="104"/>
    </row>
    <row r="534" spans="1:5" x14ac:dyDescent="0.25">
      <c r="A534" s="19"/>
      <c r="C534" s="104"/>
      <c r="D534" s="104"/>
      <c r="E534" s="104"/>
    </row>
    <row r="535" spans="1:5" x14ac:dyDescent="0.25">
      <c r="A535" s="19"/>
      <c r="C535" s="104"/>
      <c r="D535" s="104"/>
      <c r="E535" s="104"/>
    </row>
    <row r="536" spans="1:5" x14ac:dyDescent="0.25">
      <c r="A536" s="19"/>
      <c r="C536" s="104"/>
      <c r="D536" s="104"/>
      <c r="E536" s="104"/>
    </row>
    <row r="537" spans="1:5" x14ac:dyDescent="0.25">
      <c r="A537" s="19"/>
      <c r="C537" s="104"/>
      <c r="D537" s="104"/>
      <c r="E537" s="104"/>
    </row>
    <row r="538" spans="1:5" x14ac:dyDescent="0.25">
      <c r="A538" s="19"/>
      <c r="C538" s="104"/>
      <c r="D538" s="104"/>
      <c r="E538" s="104"/>
    </row>
    <row r="539" spans="1:5" x14ac:dyDescent="0.25">
      <c r="A539" s="19"/>
      <c r="C539" s="104"/>
      <c r="D539" s="104"/>
      <c r="E539" s="104"/>
    </row>
    <row r="540" spans="1:5" x14ac:dyDescent="0.25">
      <c r="A540" s="19"/>
      <c r="C540" s="104"/>
      <c r="D540" s="104"/>
      <c r="E540" s="104"/>
    </row>
    <row r="541" spans="1:5" x14ac:dyDescent="0.25">
      <c r="A541" s="19"/>
      <c r="C541" s="104"/>
      <c r="D541" s="104"/>
      <c r="E541" s="104"/>
    </row>
    <row r="542" spans="1:5" x14ac:dyDescent="0.25">
      <c r="A542" s="19"/>
      <c r="C542" s="104"/>
      <c r="D542" s="104"/>
      <c r="E542" s="104"/>
    </row>
    <row r="543" spans="1:5" x14ac:dyDescent="0.25">
      <c r="A543" s="19"/>
      <c r="C543" s="104"/>
      <c r="D543" s="104"/>
      <c r="E543" s="104"/>
    </row>
    <row r="544" spans="1:5" x14ac:dyDescent="0.25">
      <c r="A544" s="19"/>
      <c r="C544" s="104"/>
      <c r="D544" s="104"/>
      <c r="E544" s="104"/>
    </row>
    <row r="545" spans="1:5" x14ac:dyDescent="0.25">
      <c r="A545" s="19"/>
      <c r="C545" s="104"/>
      <c r="D545" s="104"/>
      <c r="E545" s="104"/>
    </row>
    <row r="546" spans="1:5" x14ac:dyDescent="0.25">
      <c r="A546" s="19"/>
      <c r="C546" s="104"/>
      <c r="D546" s="104"/>
      <c r="E546" s="104"/>
    </row>
    <row r="547" spans="1:5" x14ac:dyDescent="0.25">
      <c r="A547" s="19"/>
      <c r="C547" s="104"/>
      <c r="D547" s="104"/>
      <c r="E547" s="104"/>
    </row>
    <row r="548" spans="1:5" x14ac:dyDescent="0.25">
      <c r="A548" s="19"/>
      <c r="C548" s="104"/>
      <c r="D548" s="104"/>
      <c r="E548" s="104"/>
    </row>
    <row r="549" spans="1:5" x14ac:dyDescent="0.25">
      <c r="A549" s="19"/>
      <c r="C549" s="104"/>
      <c r="D549" s="104"/>
      <c r="E549" s="104"/>
    </row>
    <row r="550" spans="1:5" x14ac:dyDescent="0.25">
      <c r="A550" s="19"/>
      <c r="C550" s="104"/>
      <c r="D550" s="104"/>
      <c r="E550" s="104"/>
    </row>
    <row r="551" spans="1:5" x14ac:dyDescent="0.25">
      <c r="A551" s="19"/>
      <c r="C551" s="104"/>
      <c r="D551" s="104"/>
      <c r="E551" s="104"/>
    </row>
    <row r="552" spans="1:5" x14ac:dyDescent="0.25">
      <c r="A552" s="19"/>
      <c r="C552" s="104"/>
      <c r="D552" s="104"/>
      <c r="E552" s="104"/>
    </row>
    <row r="553" spans="1:5" x14ac:dyDescent="0.25">
      <c r="A553" s="19"/>
      <c r="C553" s="104"/>
      <c r="D553" s="104"/>
      <c r="E553" s="104"/>
    </row>
    <row r="554" spans="1:5" x14ac:dyDescent="0.25">
      <c r="A554" s="19"/>
      <c r="C554" s="104"/>
      <c r="D554" s="104"/>
      <c r="E554" s="104"/>
    </row>
    <row r="555" spans="1:5" x14ac:dyDescent="0.25">
      <c r="A555" s="19"/>
      <c r="C555" s="104"/>
      <c r="D555" s="104"/>
      <c r="E555" s="104"/>
    </row>
    <row r="556" spans="1:5" x14ac:dyDescent="0.25">
      <c r="A556" s="19"/>
      <c r="C556" s="104"/>
      <c r="D556" s="104"/>
      <c r="E556" s="104"/>
    </row>
    <row r="557" spans="1:5" x14ac:dyDescent="0.25">
      <c r="A557" s="19"/>
      <c r="C557" s="104"/>
      <c r="D557" s="104"/>
      <c r="E557" s="104"/>
    </row>
    <row r="558" spans="1:5" x14ac:dyDescent="0.25">
      <c r="A558" s="19"/>
      <c r="C558" s="104"/>
      <c r="D558" s="104"/>
      <c r="E558" s="104"/>
    </row>
    <row r="559" spans="1:5" x14ac:dyDescent="0.25">
      <c r="A559" s="19"/>
      <c r="C559" s="104"/>
      <c r="D559" s="104"/>
      <c r="E559" s="104"/>
    </row>
    <row r="560" spans="1:5" x14ac:dyDescent="0.25">
      <c r="A560" s="19"/>
      <c r="C560" s="104"/>
      <c r="D560" s="104"/>
      <c r="E560" s="104"/>
    </row>
    <row r="561" spans="1:5" x14ac:dyDescent="0.25">
      <c r="A561" s="19"/>
      <c r="C561" s="104"/>
      <c r="D561" s="104"/>
      <c r="E561" s="104"/>
    </row>
    <row r="562" spans="1:5" x14ac:dyDescent="0.25">
      <c r="A562" s="19"/>
      <c r="C562" s="104"/>
      <c r="D562" s="104"/>
      <c r="E562" s="104"/>
    </row>
    <row r="563" spans="1:5" x14ac:dyDescent="0.25">
      <c r="A563" s="19"/>
      <c r="C563" s="104"/>
      <c r="D563" s="104"/>
      <c r="E563" s="104"/>
    </row>
    <row r="564" spans="1:5" x14ac:dyDescent="0.25">
      <c r="A564" s="19"/>
      <c r="C564" s="104"/>
      <c r="D564" s="104"/>
      <c r="E564" s="104"/>
    </row>
    <row r="565" spans="1:5" x14ac:dyDescent="0.25">
      <c r="A565" s="19"/>
      <c r="C565" s="104"/>
      <c r="D565" s="104"/>
      <c r="E565" s="104"/>
    </row>
    <row r="566" spans="1:5" x14ac:dyDescent="0.25">
      <c r="A566" s="19"/>
      <c r="C566" s="104"/>
      <c r="D566" s="104"/>
      <c r="E566" s="104"/>
    </row>
    <row r="567" spans="1:5" x14ac:dyDescent="0.25">
      <c r="A567" s="19"/>
      <c r="C567" s="104"/>
      <c r="D567" s="104"/>
      <c r="E567" s="104"/>
    </row>
    <row r="568" spans="1:5" x14ac:dyDescent="0.25">
      <c r="A568" s="19"/>
      <c r="C568" s="104"/>
      <c r="D568" s="104"/>
      <c r="E568" s="104"/>
    </row>
    <row r="569" spans="1:5" x14ac:dyDescent="0.25">
      <c r="A569" s="19"/>
      <c r="C569" s="104"/>
      <c r="D569" s="104"/>
      <c r="E569" s="104"/>
    </row>
    <row r="570" spans="1:5" x14ac:dyDescent="0.25">
      <c r="A570" s="19"/>
      <c r="C570" s="104"/>
      <c r="D570" s="104"/>
      <c r="E570" s="104"/>
    </row>
    <row r="571" spans="1:5" x14ac:dyDescent="0.25">
      <c r="A571" s="19"/>
      <c r="C571" s="104"/>
      <c r="D571" s="104"/>
      <c r="E571" s="104"/>
    </row>
    <row r="572" spans="1:5" x14ac:dyDescent="0.25">
      <c r="A572" s="19"/>
      <c r="C572" s="104"/>
      <c r="D572" s="104"/>
      <c r="E572" s="104"/>
    </row>
    <row r="573" spans="1:5" x14ac:dyDescent="0.25">
      <c r="A573" s="19"/>
      <c r="C573" s="104"/>
      <c r="D573" s="104"/>
      <c r="E573" s="104"/>
    </row>
    <row r="574" spans="1:5" x14ac:dyDescent="0.25">
      <c r="A574" s="19"/>
      <c r="C574" s="104"/>
      <c r="D574" s="104"/>
      <c r="E574" s="104"/>
    </row>
    <row r="575" spans="1:5" x14ac:dyDescent="0.25">
      <c r="A575" s="19"/>
      <c r="C575" s="104"/>
      <c r="D575" s="104"/>
      <c r="E575" s="104"/>
    </row>
    <row r="576" spans="1:5" x14ac:dyDescent="0.25">
      <c r="A576" s="19"/>
      <c r="C576" s="104"/>
      <c r="D576" s="104"/>
      <c r="E576" s="104"/>
    </row>
    <row r="577" spans="1:5" x14ac:dyDescent="0.25">
      <c r="A577" s="19"/>
      <c r="C577" s="104"/>
      <c r="D577" s="104"/>
      <c r="E577" s="104"/>
    </row>
    <row r="578" spans="1:5" x14ac:dyDescent="0.25">
      <c r="A578" s="19"/>
      <c r="C578" s="104"/>
      <c r="D578" s="104"/>
      <c r="E578" s="104"/>
    </row>
    <row r="579" spans="1:5" x14ac:dyDescent="0.25">
      <c r="A579" s="19"/>
      <c r="C579" s="104"/>
      <c r="D579" s="104"/>
      <c r="E579" s="104"/>
    </row>
    <row r="580" spans="1:5" x14ac:dyDescent="0.25">
      <c r="A580" s="19"/>
      <c r="C580" s="104"/>
      <c r="D580" s="104"/>
      <c r="E580" s="104"/>
    </row>
    <row r="581" spans="1:5" x14ac:dyDescent="0.25">
      <c r="A581" s="19"/>
      <c r="C581" s="104"/>
      <c r="D581" s="104"/>
      <c r="E581" s="104"/>
    </row>
    <row r="582" spans="1:5" x14ac:dyDescent="0.25">
      <c r="A582" s="19"/>
      <c r="C582" s="104"/>
      <c r="D582" s="104"/>
      <c r="E582" s="104"/>
    </row>
    <row r="583" spans="1:5" x14ac:dyDescent="0.25">
      <c r="A583" s="19"/>
      <c r="C583" s="104"/>
      <c r="D583" s="104"/>
      <c r="E583" s="104"/>
    </row>
    <row r="584" spans="1:5" x14ac:dyDescent="0.25">
      <c r="A584" s="19"/>
      <c r="C584" s="104"/>
      <c r="D584" s="104"/>
      <c r="E584" s="104"/>
    </row>
    <row r="585" spans="1:5" x14ac:dyDescent="0.25">
      <c r="A585" s="19"/>
      <c r="C585" s="104"/>
      <c r="D585" s="104"/>
      <c r="E585" s="104"/>
    </row>
    <row r="586" spans="1:5" x14ac:dyDescent="0.25">
      <c r="A586" s="19"/>
      <c r="C586" s="104"/>
      <c r="D586" s="104"/>
      <c r="E586" s="104"/>
    </row>
    <row r="587" spans="1:5" x14ac:dyDescent="0.25">
      <c r="A587" s="19"/>
      <c r="C587" s="104"/>
      <c r="D587" s="104"/>
      <c r="E587" s="104"/>
    </row>
    <row r="588" spans="1:5" x14ac:dyDescent="0.25">
      <c r="A588" s="19"/>
      <c r="C588" s="104"/>
      <c r="D588" s="104"/>
      <c r="E588" s="104"/>
    </row>
    <row r="589" spans="1:5" x14ac:dyDescent="0.25">
      <c r="A589" s="19"/>
      <c r="C589" s="104"/>
      <c r="D589" s="104"/>
      <c r="E589" s="104"/>
    </row>
    <row r="590" spans="1:5" x14ac:dyDescent="0.25">
      <c r="A590" s="19"/>
      <c r="C590" s="104"/>
      <c r="D590" s="104"/>
      <c r="E590" s="104"/>
    </row>
    <row r="591" spans="1:5" x14ac:dyDescent="0.25">
      <c r="A591" s="19"/>
      <c r="C591" s="104"/>
      <c r="D591" s="104"/>
      <c r="E591" s="104"/>
    </row>
    <row r="592" spans="1:5" x14ac:dyDescent="0.25">
      <c r="A592" s="19"/>
      <c r="C592" s="104"/>
      <c r="D592" s="104"/>
      <c r="E592" s="104"/>
    </row>
    <row r="593" spans="1:5" x14ac:dyDescent="0.25">
      <c r="A593" s="19"/>
      <c r="C593" s="104"/>
      <c r="D593" s="104"/>
      <c r="E593" s="104"/>
    </row>
    <row r="594" spans="1:5" x14ac:dyDescent="0.25">
      <c r="A594" s="19"/>
      <c r="C594" s="104"/>
      <c r="D594" s="104"/>
      <c r="E594" s="104"/>
    </row>
    <row r="595" spans="1:5" x14ac:dyDescent="0.25">
      <c r="A595" s="19"/>
      <c r="C595" s="104"/>
      <c r="D595" s="104"/>
      <c r="E595" s="104"/>
    </row>
    <row r="596" spans="1:5" x14ac:dyDescent="0.25">
      <c r="A596" s="19"/>
      <c r="C596" s="104"/>
      <c r="D596" s="104"/>
      <c r="E596" s="104"/>
    </row>
    <row r="597" spans="1:5" x14ac:dyDescent="0.25">
      <c r="A597" s="19"/>
      <c r="C597" s="104"/>
      <c r="D597" s="104"/>
      <c r="E597" s="104"/>
    </row>
    <row r="598" spans="1:5" x14ac:dyDescent="0.25">
      <c r="A598" s="19"/>
      <c r="C598" s="104"/>
      <c r="D598" s="104"/>
      <c r="E598" s="104"/>
    </row>
    <row r="599" spans="1:5" x14ac:dyDescent="0.25">
      <c r="A599" s="19"/>
      <c r="C599" s="104"/>
      <c r="D599" s="104"/>
      <c r="E599" s="104"/>
    </row>
    <row r="600" spans="1:5" x14ac:dyDescent="0.25">
      <c r="A600" s="19"/>
      <c r="C600" s="104"/>
      <c r="D600" s="104"/>
      <c r="E600" s="104"/>
    </row>
    <row r="601" spans="1:5" x14ac:dyDescent="0.25">
      <c r="A601" s="19"/>
      <c r="C601" s="104"/>
      <c r="D601" s="104"/>
      <c r="E601" s="104"/>
    </row>
    <row r="602" spans="1:5" x14ac:dyDescent="0.25">
      <c r="A602" s="19"/>
      <c r="C602" s="104"/>
      <c r="D602" s="104"/>
      <c r="E602" s="104"/>
    </row>
    <row r="603" spans="1:5" x14ac:dyDescent="0.25">
      <c r="A603" s="19"/>
      <c r="C603" s="104"/>
      <c r="D603" s="104"/>
      <c r="E603" s="104"/>
    </row>
    <row r="604" spans="1:5" x14ac:dyDescent="0.25">
      <c r="A604" s="19"/>
      <c r="C604" s="104"/>
      <c r="D604" s="104"/>
      <c r="E604" s="104"/>
    </row>
    <row r="605" spans="1:5" x14ac:dyDescent="0.25">
      <c r="A605" s="19"/>
      <c r="C605" s="104"/>
      <c r="D605" s="104"/>
      <c r="E605" s="104"/>
    </row>
    <row r="606" spans="1:5" x14ac:dyDescent="0.25">
      <c r="A606" s="19"/>
      <c r="C606" s="104"/>
      <c r="D606" s="104"/>
      <c r="E606" s="104"/>
    </row>
    <row r="607" spans="1:5" x14ac:dyDescent="0.25">
      <c r="A607" s="19"/>
      <c r="C607" s="104"/>
      <c r="D607" s="104"/>
      <c r="E607" s="104"/>
    </row>
    <row r="608" spans="1:5" x14ac:dyDescent="0.25">
      <c r="A608" s="19"/>
      <c r="C608" s="104"/>
      <c r="D608" s="104"/>
      <c r="E608" s="104"/>
    </row>
    <row r="609" spans="1:5" x14ac:dyDescent="0.25">
      <c r="A609" s="19"/>
      <c r="C609" s="104"/>
      <c r="D609" s="104"/>
      <c r="E609" s="104"/>
    </row>
    <row r="610" spans="1:5" x14ac:dyDescent="0.25">
      <c r="A610" s="19"/>
      <c r="C610" s="104"/>
      <c r="D610" s="104"/>
      <c r="E610" s="104"/>
    </row>
    <row r="611" spans="1:5" x14ac:dyDescent="0.25">
      <c r="A611" s="19"/>
      <c r="C611" s="104"/>
      <c r="D611" s="104"/>
      <c r="E611" s="104"/>
    </row>
    <row r="612" spans="1:5" x14ac:dyDescent="0.25">
      <c r="A612" s="19"/>
      <c r="C612" s="104"/>
      <c r="D612" s="104"/>
      <c r="E612" s="104"/>
    </row>
    <row r="613" spans="1:5" x14ac:dyDescent="0.25">
      <c r="A613" s="19"/>
      <c r="C613" s="104"/>
      <c r="D613" s="104"/>
      <c r="E613" s="104"/>
    </row>
    <row r="614" spans="1:5" x14ac:dyDescent="0.25">
      <c r="A614" s="19"/>
      <c r="C614" s="104"/>
      <c r="D614" s="104"/>
      <c r="E614" s="104"/>
    </row>
    <row r="615" spans="1:5" x14ac:dyDescent="0.25">
      <c r="A615" s="19"/>
      <c r="C615" s="104"/>
      <c r="D615" s="104"/>
      <c r="E615" s="104"/>
    </row>
    <row r="616" spans="1:5" x14ac:dyDescent="0.25">
      <c r="A616" s="19"/>
      <c r="C616" s="104"/>
      <c r="D616" s="104"/>
      <c r="E616" s="104"/>
    </row>
    <row r="617" spans="1:5" x14ac:dyDescent="0.25">
      <c r="A617" s="19"/>
      <c r="C617" s="104"/>
      <c r="D617" s="104"/>
      <c r="E617" s="104"/>
    </row>
    <row r="618" spans="1:5" x14ac:dyDescent="0.25">
      <c r="A618" s="19"/>
      <c r="C618" s="104"/>
      <c r="D618" s="104"/>
      <c r="E618" s="104"/>
    </row>
    <row r="619" spans="1:5" x14ac:dyDescent="0.25">
      <c r="A619" s="19"/>
      <c r="C619" s="104"/>
      <c r="D619" s="104"/>
      <c r="E619" s="104"/>
    </row>
    <row r="620" spans="1:5" x14ac:dyDescent="0.25">
      <c r="A620" s="19"/>
      <c r="C620" s="104"/>
      <c r="D620" s="104"/>
      <c r="E620" s="104"/>
    </row>
    <row r="621" spans="1:5" x14ac:dyDescent="0.25">
      <c r="A621" s="19"/>
      <c r="C621" s="104"/>
      <c r="D621" s="104"/>
      <c r="E621" s="104"/>
    </row>
    <row r="622" spans="1:5" x14ac:dyDescent="0.25">
      <c r="A622" s="19"/>
      <c r="C622" s="104"/>
      <c r="D622" s="104"/>
      <c r="E622" s="104"/>
    </row>
    <row r="623" spans="1:5" x14ac:dyDescent="0.25">
      <c r="A623" s="19"/>
      <c r="C623" s="104"/>
      <c r="D623" s="104"/>
      <c r="E623" s="104"/>
    </row>
    <row r="624" spans="1:5" x14ac:dyDescent="0.25">
      <c r="A624" s="19"/>
      <c r="C624" s="104"/>
      <c r="D624" s="104"/>
      <c r="E624" s="104"/>
    </row>
    <row r="625" spans="1:5" x14ac:dyDescent="0.25">
      <c r="A625" s="19"/>
      <c r="C625" s="104"/>
      <c r="D625" s="104"/>
      <c r="E625" s="104"/>
    </row>
    <row r="626" spans="1:5" x14ac:dyDescent="0.25">
      <c r="A626" s="19"/>
      <c r="C626" s="104"/>
      <c r="D626" s="104"/>
      <c r="E626" s="104"/>
    </row>
    <row r="627" spans="1:5" x14ac:dyDescent="0.25">
      <c r="A627" s="19"/>
      <c r="C627" s="104"/>
      <c r="D627" s="104"/>
      <c r="E627" s="104"/>
    </row>
    <row r="628" spans="1:5" x14ac:dyDescent="0.25">
      <c r="A628" s="19"/>
      <c r="C628" s="104"/>
      <c r="D628" s="104"/>
      <c r="E628" s="104"/>
    </row>
    <row r="629" spans="1:5" x14ac:dyDescent="0.25">
      <c r="A629" s="19"/>
      <c r="C629" s="104"/>
      <c r="D629" s="104"/>
      <c r="E629" s="104"/>
    </row>
    <row r="630" spans="1:5" x14ac:dyDescent="0.25">
      <c r="A630" s="19"/>
      <c r="C630" s="104"/>
      <c r="D630" s="104"/>
      <c r="E630" s="104"/>
    </row>
    <row r="631" spans="1:5" x14ac:dyDescent="0.25">
      <c r="A631" s="19"/>
      <c r="C631" s="104"/>
      <c r="D631" s="104"/>
      <c r="E631" s="104"/>
    </row>
    <row r="632" spans="1:5" x14ac:dyDescent="0.25">
      <c r="A632" s="19"/>
      <c r="C632" s="104"/>
      <c r="D632" s="104"/>
      <c r="E632" s="104"/>
    </row>
    <row r="633" spans="1:5" x14ac:dyDescent="0.25">
      <c r="A633" s="19"/>
      <c r="C633" s="104"/>
      <c r="D633" s="104"/>
      <c r="E633" s="104"/>
    </row>
    <row r="634" spans="1:5" x14ac:dyDescent="0.25">
      <c r="A634" s="19"/>
      <c r="C634" s="104"/>
      <c r="D634" s="104"/>
      <c r="E634" s="104"/>
    </row>
    <row r="635" spans="1:5" x14ac:dyDescent="0.25">
      <c r="A635" s="19"/>
      <c r="C635" s="104"/>
      <c r="D635" s="104"/>
      <c r="E635" s="104"/>
    </row>
    <row r="636" spans="1:5" x14ac:dyDescent="0.25">
      <c r="A636" s="19"/>
      <c r="C636" s="104"/>
      <c r="D636" s="104"/>
      <c r="E636" s="104"/>
    </row>
    <row r="637" spans="1:5" x14ac:dyDescent="0.25">
      <c r="A637" s="19"/>
      <c r="C637" s="104"/>
      <c r="D637" s="104"/>
      <c r="E637" s="104"/>
    </row>
    <row r="638" spans="1:5" x14ac:dyDescent="0.25">
      <c r="A638" s="19"/>
      <c r="C638" s="104"/>
      <c r="D638" s="104"/>
      <c r="E638" s="104"/>
    </row>
    <row r="639" spans="1:5" x14ac:dyDescent="0.25">
      <c r="A639" s="19"/>
      <c r="C639" s="104"/>
      <c r="D639" s="104"/>
      <c r="E639" s="104"/>
    </row>
    <row r="640" spans="1:5" x14ac:dyDescent="0.25">
      <c r="A640" s="19"/>
      <c r="C640" s="104"/>
      <c r="D640" s="104"/>
      <c r="E640" s="104"/>
    </row>
    <row r="641" spans="1:5" x14ac:dyDescent="0.25">
      <c r="A641" s="19"/>
      <c r="C641" s="104"/>
      <c r="D641" s="104"/>
      <c r="E641" s="104"/>
    </row>
    <row r="642" spans="1:5" x14ac:dyDescent="0.25">
      <c r="A642" s="19"/>
      <c r="C642" s="104"/>
      <c r="D642" s="104"/>
      <c r="E642" s="104"/>
    </row>
    <row r="643" spans="1:5" x14ac:dyDescent="0.25">
      <c r="A643" s="19"/>
      <c r="C643" s="104"/>
      <c r="D643" s="104"/>
      <c r="E643" s="104"/>
    </row>
    <row r="644" spans="1:5" x14ac:dyDescent="0.25">
      <c r="A644" s="19"/>
      <c r="C644" s="104"/>
      <c r="D644" s="104"/>
      <c r="E644" s="104"/>
    </row>
    <row r="645" spans="1:5" x14ac:dyDescent="0.25">
      <c r="A645" s="19"/>
      <c r="C645" s="104"/>
      <c r="D645" s="104"/>
      <c r="E645" s="104"/>
    </row>
    <row r="646" spans="1:5" x14ac:dyDescent="0.25">
      <c r="A646" s="19"/>
      <c r="C646" s="104"/>
      <c r="D646" s="104"/>
      <c r="E646" s="104"/>
    </row>
    <row r="647" spans="1:5" x14ac:dyDescent="0.25">
      <c r="A647" s="19"/>
      <c r="C647" s="104"/>
      <c r="D647" s="104"/>
      <c r="E647" s="104"/>
    </row>
    <row r="648" spans="1:5" x14ac:dyDescent="0.25">
      <c r="A648" s="19"/>
      <c r="C648" s="104"/>
      <c r="D648" s="104"/>
      <c r="E648" s="104"/>
    </row>
    <row r="649" spans="1:5" x14ac:dyDescent="0.25">
      <c r="A649" s="19"/>
      <c r="C649" s="104"/>
      <c r="D649" s="104"/>
      <c r="E649" s="104"/>
    </row>
    <row r="650" spans="1:5" x14ac:dyDescent="0.25">
      <c r="A650" s="19"/>
      <c r="C650" s="104"/>
      <c r="D650" s="104"/>
      <c r="E650" s="104"/>
    </row>
    <row r="651" spans="1:5" x14ac:dyDescent="0.25">
      <c r="A651" s="19"/>
      <c r="C651" s="104"/>
      <c r="D651" s="104"/>
      <c r="E651" s="104"/>
    </row>
    <row r="652" spans="1:5" x14ac:dyDescent="0.25">
      <c r="A652" s="19"/>
      <c r="C652" s="104"/>
      <c r="D652" s="104"/>
      <c r="E652" s="104"/>
    </row>
    <row r="653" spans="1:5" x14ac:dyDescent="0.25">
      <c r="A653" s="19"/>
      <c r="C653" s="104"/>
      <c r="D653" s="104"/>
      <c r="E653" s="104"/>
    </row>
    <row r="654" spans="1:5" x14ac:dyDescent="0.25">
      <c r="A654" s="19"/>
      <c r="C654" s="104"/>
      <c r="D654" s="104"/>
      <c r="E654" s="104"/>
    </row>
    <row r="655" spans="1:5" x14ac:dyDescent="0.25">
      <c r="A655" s="19"/>
      <c r="C655" s="104"/>
      <c r="D655" s="104"/>
      <c r="E655" s="104"/>
    </row>
    <row r="656" spans="1:5" x14ac:dyDescent="0.25">
      <c r="A656" s="19"/>
      <c r="C656" s="104"/>
      <c r="D656" s="104"/>
      <c r="E656" s="104"/>
    </row>
    <row r="657" spans="1:5" x14ac:dyDescent="0.25">
      <c r="A657" s="19"/>
      <c r="C657" s="104"/>
      <c r="D657" s="104"/>
      <c r="E657" s="104"/>
    </row>
    <row r="658" spans="1:5" x14ac:dyDescent="0.25">
      <c r="A658" s="19"/>
      <c r="C658" s="104"/>
      <c r="D658" s="104"/>
      <c r="E658" s="104"/>
    </row>
    <row r="659" spans="1:5" x14ac:dyDescent="0.25">
      <c r="A659" s="19"/>
      <c r="C659" s="104"/>
      <c r="D659" s="104"/>
      <c r="E659" s="104"/>
    </row>
    <row r="660" spans="1:5" x14ac:dyDescent="0.25">
      <c r="A660" s="19"/>
      <c r="C660" s="104"/>
      <c r="D660" s="104"/>
      <c r="E660" s="104"/>
    </row>
    <row r="661" spans="1:5" x14ac:dyDescent="0.25">
      <c r="A661" s="19"/>
      <c r="C661" s="104"/>
      <c r="D661" s="104"/>
      <c r="E661" s="104"/>
    </row>
    <row r="662" spans="1:5" x14ac:dyDescent="0.25">
      <c r="A662" s="19"/>
      <c r="C662" s="104"/>
      <c r="D662" s="104"/>
      <c r="E662" s="104"/>
    </row>
    <row r="663" spans="1:5" x14ac:dyDescent="0.25">
      <c r="A663" s="19"/>
      <c r="C663" s="104"/>
      <c r="D663" s="104"/>
      <c r="E663" s="104"/>
    </row>
    <row r="664" spans="1:5" x14ac:dyDescent="0.25">
      <c r="A664" s="19"/>
      <c r="C664" s="104"/>
      <c r="D664" s="104"/>
      <c r="E664" s="104"/>
    </row>
    <row r="665" spans="1:5" x14ac:dyDescent="0.25">
      <c r="A665" s="19"/>
      <c r="C665" s="104"/>
      <c r="D665" s="104"/>
      <c r="E665" s="104"/>
    </row>
    <row r="666" spans="1:5" x14ac:dyDescent="0.25">
      <c r="A666" s="19"/>
      <c r="C666" s="104"/>
      <c r="D666" s="104"/>
      <c r="E666" s="104"/>
    </row>
    <row r="667" spans="1:5" x14ac:dyDescent="0.25">
      <c r="A667" s="19"/>
      <c r="C667" s="104"/>
      <c r="D667" s="104"/>
      <c r="E667" s="104"/>
    </row>
    <row r="668" spans="1:5" x14ac:dyDescent="0.25">
      <c r="A668" s="19"/>
      <c r="C668" s="104"/>
      <c r="D668" s="104"/>
      <c r="E668" s="104"/>
    </row>
    <row r="669" spans="1:5" x14ac:dyDescent="0.25">
      <c r="A669" s="19"/>
      <c r="C669" s="104"/>
      <c r="D669" s="104"/>
      <c r="E669" s="104"/>
    </row>
    <row r="670" spans="1:5" x14ac:dyDescent="0.25">
      <c r="A670" s="19"/>
      <c r="C670" s="104"/>
      <c r="D670" s="104"/>
      <c r="E670" s="104"/>
    </row>
    <row r="671" spans="1:5" x14ac:dyDescent="0.25">
      <c r="A671" s="19"/>
      <c r="C671" s="104"/>
      <c r="D671" s="104"/>
      <c r="E671" s="104"/>
    </row>
    <row r="672" spans="1:5" x14ac:dyDescent="0.25">
      <c r="A672" s="19"/>
      <c r="C672" s="104"/>
      <c r="D672" s="104"/>
      <c r="E672" s="104"/>
    </row>
    <row r="673" spans="1:5" x14ac:dyDescent="0.25">
      <c r="A673" s="19"/>
      <c r="C673" s="104"/>
      <c r="D673" s="104"/>
      <c r="E673" s="104"/>
    </row>
    <row r="674" spans="1:5" x14ac:dyDescent="0.25">
      <c r="A674" s="19"/>
      <c r="C674" s="104"/>
      <c r="D674" s="104"/>
      <c r="E674" s="104"/>
    </row>
    <row r="675" spans="1:5" x14ac:dyDescent="0.25">
      <c r="A675" s="19"/>
      <c r="C675" s="104"/>
      <c r="D675" s="104"/>
      <c r="E675" s="104"/>
    </row>
    <row r="676" spans="1:5" x14ac:dyDescent="0.25">
      <c r="A676" s="19"/>
      <c r="C676" s="104"/>
      <c r="D676" s="104"/>
      <c r="E676" s="104"/>
    </row>
    <row r="677" spans="1:5" x14ac:dyDescent="0.25">
      <c r="A677" s="19"/>
      <c r="C677" s="104"/>
      <c r="D677" s="104"/>
      <c r="E677" s="104"/>
    </row>
    <row r="678" spans="1:5" x14ac:dyDescent="0.25">
      <c r="A678" s="19"/>
      <c r="C678" s="104"/>
      <c r="D678" s="104"/>
      <c r="E678" s="104"/>
    </row>
    <row r="679" spans="1:5" x14ac:dyDescent="0.25">
      <c r="A679" s="19"/>
      <c r="C679" s="104"/>
      <c r="D679" s="104"/>
      <c r="E679" s="104"/>
    </row>
    <row r="680" spans="1:5" x14ac:dyDescent="0.25">
      <c r="A680" s="19"/>
      <c r="C680" s="104"/>
      <c r="D680" s="104"/>
      <c r="E680" s="104"/>
    </row>
    <row r="681" spans="1:5" x14ac:dyDescent="0.25">
      <c r="A681" s="19"/>
      <c r="C681" s="104"/>
      <c r="D681" s="104"/>
      <c r="E681" s="104"/>
    </row>
    <row r="682" spans="1:5" x14ac:dyDescent="0.25">
      <c r="A682" s="19"/>
      <c r="C682" s="104"/>
      <c r="D682" s="104"/>
      <c r="E682" s="104"/>
    </row>
    <row r="683" spans="1:5" x14ac:dyDescent="0.25">
      <c r="A683" s="19"/>
      <c r="C683" s="104"/>
      <c r="D683" s="104"/>
      <c r="E683" s="104"/>
    </row>
    <row r="684" spans="1:5" x14ac:dyDescent="0.25">
      <c r="A684" s="19"/>
      <c r="C684" s="104"/>
      <c r="D684" s="104"/>
      <c r="E684" s="104"/>
    </row>
    <row r="685" spans="1:5" x14ac:dyDescent="0.25">
      <c r="A685" s="19"/>
      <c r="C685" s="104"/>
      <c r="D685" s="104"/>
      <c r="E685" s="104"/>
    </row>
    <row r="686" spans="1:5" x14ac:dyDescent="0.25">
      <c r="A686" s="19"/>
      <c r="C686" s="104"/>
      <c r="D686" s="104"/>
      <c r="E686" s="104"/>
    </row>
    <row r="687" spans="1:5" x14ac:dyDescent="0.25">
      <c r="A687" s="19"/>
      <c r="C687" s="104"/>
      <c r="D687" s="104"/>
      <c r="E687" s="104"/>
    </row>
    <row r="688" spans="1:5" x14ac:dyDescent="0.25">
      <c r="A688" s="19"/>
      <c r="C688" s="104"/>
      <c r="D688" s="104"/>
      <c r="E688" s="104"/>
    </row>
    <row r="689" spans="1:5" x14ac:dyDescent="0.25">
      <c r="A689" s="19"/>
      <c r="C689" s="104"/>
      <c r="D689" s="104"/>
      <c r="E689" s="104"/>
    </row>
    <row r="690" spans="1:5" x14ac:dyDescent="0.25">
      <c r="A690" s="19"/>
      <c r="C690" s="104"/>
      <c r="D690" s="104"/>
      <c r="E690" s="104"/>
    </row>
    <row r="691" spans="1:5" x14ac:dyDescent="0.25">
      <c r="A691" s="19"/>
      <c r="C691" s="104"/>
      <c r="D691" s="104"/>
      <c r="E691" s="104"/>
    </row>
    <row r="692" spans="1:5" x14ac:dyDescent="0.25">
      <c r="A692" s="19"/>
      <c r="C692" s="104"/>
      <c r="D692" s="104"/>
      <c r="E692" s="104"/>
    </row>
    <row r="693" spans="1:5" x14ac:dyDescent="0.25">
      <c r="A693" s="19"/>
      <c r="C693" s="104"/>
      <c r="D693" s="104"/>
      <c r="E693" s="104"/>
    </row>
    <row r="694" spans="1:5" x14ac:dyDescent="0.25">
      <c r="A694" s="19"/>
      <c r="C694" s="104"/>
      <c r="D694" s="104"/>
      <c r="E694" s="104"/>
    </row>
    <row r="695" spans="1:5" x14ac:dyDescent="0.25">
      <c r="A695" s="19"/>
      <c r="C695" s="104"/>
      <c r="D695" s="104"/>
      <c r="E695" s="104"/>
    </row>
    <row r="696" spans="1:5" x14ac:dyDescent="0.25">
      <c r="A696" s="19"/>
      <c r="C696" s="104"/>
      <c r="D696" s="104"/>
      <c r="E696" s="104"/>
    </row>
    <row r="697" spans="1:5" x14ac:dyDescent="0.25">
      <c r="A697" s="19"/>
      <c r="C697" s="104"/>
      <c r="D697" s="104"/>
      <c r="E697" s="104"/>
    </row>
    <row r="698" spans="1:5" x14ac:dyDescent="0.25">
      <c r="A698" s="19"/>
      <c r="C698" s="104"/>
      <c r="D698" s="104"/>
      <c r="E698" s="104"/>
    </row>
    <row r="699" spans="1:5" x14ac:dyDescent="0.25">
      <c r="A699" s="19"/>
      <c r="C699" s="104"/>
      <c r="D699" s="104"/>
      <c r="E699" s="104"/>
    </row>
    <row r="700" spans="1:5" x14ac:dyDescent="0.25">
      <c r="A700" s="19"/>
      <c r="C700" s="104"/>
      <c r="D700" s="104"/>
      <c r="E700" s="104"/>
    </row>
    <row r="701" spans="1:5" x14ac:dyDescent="0.25">
      <c r="A701" s="19"/>
      <c r="C701" s="104"/>
      <c r="D701" s="104"/>
      <c r="E701" s="104"/>
    </row>
    <row r="702" spans="1:5" x14ac:dyDescent="0.25">
      <c r="A702" s="19"/>
      <c r="C702" s="104"/>
      <c r="D702" s="104"/>
      <c r="E702" s="104"/>
    </row>
    <row r="703" spans="1:5" x14ac:dyDescent="0.25">
      <c r="A703" s="19"/>
      <c r="C703" s="104"/>
      <c r="D703" s="104"/>
      <c r="E703" s="104"/>
    </row>
    <row r="704" spans="1:5" x14ac:dyDescent="0.25">
      <c r="A704" s="19"/>
      <c r="C704" s="104"/>
      <c r="D704" s="104"/>
      <c r="E704" s="104"/>
    </row>
    <row r="705" spans="1:5" x14ac:dyDescent="0.25">
      <c r="A705" s="19"/>
      <c r="C705" s="104"/>
      <c r="D705" s="104"/>
      <c r="E705" s="104"/>
    </row>
    <row r="706" spans="1:5" x14ac:dyDescent="0.25">
      <c r="A706" s="19"/>
      <c r="C706" s="104"/>
      <c r="D706" s="104"/>
      <c r="E706" s="104"/>
    </row>
    <row r="707" spans="1:5" x14ac:dyDescent="0.25">
      <c r="A707" s="19"/>
      <c r="C707" s="104"/>
      <c r="D707" s="104"/>
      <c r="E707" s="104"/>
    </row>
    <row r="708" spans="1:5" x14ac:dyDescent="0.25">
      <c r="A708" s="19"/>
      <c r="C708" s="104"/>
      <c r="D708" s="104"/>
      <c r="E708" s="104"/>
    </row>
    <row r="709" spans="1:5" x14ac:dyDescent="0.25">
      <c r="A709" s="19"/>
      <c r="C709" s="104"/>
      <c r="D709" s="104"/>
      <c r="E709" s="104"/>
    </row>
    <row r="710" spans="1:5" x14ac:dyDescent="0.25">
      <c r="A710" s="19"/>
      <c r="C710" s="104"/>
      <c r="D710" s="104"/>
      <c r="E710" s="104"/>
    </row>
    <row r="711" spans="1:5" x14ac:dyDescent="0.25">
      <c r="A711" s="19"/>
      <c r="C711" s="104"/>
      <c r="D711" s="104"/>
      <c r="E711" s="104"/>
    </row>
    <row r="712" spans="1:5" x14ac:dyDescent="0.25">
      <c r="A712" s="19"/>
      <c r="C712" s="104"/>
      <c r="D712" s="104"/>
      <c r="E712" s="104"/>
    </row>
    <row r="713" spans="1:5" x14ac:dyDescent="0.25">
      <c r="A713" s="19"/>
      <c r="C713" s="104"/>
      <c r="D713" s="104"/>
      <c r="E713" s="104"/>
    </row>
    <row r="714" spans="1:5" x14ac:dyDescent="0.25">
      <c r="A714" s="19"/>
      <c r="C714" s="104"/>
      <c r="D714" s="104"/>
      <c r="E714" s="104"/>
    </row>
    <row r="715" spans="1:5" x14ac:dyDescent="0.25">
      <c r="A715" s="19"/>
      <c r="C715" s="104"/>
      <c r="D715" s="104"/>
      <c r="E715" s="104"/>
    </row>
    <row r="716" spans="1:5" x14ac:dyDescent="0.25">
      <c r="A716" s="19"/>
      <c r="C716" s="104"/>
      <c r="D716" s="104"/>
      <c r="E716" s="104"/>
    </row>
    <row r="717" spans="1:5" x14ac:dyDescent="0.25">
      <c r="A717" s="19"/>
      <c r="C717" s="104"/>
      <c r="D717" s="104"/>
      <c r="E717" s="104"/>
    </row>
    <row r="718" spans="1:5" x14ac:dyDescent="0.25">
      <c r="A718" s="19"/>
      <c r="C718" s="104"/>
      <c r="D718" s="104"/>
      <c r="E718" s="104"/>
    </row>
    <row r="719" spans="1:5" x14ac:dyDescent="0.25">
      <c r="A719" s="19"/>
      <c r="C719" s="104"/>
      <c r="D719" s="104"/>
      <c r="E719" s="104"/>
    </row>
    <row r="720" spans="1:5" x14ac:dyDescent="0.25">
      <c r="A720" s="19"/>
      <c r="C720" s="104"/>
      <c r="D720" s="104"/>
      <c r="E720" s="104"/>
    </row>
    <row r="721" spans="1:5" x14ac:dyDescent="0.25">
      <c r="A721" s="19"/>
      <c r="C721" s="104"/>
      <c r="D721" s="104"/>
      <c r="E721" s="104"/>
    </row>
    <row r="722" spans="1:5" x14ac:dyDescent="0.25">
      <c r="A722" s="19"/>
      <c r="C722" s="104"/>
      <c r="D722" s="104"/>
      <c r="E722" s="104"/>
    </row>
    <row r="723" spans="1:5" x14ac:dyDescent="0.25">
      <c r="A723" s="19"/>
      <c r="C723" s="104"/>
      <c r="D723" s="104"/>
      <c r="E723" s="104"/>
    </row>
    <row r="724" spans="1:5" x14ac:dyDescent="0.25">
      <c r="A724" s="19"/>
      <c r="C724" s="104"/>
      <c r="D724" s="104"/>
      <c r="E724" s="104"/>
    </row>
    <row r="725" spans="1:5" x14ac:dyDescent="0.25">
      <c r="A725" s="19"/>
      <c r="C725" s="104"/>
      <c r="D725" s="104"/>
      <c r="E725" s="104"/>
    </row>
    <row r="726" spans="1:5" x14ac:dyDescent="0.25">
      <c r="A726" s="19"/>
      <c r="C726" s="104"/>
      <c r="D726" s="104"/>
      <c r="E726" s="104"/>
    </row>
    <row r="727" spans="1:5" x14ac:dyDescent="0.25">
      <c r="A727" s="19"/>
      <c r="C727" s="104"/>
      <c r="D727" s="104"/>
      <c r="E727" s="104"/>
    </row>
    <row r="728" spans="1:5" x14ac:dyDescent="0.25">
      <c r="A728" s="19"/>
      <c r="C728" s="104"/>
      <c r="D728" s="104"/>
      <c r="E728" s="104"/>
    </row>
    <row r="729" spans="1:5" x14ac:dyDescent="0.25">
      <c r="A729" s="19"/>
      <c r="C729" s="104"/>
      <c r="D729" s="104"/>
      <c r="E729" s="104"/>
    </row>
    <row r="730" spans="1:5" x14ac:dyDescent="0.25">
      <c r="A730" s="19"/>
      <c r="C730" s="104"/>
      <c r="D730" s="104"/>
      <c r="E730" s="104"/>
    </row>
    <row r="731" spans="1:5" x14ac:dyDescent="0.25">
      <c r="A731" s="19"/>
      <c r="C731" s="104"/>
      <c r="D731" s="104"/>
      <c r="E731" s="104"/>
    </row>
    <row r="732" spans="1:5" x14ac:dyDescent="0.25">
      <c r="A732" s="19"/>
      <c r="C732" s="104"/>
      <c r="D732" s="104"/>
      <c r="E732" s="104"/>
    </row>
    <row r="733" spans="1:5" x14ac:dyDescent="0.25">
      <c r="A733" s="19"/>
      <c r="C733" s="104"/>
      <c r="D733" s="104"/>
      <c r="E733" s="104"/>
    </row>
    <row r="734" spans="1:5" x14ac:dyDescent="0.25">
      <c r="A734" s="19"/>
      <c r="C734" s="104"/>
      <c r="D734" s="104"/>
      <c r="E734" s="104"/>
    </row>
    <row r="735" spans="1:5" x14ac:dyDescent="0.25">
      <c r="A735" s="19"/>
      <c r="C735" s="104"/>
      <c r="D735" s="104"/>
      <c r="E735" s="104"/>
    </row>
    <row r="736" spans="1:5" x14ac:dyDescent="0.25">
      <c r="A736" s="19"/>
      <c r="C736" s="104"/>
      <c r="D736" s="104"/>
      <c r="E736" s="104"/>
    </row>
    <row r="737" spans="1:5" x14ac:dyDescent="0.25">
      <c r="A737" s="19"/>
      <c r="C737" s="104"/>
      <c r="D737" s="104"/>
      <c r="E737" s="104"/>
    </row>
    <row r="738" spans="1:5" x14ac:dyDescent="0.25">
      <c r="A738" s="19"/>
      <c r="C738" s="104"/>
      <c r="D738" s="104"/>
      <c r="E738" s="104"/>
    </row>
    <row r="739" spans="1:5" x14ac:dyDescent="0.25">
      <c r="A739" s="19"/>
      <c r="C739" s="104"/>
      <c r="D739" s="104"/>
      <c r="E739" s="104"/>
    </row>
    <row r="740" spans="1:5" x14ac:dyDescent="0.25">
      <c r="A740" s="19"/>
      <c r="C740" s="104"/>
      <c r="D740" s="104"/>
      <c r="E740" s="104"/>
    </row>
    <row r="741" spans="1:5" x14ac:dyDescent="0.25">
      <c r="A741" s="19"/>
      <c r="C741" s="104"/>
      <c r="D741" s="104"/>
      <c r="E741" s="104"/>
    </row>
    <row r="742" spans="1:5" x14ac:dyDescent="0.25">
      <c r="A742" s="19"/>
      <c r="C742" s="104"/>
      <c r="D742" s="104"/>
      <c r="E742" s="104"/>
    </row>
    <row r="743" spans="1:5" x14ac:dyDescent="0.25">
      <c r="A743" s="19"/>
      <c r="C743" s="104"/>
      <c r="D743" s="104"/>
      <c r="E743" s="104"/>
    </row>
    <row r="744" spans="1:5" x14ac:dyDescent="0.25">
      <c r="A744" s="19"/>
      <c r="C744" s="104"/>
      <c r="D744" s="104"/>
      <c r="E744" s="104"/>
    </row>
    <row r="745" spans="1:5" x14ac:dyDescent="0.25">
      <c r="A745" s="19"/>
      <c r="C745" s="104"/>
      <c r="D745" s="104"/>
      <c r="E745" s="104"/>
    </row>
    <row r="746" spans="1:5" x14ac:dyDescent="0.25">
      <c r="A746" s="19"/>
      <c r="C746" s="104"/>
      <c r="D746" s="104"/>
      <c r="E746" s="104"/>
    </row>
    <row r="747" spans="1:5" x14ac:dyDescent="0.25">
      <c r="A747" s="19"/>
      <c r="C747" s="104"/>
      <c r="D747" s="104"/>
      <c r="E747" s="104"/>
    </row>
    <row r="748" spans="1:5" x14ac:dyDescent="0.25">
      <c r="A748" s="19"/>
      <c r="C748" s="104"/>
      <c r="D748" s="104"/>
      <c r="E748" s="104"/>
    </row>
    <row r="749" spans="1:5" x14ac:dyDescent="0.25">
      <c r="A749" s="19"/>
      <c r="C749" s="104"/>
      <c r="D749" s="104"/>
      <c r="E749" s="104"/>
    </row>
    <row r="750" spans="1:5" x14ac:dyDescent="0.25">
      <c r="A750" s="19"/>
      <c r="C750" s="104"/>
      <c r="D750" s="104"/>
      <c r="E750" s="104"/>
    </row>
    <row r="751" spans="1:5" x14ac:dyDescent="0.25">
      <c r="A751" s="19"/>
      <c r="C751" s="104"/>
      <c r="D751" s="104"/>
      <c r="E751" s="104"/>
    </row>
    <row r="752" spans="1:5" x14ac:dyDescent="0.25">
      <c r="A752" s="19"/>
      <c r="C752" s="104"/>
      <c r="D752" s="104"/>
      <c r="E752" s="104"/>
    </row>
    <row r="753" spans="1:5" x14ac:dyDescent="0.25">
      <c r="A753" s="19"/>
      <c r="C753" s="104"/>
      <c r="D753" s="104"/>
      <c r="E753" s="104"/>
    </row>
    <row r="754" spans="1:5" x14ac:dyDescent="0.25">
      <c r="A754" s="19"/>
      <c r="C754" s="104"/>
      <c r="D754" s="104"/>
      <c r="E754" s="104"/>
    </row>
    <row r="755" spans="1:5" x14ac:dyDescent="0.25">
      <c r="A755" s="19"/>
      <c r="C755" s="104"/>
      <c r="D755" s="104"/>
      <c r="E755" s="104"/>
    </row>
    <row r="756" spans="1:5" x14ac:dyDescent="0.25">
      <c r="A756" s="19"/>
      <c r="C756" s="104"/>
      <c r="D756" s="104"/>
      <c r="E756" s="104"/>
    </row>
    <row r="757" spans="1:5" x14ac:dyDescent="0.25">
      <c r="A757" s="19"/>
      <c r="C757" s="104"/>
      <c r="D757" s="104"/>
      <c r="E757" s="104"/>
    </row>
    <row r="758" spans="1:5" x14ac:dyDescent="0.25">
      <c r="A758" s="19"/>
      <c r="C758" s="104"/>
      <c r="D758" s="104"/>
      <c r="E758" s="104"/>
    </row>
    <row r="759" spans="1:5" x14ac:dyDescent="0.25">
      <c r="A759" s="19"/>
      <c r="C759" s="104"/>
      <c r="D759" s="104"/>
      <c r="E759" s="104"/>
    </row>
    <row r="760" spans="1:5" x14ac:dyDescent="0.25">
      <c r="A760" s="19"/>
      <c r="C760" s="104"/>
      <c r="D760" s="104"/>
      <c r="E760" s="104"/>
    </row>
    <row r="761" spans="1:5" x14ac:dyDescent="0.25">
      <c r="A761" s="19"/>
      <c r="C761" s="104"/>
      <c r="D761" s="104"/>
      <c r="E761" s="104"/>
    </row>
    <row r="762" spans="1:5" x14ac:dyDescent="0.25">
      <c r="A762" s="19"/>
      <c r="C762" s="104"/>
      <c r="D762" s="104"/>
      <c r="E762" s="104"/>
    </row>
    <row r="763" spans="1:5" x14ac:dyDescent="0.25">
      <c r="A763" s="19"/>
      <c r="C763" s="104"/>
      <c r="D763" s="104"/>
      <c r="E763" s="104"/>
    </row>
    <row r="764" spans="1:5" x14ac:dyDescent="0.25">
      <c r="A764" s="19"/>
      <c r="C764" s="104"/>
      <c r="D764" s="104"/>
      <c r="E764" s="104"/>
    </row>
    <row r="765" spans="1:5" x14ac:dyDescent="0.25">
      <c r="A765" s="19"/>
      <c r="C765" s="104"/>
      <c r="D765" s="104"/>
      <c r="E765" s="104"/>
    </row>
    <row r="766" spans="1:5" x14ac:dyDescent="0.25">
      <c r="A766" s="19"/>
      <c r="C766" s="104"/>
      <c r="D766" s="104"/>
      <c r="E766" s="104"/>
    </row>
    <row r="767" spans="1:5" x14ac:dyDescent="0.25">
      <c r="A767" s="19"/>
      <c r="C767" s="104"/>
      <c r="D767" s="104"/>
      <c r="E767" s="104"/>
    </row>
    <row r="768" spans="1:5" x14ac:dyDescent="0.25">
      <c r="A768" s="19"/>
      <c r="C768" s="104"/>
      <c r="D768" s="104"/>
      <c r="E768" s="104"/>
    </row>
    <row r="769" spans="1:5" x14ac:dyDescent="0.25">
      <c r="A769" s="19"/>
      <c r="C769" s="104"/>
      <c r="D769" s="104"/>
      <c r="E769" s="104"/>
    </row>
    <row r="770" spans="1:5" x14ac:dyDescent="0.25">
      <c r="A770" s="19"/>
      <c r="C770" s="104"/>
      <c r="D770" s="104"/>
      <c r="E770" s="104"/>
    </row>
    <row r="771" spans="1:5" x14ac:dyDescent="0.25">
      <c r="A771" s="19"/>
      <c r="C771" s="104"/>
      <c r="D771" s="104"/>
      <c r="E771" s="104"/>
    </row>
    <row r="772" spans="1:5" x14ac:dyDescent="0.25">
      <c r="A772" s="19"/>
      <c r="C772" s="104"/>
      <c r="D772" s="104"/>
      <c r="E772" s="104"/>
    </row>
    <row r="773" spans="1:5" x14ac:dyDescent="0.25">
      <c r="A773" s="19"/>
      <c r="C773" s="104"/>
      <c r="D773" s="104"/>
      <c r="E773" s="104"/>
    </row>
    <row r="774" spans="1:5" x14ac:dyDescent="0.25">
      <c r="A774" s="19"/>
      <c r="C774" s="104"/>
      <c r="D774" s="104"/>
      <c r="E774" s="104"/>
    </row>
    <row r="775" spans="1:5" x14ac:dyDescent="0.25">
      <c r="A775" s="19"/>
      <c r="C775" s="104"/>
      <c r="D775" s="104"/>
      <c r="E775" s="104"/>
    </row>
    <row r="776" spans="1:5" x14ac:dyDescent="0.25">
      <c r="A776" s="19"/>
      <c r="C776" s="104"/>
      <c r="D776" s="104"/>
      <c r="E776" s="104"/>
    </row>
    <row r="777" spans="1:5" x14ac:dyDescent="0.25">
      <c r="A777" s="19"/>
      <c r="C777" s="104"/>
      <c r="D777" s="104"/>
      <c r="E777" s="104"/>
    </row>
    <row r="778" spans="1:5" x14ac:dyDescent="0.25">
      <c r="A778" s="19"/>
      <c r="C778" s="104"/>
      <c r="D778" s="104"/>
      <c r="E778" s="104"/>
    </row>
    <row r="779" spans="1:5" x14ac:dyDescent="0.25">
      <c r="A779" s="19"/>
      <c r="C779" s="104"/>
      <c r="D779" s="104"/>
      <c r="E779" s="104"/>
    </row>
    <row r="780" spans="1:5" x14ac:dyDescent="0.25">
      <c r="A780" s="19"/>
      <c r="C780" s="104"/>
      <c r="D780" s="104"/>
      <c r="E780" s="104"/>
    </row>
    <row r="781" spans="1:5" x14ac:dyDescent="0.25">
      <c r="A781" s="19"/>
      <c r="C781" s="104"/>
      <c r="D781" s="104"/>
      <c r="E781" s="104"/>
    </row>
    <row r="782" spans="1:5" x14ac:dyDescent="0.25">
      <c r="A782" s="19"/>
      <c r="C782" s="104"/>
      <c r="D782" s="104"/>
      <c r="E782" s="104"/>
    </row>
    <row r="783" spans="1:5" x14ac:dyDescent="0.25">
      <c r="A783" s="19"/>
      <c r="C783" s="104"/>
      <c r="D783" s="104"/>
      <c r="E783" s="104"/>
    </row>
    <row r="784" spans="1:5" x14ac:dyDescent="0.25">
      <c r="A784" s="19"/>
      <c r="C784" s="104"/>
      <c r="D784" s="104"/>
      <c r="E784" s="104"/>
    </row>
    <row r="785" spans="1:5" x14ac:dyDescent="0.25">
      <c r="A785" s="19"/>
      <c r="C785" s="104"/>
      <c r="D785" s="104"/>
      <c r="E785" s="104"/>
    </row>
    <row r="786" spans="1:5" x14ac:dyDescent="0.25">
      <c r="A786" s="19"/>
      <c r="C786" s="104"/>
      <c r="D786" s="104"/>
      <c r="E786" s="104"/>
    </row>
    <row r="787" spans="1:5" x14ac:dyDescent="0.25">
      <c r="A787" s="19"/>
      <c r="C787" s="104"/>
      <c r="D787" s="104"/>
      <c r="E787" s="104"/>
    </row>
    <row r="788" spans="1:5" x14ac:dyDescent="0.25">
      <c r="A788" s="19"/>
      <c r="C788" s="104"/>
      <c r="D788" s="104"/>
      <c r="E788" s="104"/>
    </row>
    <row r="789" spans="1:5" x14ac:dyDescent="0.25">
      <c r="A789" s="19"/>
      <c r="C789" s="104"/>
      <c r="D789" s="104"/>
      <c r="E789" s="104"/>
    </row>
    <row r="790" spans="1:5" x14ac:dyDescent="0.25">
      <c r="A790" s="19"/>
      <c r="C790" s="104"/>
      <c r="D790" s="104"/>
      <c r="E790" s="104"/>
    </row>
    <row r="791" spans="1:5" x14ac:dyDescent="0.25">
      <c r="A791" s="19"/>
      <c r="C791" s="104"/>
      <c r="D791" s="104"/>
      <c r="E791" s="104"/>
    </row>
    <row r="792" spans="1:5" x14ac:dyDescent="0.25">
      <c r="A792" s="19"/>
      <c r="C792" s="104"/>
      <c r="D792" s="104"/>
      <c r="E792" s="104"/>
    </row>
    <row r="793" spans="1:5" x14ac:dyDescent="0.25">
      <c r="A793" s="19"/>
      <c r="C793" s="104"/>
      <c r="D793" s="104"/>
      <c r="E793" s="104"/>
    </row>
    <row r="794" spans="1:5" x14ac:dyDescent="0.25">
      <c r="A794" s="19"/>
      <c r="C794" s="104"/>
      <c r="D794" s="104"/>
      <c r="E794" s="104"/>
    </row>
    <row r="795" spans="1:5" x14ac:dyDescent="0.25">
      <c r="A795" s="19"/>
      <c r="C795" s="104"/>
      <c r="D795" s="104"/>
      <c r="E795" s="104"/>
    </row>
    <row r="796" spans="1:5" x14ac:dyDescent="0.25">
      <c r="A796" s="19"/>
      <c r="C796" s="104"/>
      <c r="D796" s="104"/>
      <c r="E796" s="104"/>
    </row>
    <row r="797" spans="1:5" x14ac:dyDescent="0.25">
      <c r="A797" s="19"/>
      <c r="C797" s="104"/>
      <c r="D797" s="104"/>
      <c r="E797" s="104"/>
    </row>
    <row r="798" spans="1:5" x14ac:dyDescent="0.25">
      <c r="A798" s="19"/>
      <c r="C798" s="104"/>
      <c r="D798" s="104"/>
      <c r="E798" s="104"/>
    </row>
    <row r="799" spans="1:5" x14ac:dyDescent="0.25">
      <c r="A799" s="19"/>
      <c r="C799" s="104"/>
      <c r="D799" s="104"/>
      <c r="E799" s="104"/>
    </row>
    <row r="800" spans="1:5" x14ac:dyDescent="0.25">
      <c r="A800" s="19"/>
      <c r="C800" s="104"/>
      <c r="D800" s="104"/>
      <c r="E800" s="104"/>
    </row>
    <row r="801" spans="1:5" x14ac:dyDescent="0.25">
      <c r="A801" s="19"/>
      <c r="C801" s="104"/>
      <c r="D801" s="104"/>
      <c r="E801" s="104"/>
    </row>
    <row r="802" spans="1:5" x14ac:dyDescent="0.25">
      <c r="A802" s="19"/>
      <c r="C802" s="104"/>
      <c r="D802" s="104"/>
      <c r="E802" s="104"/>
    </row>
    <row r="803" spans="1:5" x14ac:dyDescent="0.25">
      <c r="A803" s="19"/>
      <c r="C803" s="104"/>
      <c r="D803" s="104"/>
      <c r="E803" s="104"/>
    </row>
    <row r="804" spans="1:5" x14ac:dyDescent="0.25">
      <c r="A804" s="19"/>
      <c r="C804" s="104"/>
      <c r="D804" s="104"/>
      <c r="E804" s="104"/>
    </row>
    <row r="805" spans="1:5" x14ac:dyDescent="0.25">
      <c r="A805" s="19"/>
      <c r="C805" s="104"/>
      <c r="D805" s="104"/>
      <c r="E805" s="104"/>
    </row>
    <row r="806" spans="1:5" x14ac:dyDescent="0.25">
      <c r="A806" s="19"/>
      <c r="C806" s="104"/>
      <c r="D806" s="104"/>
      <c r="E806" s="104"/>
    </row>
    <row r="807" spans="1:5" x14ac:dyDescent="0.25">
      <c r="A807" s="19"/>
      <c r="C807" s="104"/>
      <c r="D807" s="104"/>
      <c r="E807" s="104"/>
    </row>
    <row r="808" spans="1:5" x14ac:dyDescent="0.25">
      <c r="A808" s="19"/>
      <c r="C808" s="104"/>
      <c r="D808" s="104"/>
      <c r="E808" s="104"/>
    </row>
    <row r="809" spans="1:5" x14ac:dyDescent="0.25">
      <c r="A809" s="19"/>
      <c r="C809" s="104"/>
      <c r="D809" s="104"/>
      <c r="E809" s="104"/>
    </row>
    <row r="810" spans="1:5" x14ac:dyDescent="0.25">
      <c r="A810" s="19"/>
      <c r="C810" s="104"/>
      <c r="D810" s="104"/>
      <c r="E810" s="104"/>
    </row>
    <row r="811" spans="1:5" x14ac:dyDescent="0.25">
      <c r="A811" s="19"/>
      <c r="C811" s="104"/>
      <c r="D811" s="104"/>
      <c r="E811" s="104"/>
    </row>
    <row r="812" spans="1:5" x14ac:dyDescent="0.25">
      <c r="A812" s="19"/>
      <c r="C812" s="104"/>
      <c r="D812" s="104"/>
      <c r="E812" s="104"/>
    </row>
    <row r="813" spans="1:5" x14ac:dyDescent="0.25">
      <c r="A813" s="19"/>
      <c r="C813" s="104"/>
      <c r="D813" s="104"/>
      <c r="E813" s="104"/>
    </row>
    <row r="814" spans="1:5" x14ac:dyDescent="0.25">
      <c r="A814" s="19"/>
      <c r="C814" s="104"/>
      <c r="D814" s="104"/>
      <c r="E814" s="104"/>
    </row>
    <row r="815" spans="1:5" x14ac:dyDescent="0.25">
      <c r="A815" s="19"/>
      <c r="C815" s="104"/>
      <c r="D815" s="104"/>
      <c r="E815" s="104"/>
    </row>
    <row r="816" spans="1:5" x14ac:dyDescent="0.25">
      <c r="A816" s="19"/>
      <c r="C816" s="104"/>
      <c r="D816" s="104"/>
      <c r="E816" s="104"/>
    </row>
    <row r="817" spans="1:5" x14ac:dyDescent="0.25">
      <c r="A817" s="19"/>
      <c r="C817" s="104"/>
      <c r="D817" s="104"/>
      <c r="E817" s="104"/>
    </row>
    <row r="818" spans="1:5" x14ac:dyDescent="0.25">
      <c r="A818" s="19"/>
      <c r="C818" s="104"/>
      <c r="D818" s="104"/>
      <c r="E818" s="104"/>
    </row>
    <row r="819" spans="1:5" x14ac:dyDescent="0.25">
      <c r="A819" s="19"/>
      <c r="C819" s="104"/>
      <c r="D819" s="104"/>
      <c r="E819" s="104"/>
    </row>
    <row r="820" spans="1:5" x14ac:dyDescent="0.25">
      <c r="A820" s="19"/>
      <c r="C820" s="104"/>
      <c r="D820" s="104"/>
      <c r="E820" s="104"/>
    </row>
    <row r="821" spans="1:5" x14ac:dyDescent="0.25">
      <c r="A821" s="19"/>
      <c r="C821" s="104"/>
      <c r="D821" s="104"/>
      <c r="E821" s="104"/>
    </row>
    <row r="822" spans="1:5" x14ac:dyDescent="0.25">
      <c r="A822" s="19"/>
      <c r="C822" s="104"/>
      <c r="D822" s="104"/>
      <c r="E822" s="104"/>
    </row>
    <row r="823" spans="1:5" x14ac:dyDescent="0.25">
      <c r="A823" s="19"/>
      <c r="C823" s="104"/>
      <c r="D823" s="104"/>
      <c r="E823" s="104"/>
    </row>
    <row r="824" spans="1:5" x14ac:dyDescent="0.25">
      <c r="A824" s="19"/>
      <c r="C824" s="104"/>
      <c r="D824" s="104"/>
      <c r="E824" s="104"/>
    </row>
    <row r="825" spans="1:5" x14ac:dyDescent="0.25">
      <c r="A825" s="19"/>
      <c r="C825" s="104"/>
      <c r="D825" s="104"/>
      <c r="E825" s="104"/>
    </row>
    <row r="826" spans="1:5" x14ac:dyDescent="0.25">
      <c r="A826" s="19"/>
      <c r="C826" s="104"/>
      <c r="D826" s="104"/>
      <c r="E826" s="104"/>
    </row>
    <row r="827" spans="1:5" x14ac:dyDescent="0.25">
      <c r="A827" s="19"/>
      <c r="C827" s="104"/>
      <c r="D827" s="104"/>
      <c r="E827" s="104"/>
    </row>
    <row r="828" spans="1:5" x14ac:dyDescent="0.25">
      <c r="A828" s="19"/>
      <c r="C828" s="104"/>
      <c r="D828" s="104"/>
      <c r="E828" s="104"/>
    </row>
    <row r="829" spans="1:5" x14ac:dyDescent="0.25">
      <c r="A829" s="19"/>
      <c r="C829" s="104"/>
      <c r="D829" s="104"/>
      <c r="E829" s="104"/>
    </row>
    <row r="830" spans="1:5" x14ac:dyDescent="0.25">
      <c r="A830" s="19"/>
      <c r="C830" s="104"/>
      <c r="D830" s="104"/>
      <c r="E830" s="104"/>
    </row>
    <row r="831" spans="1:5" x14ac:dyDescent="0.25">
      <c r="A831" s="19"/>
      <c r="C831" s="104"/>
      <c r="D831" s="104"/>
      <c r="E831" s="104"/>
    </row>
    <row r="832" spans="1:5" x14ac:dyDescent="0.25">
      <c r="A832" s="19"/>
      <c r="C832" s="104"/>
      <c r="D832" s="104"/>
      <c r="E832" s="104"/>
    </row>
    <row r="833" spans="1:5" x14ac:dyDescent="0.25">
      <c r="A833" s="19"/>
      <c r="C833" s="104"/>
      <c r="D833" s="104"/>
      <c r="E833" s="104"/>
    </row>
    <row r="834" spans="1:5" x14ac:dyDescent="0.25">
      <c r="A834" s="19"/>
      <c r="C834" s="104"/>
      <c r="D834" s="104"/>
      <c r="E834" s="104"/>
    </row>
    <row r="835" spans="1:5" x14ac:dyDescent="0.25">
      <c r="A835" s="19"/>
      <c r="C835" s="104"/>
      <c r="D835" s="104"/>
      <c r="E835" s="104"/>
    </row>
    <row r="836" spans="1:5" x14ac:dyDescent="0.25">
      <c r="A836" s="19"/>
      <c r="C836" s="104"/>
      <c r="D836" s="104"/>
      <c r="E836" s="104"/>
    </row>
    <row r="837" spans="1:5" x14ac:dyDescent="0.25">
      <c r="A837" s="19"/>
      <c r="C837" s="104"/>
      <c r="D837" s="104"/>
      <c r="E837" s="104"/>
    </row>
    <row r="838" spans="1:5" x14ac:dyDescent="0.25">
      <c r="A838" s="19"/>
      <c r="C838" s="104"/>
      <c r="D838" s="104"/>
      <c r="E838" s="104"/>
    </row>
    <row r="839" spans="1:5" x14ac:dyDescent="0.25">
      <c r="A839" s="19"/>
      <c r="C839" s="104"/>
      <c r="D839" s="104"/>
      <c r="E839" s="104"/>
    </row>
    <row r="840" spans="1:5" x14ac:dyDescent="0.25">
      <c r="A840" s="19"/>
      <c r="C840" s="104"/>
      <c r="D840" s="104"/>
      <c r="E840" s="104"/>
    </row>
    <row r="841" spans="1:5" x14ac:dyDescent="0.25">
      <c r="A841" s="19"/>
      <c r="C841" s="104"/>
      <c r="D841" s="104"/>
      <c r="E841" s="104"/>
    </row>
    <row r="842" spans="1:5" x14ac:dyDescent="0.25">
      <c r="A842" s="19"/>
      <c r="C842" s="104"/>
      <c r="D842" s="104"/>
      <c r="E842" s="104"/>
    </row>
    <row r="843" spans="1:5" x14ac:dyDescent="0.25">
      <c r="A843" s="19"/>
      <c r="C843" s="104"/>
      <c r="D843" s="104"/>
      <c r="E843" s="104"/>
    </row>
    <row r="844" spans="1:5" x14ac:dyDescent="0.25">
      <c r="A844" s="19"/>
      <c r="C844" s="104"/>
      <c r="D844" s="104"/>
      <c r="E844" s="104"/>
    </row>
    <row r="845" spans="1:5" x14ac:dyDescent="0.25">
      <c r="A845" s="19"/>
      <c r="C845" s="104"/>
      <c r="D845" s="104"/>
      <c r="E845" s="104"/>
    </row>
    <row r="846" spans="1:5" x14ac:dyDescent="0.25">
      <c r="A846" s="19"/>
      <c r="C846" s="104"/>
      <c r="D846" s="104"/>
      <c r="E846" s="104"/>
    </row>
    <row r="847" spans="1:5" x14ac:dyDescent="0.25">
      <c r="A847" s="19"/>
      <c r="C847" s="104"/>
      <c r="D847" s="104"/>
      <c r="E847" s="104"/>
    </row>
    <row r="848" spans="1:5" x14ac:dyDescent="0.25">
      <c r="A848" s="19"/>
      <c r="C848" s="104"/>
      <c r="D848" s="104"/>
      <c r="E848" s="104"/>
    </row>
    <row r="849" spans="1:5" x14ac:dyDescent="0.25">
      <c r="A849" s="19"/>
      <c r="C849" s="104"/>
      <c r="D849" s="104"/>
      <c r="E849" s="104"/>
    </row>
    <row r="850" spans="1:5" x14ac:dyDescent="0.25">
      <c r="A850" s="19"/>
      <c r="C850" s="104"/>
      <c r="D850" s="104"/>
      <c r="E850" s="104"/>
    </row>
    <row r="851" spans="1:5" x14ac:dyDescent="0.25">
      <c r="A851" s="19"/>
      <c r="C851" s="104"/>
      <c r="D851" s="104"/>
      <c r="E851" s="104"/>
    </row>
    <row r="852" spans="1:5" x14ac:dyDescent="0.25">
      <c r="A852" s="19"/>
      <c r="C852" s="104"/>
      <c r="D852" s="104"/>
      <c r="E852" s="104"/>
    </row>
    <row r="853" spans="1:5" x14ac:dyDescent="0.25">
      <c r="A853" s="19"/>
      <c r="C853" s="104"/>
      <c r="D853" s="104"/>
      <c r="E853" s="104"/>
    </row>
    <row r="854" spans="1:5" x14ac:dyDescent="0.25">
      <c r="A854" s="19"/>
      <c r="C854" s="104"/>
      <c r="D854" s="104"/>
      <c r="E854" s="104"/>
    </row>
    <row r="855" spans="1:5" x14ac:dyDescent="0.25">
      <c r="A855" s="19"/>
      <c r="C855" s="104"/>
      <c r="D855" s="104"/>
      <c r="E855" s="104"/>
    </row>
    <row r="856" spans="1:5" x14ac:dyDescent="0.25">
      <c r="A856" s="19"/>
      <c r="C856" s="104"/>
      <c r="D856" s="104"/>
      <c r="E856" s="104"/>
    </row>
    <row r="857" spans="1:5" x14ac:dyDescent="0.25">
      <c r="A857" s="19"/>
      <c r="C857" s="104"/>
      <c r="D857" s="104"/>
      <c r="E857" s="104"/>
    </row>
    <row r="858" spans="1:5" x14ac:dyDescent="0.25">
      <c r="A858" s="19"/>
      <c r="C858" s="104"/>
      <c r="D858" s="104"/>
      <c r="E858" s="104"/>
    </row>
    <row r="859" spans="1:5" x14ac:dyDescent="0.25">
      <c r="A859" s="19"/>
      <c r="C859" s="104"/>
      <c r="D859" s="104"/>
      <c r="E859" s="104"/>
    </row>
    <row r="860" spans="1:5" x14ac:dyDescent="0.25">
      <c r="A860" s="19"/>
      <c r="C860" s="104"/>
      <c r="D860" s="104"/>
      <c r="E860" s="104"/>
    </row>
    <row r="861" spans="1:5" x14ac:dyDescent="0.25">
      <c r="A861" s="19"/>
      <c r="C861" s="104"/>
      <c r="D861" s="104"/>
      <c r="E861" s="104"/>
    </row>
    <row r="862" spans="1:5" x14ac:dyDescent="0.25">
      <c r="A862" s="19"/>
      <c r="C862" s="104"/>
      <c r="D862" s="104"/>
      <c r="E862" s="104"/>
    </row>
    <row r="863" spans="1:5" x14ac:dyDescent="0.25">
      <c r="A863" s="19"/>
      <c r="C863" s="104"/>
      <c r="D863" s="104"/>
      <c r="E863" s="104"/>
    </row>
    <row r="864" spans="1:5" x14ac:dyDescent="0.25">
      <c r="A864" s="19"/>
      <c r="C864" s="104"/>
      <c r="D864" s="104"/>
      <c r="E864" s="104"/>
    </row>
    <row r="865" spans="1:5" x14ac:dyDescent="0.25">
      <c r="A865" s="19"/>
      <c r="C865" s="104"/>
      <c r="D865" s="104"/>
      <c r="E865" s="104"/>
    </row>
    <row r="866" spans="1:5" x14ac:dyDescent="0.25">
      <c r="A866" s="19"/>
      <c r="C866" s="104"/>
      <c r="D866" s="104"/>
      <c r="E866" s="104"/>
    </row>
    <row r="867" spans="1:5" x14ac:dyDescent="0.25">
      <c r="A867" s="19"/>
      <c r="C867" s="104"/>
      <c r="D867" s="104"/>
      <c r="E867" s="104"/>
    </row>
    <row r="868" spans="1:5" x14ac:dyDescent="0.25">
      <c r="A868" s="19"/>
      <c r="C868" s="104"/>
      <c r="D868" s="104"/>
      <c r="E868" s="104"/>
    </row>
    <row r="869" spans="1:5" x14ac:dyDescent="0.25">
      <c r="A869" s="19"/>
      <c r="C869" s="104"/>
      <c r="D869" s="104"/>
      <c r="E869" s="104"/>
    </row>
    <row r="870" spans="1:5" x14ac:dyDescent="0.25">
      <c r="A870" s="19"/>
      <c r="C870" s="104"/>
      <c r="D870" s="104"/>
      <c r="E870" s="104"/>
    </row>
    <row r="871" spans="1:5" x14ac:dyDescent="0.25">
      <c r="A871" s="19"/>
      <c r="C871" s="104"/>
      <c r="D871" s="104"/>
      <c r="E871" s="104"/>
    </row>
    <row r="872" spans="1:5" x14ac:dyDescent="0.25">
      <c r="A872" s="19"/>
      <c r="C872" s="104"/>
      <c r="D872" s="104"/>
      <c r="E872" s="104"/>
    </row>
    <row r="873" spans="1:5" x14ac:dyDescent="0.25">
      <c r="A873" s="19"/>
      <c r="C873" s="104"/>
      <c r="D873" s="104"/>
      <c r="E873" s="104"/>
    </row>
    <row r="874" spans="1:5" x14ac:dyDescent="0.25">
      <c r="A874" s="19"/>
      <c r="C874" s="104"/>
      <c r="D874" s="104"/>
      <c r="E874" s="104"/>
    </row>
    <row r="875" spans="1:5" x14ac:dyDescent="0.25">
      <c r="A875" s="19"/>
      <c r="C875" s="104"/>
      <c r="D875" s="104"/>
      <c r="E875" s="104"/>
    </row>
    <row r="876" spans="1:5" x14ac:dyDescent="0.25">
      <c r="A876" s="19"/>
      <c r="C876" s="104"/>
      <c r="D876" s="104"/>
      <c r="E876" s="104"/>
    </row>
    <row r="877" spans="1:5" x14ac:dyDescent="0.25">
      <c r="A877" s="19"/>
      <c r="C877" s="104"/>
      <c r="D877" s="104"/>
      <c r="E877" s="104"/>
    </row>
    <row r="878" spans="1:5" x14ac:dyDescent="0.25">
      <c r="A878" s="19"/>
      <c r="C878" s="104"/>
      <c r="D878" s="104"/>
      <c r="E878" s="104"/>
    </row>
    <row r="879" spans="1:5" x14ac:dyDescent="0.25">
      <c r="A879" s="19"/>
      <c r="C879" s="104"/>
      <c r="D879" s="104"/>
      <c r="E879" s="104"/>
    </row>
    <row r="880" spans="1:5" x14ac:dyDescent="0.25">
      <c r="A880" s="19"/>
      <c r="C880" s="104"/>
      <c r="D880" s="104"/>
      <c r="E880" s="104"/>
    </row>
    <row r="881" spans="1:5" x14ac:dyDescent="0.25">
      <c r="A881" s="19"/>
      <c r="C881" s="104"/>
      <c r="D881" s="104"/>
      <c r="E881" s="104"/>
    </row>
    <row r="882" spans="1:5" x14ac:dyDescent="0.25">
      <c r="A882" s="19"/>
      <c r="C882" s="104"/>
      <c r="D882" s="104"/>
      <c r="E882" s="104"/>
    </row>
    <row r="883" spans="1:5" x14ac:dyDescent="0.25">
      <c r="A883" s="19"/>
      <c r="C883" s="104"/>
      <c r="D883" s="104"/>
      <c r="E883" s="104"/>
    </row>
    <row r="884" spans="1:5" x14ac:dyDescent="0.25">
      <c r="A884" s="19"/>
      <c r="C884" s="104"/>
      <c r="D884" s="104"/>
      <c r="E884" s="104"/>
    </row>
    <row r="885" spans="1:5" x14ac:dyDescent="0.25">
      <c r="A885" s="19"/>
      <c r="C885" s="104"/>
      <c r="D885" s="104"/>
      <c r="E885" s="104"/>
    </row>
    <row r="886" spans="1:5" x14ac:dyDescent="0.25">
      <c r="A886" s="19"/>
      <c r="C886" s="104"/>
      <c r="D886" s="104"/>
      <c r="E886" s="104"/>
    </row>
    <row r="887" spans="1:5" x14ac:dyDescent="0.25">
      <c r="A887" s="19"/>
      <c r="C887" s="104"/>
      <c r="D887" s="104"/>
      <c r="E887" s="104"/>
    </row>
    <row r="888" spans="1:5" x14ac:dyDescent="0.25">
      <c r="A888" s="19"/>
      <c r="C888" s="104"/>
      <c r="D888" s="104"/>
      <c r="E888" s="104"/>
    </row>
    <row r="889" spans="1:5" x14ac:dyDescent="0.25">
      <c r="A889" s="19"/>
      <c r="C889" s="104"/>
      <c r="D889" s="104"/>
      <c r="E889" s="104"/>
    </row>
    <row r="890" spans="1:5" x14ac:dyDescent="0.25">
      <c r="A890" s="19"/>
      <c r="C890" s="104"/>
      <c r="D890" s="104"/>
      <c r="E890" s="104"/>
    </row>
    <row r="891" spans="1:5" x14ac:dyDescent="0.25">
      <c r="A891" s="19"/>
      <c r="C891" s="104"/>
      <c r="D891" s="104"/>
      <c r="E891" s="104"/>
    </row>
    <row r="892" spans="1:5" x14ac:dyDescent="0.25">
      <c r="A892" s="19"/>
      <c r="C892" s="104"/>
      <c r="D892" s="104"/>
      <c r="E892" s="104"/>
    </row>
    <row r="893" spans="1:5" x14ac:dyDescent="0.25">
      <c r="A893" s="19"/>
      <c r="C893" s="104"/>
      <c r="D893" s="104"/>
      <c r="E893" s="104"/>
    </row>
    <row r="894" spans="1:5" x14ac:dyDescent="0.25">
      <c r="A894" s="19"/>
      <c r="C894" s="104"/>
      <c r="D894" s="104"/>
      <c r="E894" s="104"/>
    </row>
    <row r="895" spans="1:5" x14ac:dyDescent="0.25">
      <c r="A895" s="19"/>
      <c r="C895" s="104"/>
      <c r="D895" s="104"/>
      <c r="E895" s="104"/>
    </row>
    <row r="896" spans="1:5" x14ac:dyDescent="0.25">
      <c r="A896" s="19"/>
      <c r="C896" s="104"/>
      <c r="D896" s="104"/>
      <c r="E896" s="104"/>
    </row>
    <row r="897" spans="1:5" x14ac:dyDescent="0.25">
      <c r="A897" s="19"/>
      <c r="C897" s="104"/>
      <c r="D897" s="104"/>
      <c r="E897" s="104"/>
    </row>
    <row r="898" spans="1:5" x14ac:dyDescent="0.25">
      <c r="A898" s="19"/>
      <c r="C898" s="104"/>
      <c r="D898" s="104"/>
      <c r="E898" s="104"/>
    </row>
    <row r="899" spans="1:5" x14ac:dyDescent="0.25">
      <c r="A899" s="19"/>
      <c r="C899" s="104"/>
      <c r="D899" s="104"/>
      <c r="E899" s="104"/>
    </row>
    <row r="900" spans="1:5" x14ac:dyDescent="0.25">
      <c r="A900" s="19"/>
      <c r="C900" s="104"/>
      <c r="D900" s="104"/>
      <c r="E900" s="104"/>
    </row>
    <row r="901" spans="1:5" x14ac:dyDescent="0.25">
      <c r="A901" s="19"/>
      <c r="C901" s="104"/>
      <c r="D901" s="104"/>
      <c r="E901" s="104"/>
    </row>
    <row r="902" spans="1:5" x14ac:dyDescent="0.25">
      <c r="A902" s="19"/>
      <c r="C902" s="104"/>
      <c r="D902" s="104"/>
      <c r="E902" s="104"/>
    </row>
    <row r="903" spans="1:5" x14ac:dyDescent="0.25">
      <c r="A903" s="19"/>
      <c r="C903" s="104"/>
      <c r="D903" s="104"/>
      <c r="E903" s="104"/>
    </row>
    <row r="904" spans="1:5" x14ac:dyDescent="0.25">
      <c r="A904" s="19"/>
      <c r="C904" s="104"/>
      <c r="D904" s="104"/>
      <c r="E904" s="104"/>
    </row>
    <row r="905" spans="1:5" x14ac:dyDescent="0.25">
      <c r="A905" s="19"/>
      <c r="C905" s="104"/>
      <c r="D905" s="104"/>
      <c r="E905" s="104"/>
    </row>
    <row r="906" spans="1:5" x14ac:dyDescent="0.25">
      <c r="A906" s="19"/>
      <c r="C906" s="104"/>
      <c r="D906" s="104"/>
      <c r="E906" s="104"/>
    </row>
    <row r="907" spans="1:5" x14ac:dyDescent="0.25">
      <c r="A907" s="19"/>
      <c r="C907" s="104"/>
      <c r="D907" s="104"/>
      <c r="E907" s="104"/>
    </row>
    <row r="908" spans="1:5" x14ac:dyDescent="0.25">
      <c r="A908" s="19"/>
      <c r="C908" s="104"/>
      <c r="D908" s="104"/>
      <c r="E908" s="104"/>
    </row>
    <row r="909" spans="1:5" x14ac:dyDescent="0.25">
      <c r="A909" s="19"/>
      <c r="C909" s="104"/>
      <c r="D909" s="104"/>
      <c r="E909" s="104"/>
    </row>
    <row r="910" spans="1:5" x14ac:dyDescent="0.25">
      <c r="A910" s="19"/>
      <c r="C910" s="104"/>
      <c r="D910" s="104"/>
      <c r="E910" s="104"/>
    </row>
    <row r="911" spans="1:5" x14ac:dyDescent="0.25">
      <c r="A911" s="19"/>
      <c r="C911" s="104"/>
      <c r="D911" s="104"/>
      <c r="E911" s="104"/>
    </row>
    <row r="912" spans="1:5" x14ac:dyDescent="0.25">
      <c r="A912" s="19"/>
      <c r="C912" s="104"/>
      <c r="D912" s="104"/>
      <c r="E912" s="104"/>
    </row>
    <row r="913" spans="1:5" x14ac:dyDescent="0.25">
      <c r="A913" s="19"/>
      <c r="C913" s="104"/>
      <c r="D913" s="104"/>
      <c r="E913" s="104"/>
    </row>
    <row r="914" spans="1:5" x14ac:dyDescent="0.25">
      <c r="A914" s="19"/>
      <c r="C914" s="104"/>
      <c r="D914" s="104"/>
      <c r="E914" s="104"/>
    </row>
    <row r="915" spans="1:5" x14ac:dyDescent="0.25">
      <c r="A915" s="19"/>
      <c r="C915" s="104"/>
      <c r="D915" s="104"/>
      <c r="E915" s="104"/>
    </row>
    <row r="916" spans="1:5" x14ac:dyDescent="0.25">
      <c r="A916" s="19"/>
      <c r="C916" s="104"/>
      <c r="D916" s="104"/>
      <c r="E916" s="104"/>
    </row>
    <row r="917" spans="1:5" x14ac:dyDescent="0.25">
      <c r="A917" s="19"/>
      <c r="C917" s="104"/>
      <c r="D917" s="104"/>
      <c r="E917" s="104"/>
    </row>
    <row r="918" spans="1:5" x14ac:dyDescent="0.25">
      <c r="A918" s="19"/>
      <c r="C918" s="104"/>
      <c r="D918" s="104"/>
      <c r="E918" s="104"/>
    </row>
    <row r="919" spans="1:5" x14ac:dyDescent="0.25">
      <c r="A919" s="19"/>
      <c r="C919" s="104"/>
      <c r="D919" s="104"/>
      <c r="E919" s="104"/>
    </row>
    <row r="920" spans="1:5" x14ac:dyDescent="0.25">
      <c r="A920" s="19"/>
      <c r="C920" s="104"/>
      <c r="D920" s="104"/>
      <c r="E920" s="104"/>
    </row>
    <row r="921" spans="1:5" x14ac:dyDescent="0.25">
      <c r="A921" s="19"/>
      <c r="C921" s="104"/>
      <c r="D921" s="104"/>
      <c r="E921" s="104"/>
    </row>
    <row r="922" spans="1:5" x14ac:dyDescent="0.25">
      <c r="A922" s="19"/>
      <c r="C922" s="104"/>
      <c r="D922" s="104"/>
      <c r="E922" s="104"/>
    </row>
    <row r="923" spans="1:5" x14ac:dyDescent="0.25">
      <c r="A923" s="19"/>
      <c r="C923" s="104"/>
      <c r="D923" s="104"/>
      <c r="E923" s="104"/>
    </row>
    <row r="924" spans="1:5" x14ac:dyDescent="0.25">
      <c r="A924" s="19"/>
      <c r="C924" s="104"/>
      <c r="D924" s="104"/>
      <c r="E924" s="104"/>
    </row>
    <row r="925" spans="1:5" x14ac:dyDescent="0.25">
      <c r="A925" s="19"/>
      <c r="C925" s="104"/>
      <c r="D925" s="104"/>
      <c r="E925" s="104"/>
    </row>
    <row r="926" spans="1:5" x14ac:dyDescent="0.25">
      <c r="A926" s="19"/>
      <c r="C926" s="104"/>
      <c r="D926" s="104"/>
      <c r="E926" s="104"/>
    </row>
    <row r="927" spans="1:5" x14ac:dyDescent="0.25">
      <c r="A927" s="19"/>
      <c r="C927" s="104"/>
      <c r="D927" s="104"/>
      <c r="E927" s="104"/>
    </row>
    <row r="928" spans="1:5" x14ac:dyDescent="0.25">
      <c r="A928" s="19"/>
      <c r="C928" s="104"/>
      <c r="D928" s="104"/>
      <c r="E928" s="104"/>
    </row>
    <row r="929" spans="1:5" x14ac:dyDescent="0.25">
      <c r="A929" s="19"/>
      <c r="C929" s="104"/>
      <c r="D929" s="104"/>
      <c r="E929" s="104"/>
    </row>
    <row r="930" spans="1:5" x14ac:dyDescent="0.25">
      <c r="A930" s="19"/>
      <c r="C930" s="104"/>
      <c r="D930" s="104"/>
      <c r="E930" s="104"/>
    </row>
    <row r="931" spans="1:5" x14ac:dyDescent="0.25">
      <c r="A931" s="19"/>
      <c r="C931" s="104"/>
      <c r="D931" s="104"/>
      <c r="E931" s="104"/>
    </row>
    <row r="932" spans="1:5" x14ac:dyDescent="0.25">
      <c r="A932" s="19"/>
      <c r="C932" s="104"/>
      <c r="D932" s="104"/>
      <c r="E932" s="104"/>
    </row>
    <row r="933" spans="1:5" x14ac:dyDescent="0.25">
      <c r="A933" s="19"/>
      <c r="C933" s="104"/>
      <c r="D933" s="104"/>
      <c r="E933" s="104"/>
    </row>
    <row r="934" spans="1:5" x14ac:dyDescent="0.25">
      <c r="A934" s="19"/>
      <c r="C934" s="104"/>
      <c r="D934" s="104"/>
      <c r="E934" s="104"/>
    </row>
    <row r="935" spans="1:5" x14ac:dyDescent="0.25">
      <c r="A935" s="19"/>
      <c r="C935" s="104"/>
      <c r="D935" s="104"/>
      <c r="E935" s="104"/>
    </row>
    <row r="936" spans="1:5" x14ac:dyDescent="0.25">
      <c r="A936" s="19"/>
      <c r="C936" s="104"/>
      <c r="D936" s="104"/>
      <c r="E936" s="104"/>
    </row>
    <row r="937" spans="1:5" x14ac:dyDescent="0.25">
      <c r="A937" s="19"/>
      <c r="C937" s="104"/>
      <c r="D937" s="104"/>
      <c r="E937" s="104"/>
    </row>
    <row r="938" spans="1:5" x14ac:dyDescent="0.25">
      <c r="A938" s="19"/>
      <c r="C938" s="104"/>
      <c r="D938" s="104"/>
      <c r="E938" s="104"/>
    </row>
    <row r="939" spans="1:5" x14ac:dyDescent="0.25">
      <c r="A939" s="19"/>
      <c r="C939" s="104"/>
      <c r="D939" s="104"/>
      <c r="E939" s="104"/>
    </row>
    <row r="940" spans="1:5" x14ac:dyDescent="0.25">
      <c r="A940" s="19"/>
      <c r="C940" s="104"/>
      <c r="D940" s="104"/>
      <c r="E940" s="104"/>
    </row>
    <row r="941" spans="1:5" x14ac:dyDescent="0.25">
      <c r="A941" s="19"/>
      <c r="C941" s="104"/>
      <c r="D941" s="104"/>
      <c r="E941" s="104"/>
    </row>
    <row r="942" spans="1:5" x14ac:dyDescent="0.25">
      <c r="A942" s="19"/>
      <c r="C942" s="104"/>
      <c r="D942" s="104"/>
      <c r="E942" s="104"/>
    </row>
    <row r="943" spans="1:5" x14ac:dyDescent="0.25">
      <c r="A943" s="19"/>
      <c r="C943" s="104"/>
      <c r="D943" s="104"/>
      <c r="E943" s="104"/>
    </row>
    <row r="944" spans="1:5" x14ac:dyDescent="0.25">
      <c r="A944" s="19"/>
      <c r="C944" s="104"/>
      <c r="D944" s="104"/>
      <c r="E944" s="104"/>
    </row>
    <row r="945" spans="1:5" x14ac:dyDescent="0.25">
      <c r="A945" s="19"/>
      <c r="C945" s="104"/>
      <c r="D945" s="104"/>
      <c r="E945" s="104"/>
    </row>
    <row r="946" spans="1:5" x14ac:dyDescent="0.25">
      <c r="A946" s="19"/>
      <c r="C946" s="104"/>
      <c r="D946" s="104"/>
      <c r="E946" s="104"/>
    </row>
    <row r="947" spans="1:5" x14ac:dyDescent="0.25">
      <c r="A947" s="19"/>
      <c r="C947" s="104"/>
      <c r="D947" s="104"/>
      <c r="E947" s="104"/>
    </row>
    <row r="948" spans="1:5" x14ac:dyDescent="0.25">
      <c r="A948" s="19"/>
      <c r="C948" s="104"/>
      <c r="D948" s="104"/>
      <c r="E948" s="104"/>
    </row>
    <row r="949" spans="1:5" x14ac:dyDescent="0.25">
      <c r="A949" s="19"/>
      <c r="C949" s="104"/>
      <c r="D949" s="104"/>
      <c r="E949" s="104"/>
    </row>
    <row r="950" spans="1:5" x14ac:dyDescent="0.25">
      <c r="A950" s="19"/>
      <c r="C950" s="104"/>
      <c r="D950" s="104"/>
      <c r="E950" s="104"/>
    </row>
    <row r="951" spans="1:5" x14ac:dyDescent="0.25">
      <c r="A951" s="19"/>
      <c r="C951" s="104"/>
      <c r="D951" s="104"/>
      <c r="E951" s="104"/>
    </row>
    <row r="952" spans="1:5" x14ac:dyDescent="0.25">
      <c r="A952" s="19"/>
      <c r="C952" s="104"/>
      <c r="D952" s="104"/>
      <c r="E952" s="104"/>
    </row>
    <row r="953" spans="1:5" x14ac:dyDescent="0.25">
      <c r="A953" s="19"/>
      <c r="C953" s="104"/>
      <c r="D953" s="104"/>
      <c r="E953" s="104"/>
    </row>
    <row r="954" spans="1:5" x14ac:dyDescent="0.25">
      <c r="A954" s="19"/>
      <c r="C954" s="104"/>
      <c r="D954" s="104"/>
      <c r="E954" s="104"/>
    </row>
    <row r="955" spans="1:5" x14ac:dyDescent="0.25">
      <c r="A955" s="19"/>
      <c r="C955" s="104"/>
      <c r="D955" s="104"/>
      <c r="E955" s="104"/>
    </row>
    <row r="956" spans="1:5" x14ac:dyDescent="0.25">
      <c r="A956" s="19"/>
      <c r="C956" s="104"/>
      <c r="D956" s="104"/>
      <c r="E956" s="104"/>
    </row>
    <row r="957" spans="1:5" x14ac:dyDescent="0.25">
      <c r="A957" s="19"/>
      <c r="C957" s="104"/>
      <c r="D957" s="104"/>
      <c r="E957" s="104"/>
    </row>
    <row r="958" spans="1:5" x14ac:dyDescent="0.25">
      <c r="A958" s="19"/>
      <c r="C958" s="104"/>
      <c r="D958" s="104"/>
      <c r="E958" s="104"/>
    </row>
    <row r="959" spans="1:5" x14ac:dyDescent="0.25">
      <c r="A959" s="19"/>
      <c r="C959" s="104"/>
      <c r="D959" s="104"/>
      <c r="E959" s="104"/>
    </row>
    <row r="960" spans="1:5" x14ac:dyDescent="0.25">
      <c r="A960" s="19"/>
      <c r="C960" s="104"/>
      <c r="D960" s="104"/>
      <c r="E960" s="104"/>
    </row>
    <row r="961" spans="1:5" x14ac:dyDescent="0.25">
      <c r="A961" s="19"/>
      <c r="C961" s="104"/>
      <c r="D961" s="104"/>
      <c r="E961" s="104"/>
    </row>
    <row r="962" spans="1:5" x14ac:dyDescent="0.25">
      <c r="A962" s="19"/>
      <c r="C962" s="104"/>
      <c r="D962" s="104"/>
      <c r="E962" s="104"/>
    </row>
    <row r="963" spans="1:5" x14ac:dyDescent="0.25">
      <c r="A963" s="19"/>
      <c r="C963" s="104"/>
      <c r="D963" s="104"/>
      <c r="E963" s="104"/>
    </row>
    <row r="964" spans="1:5" x14ac:dyDescent="0.25">
      <c r="A964" s="19"/>
      <c r="C964" s="104"/>
      <c r="D964" s="104"/>
      <c r="E964" s="104"/>
    </row>
    <row r="965" spans="1:5" x14ac:dyDescent="0.25">
      <c r="A965" s="19"/>
      <c r="C965" s="104"/>
      <c r="D965" s="104"/>
      <c r="E965" s="104"/>
    </row>
    <row r="966" spans="1:5" x14ac:dyDescent="0.25">
      <c r="A966" s="19"/>
      <c r="C966" s="104"/>
      <c r="D966" s="104"/>
      <c r="E966" s="104"/>
    </row>
    <row r="967" spans="1:5" x14ac:dyDescent="0.25">
      <c r="A967" s="19"/>
      <c r="C967" s="104"/>
      <c r="D967" s="104"/>
      <c r="E967" s="104"/>
    </row>
    <row r="968" spans="1:5" x14ac:dyDescent="0.25">
      <c r="A968" s="19"/>
      <c r="C968" s="104"/>
      <c r="D968" s="104"/>
      <c r="E968" s="104"/>
    </row>
    <row r="969" spans="1:5" x14ac:dyDescent="0.25">
      <c r="A969" s="19"/>
      <c r="C969" s="104"/>
      <c r="D969" s="104"/>
      <c r="E969" s="104"/>
    </row>
    <row r="970" spans="1:5" x14ac:dyDescent="0.25">
      <c r="A970" s="19"/>
      <c r="C970" s="104"/>
      <c r="D970" s="104"/>
      <c r="E970" s="104"/>
    </row>
    <row r="971" spans="1:5" x14ac:dyDescent="0.25">
      <c r="A971" s="19"/>
      <c r="C971" s="104"/>
      <c r="D971" s="104"/>
      <c r="E971" s="104"/>
    </row>
    <row r="972" spans="1:5" x14ac:dyDescent="0.25">
      <c r="A972" s="19"/>
      <c r="C972" s="104"/>
      <c r="D972" s="104"/>
      <c r="E972" s="104"/>
    </row>
    <row r="973" spans="1:5" x14ac:dyDescent="0.25">
      <c r="A973" s="19"/>
      <c r="C973" s="104"/>
      <c r="D973" s="104"/>
      <c r="E973" s="104"/>
    </row>
    <row r="974" spans="1:5" x14ac:dyDescent="0.25">
      <c r="A974" s="19"/>
      <c r="C974" s="104"/>
      <c r="D974" s="104"/>
      <c r="E974" s="104"/>
    </row>
    <row r="975" spans="1:5" x14ac:dyDescent="0.25">
      <c r="A975" s="19"/>
      <c r="C975" s="104"/>
      <c r="D975" s="104"/>
      <c r="E975" s="104"/>
    </row>
    <row r="976" spans="1:5" x14ac:dyDescent="0.25">
      <c r="A976" s="19"/>
      <c r="C976" s="104"/>
      <c r="D976" s="104"/>
      <c r="E976" s="104"/>
    </row>
    <row r="977" spans="1:5" x14ac:dyDescent="0.25">
      <c r="A977" s="19"/>
      <c r="C977" s="104"/>
      <c r="D977" s="104"/>
      <c r="E977" s="104"/>
    </row>
    <row r="978" spans="1:5" x14ac:dyDescent="0.25">
      <c r="A978" s="19"/>
      <c r="C978" s="104"/>
      <c r="D978" s="104"/>
      <c r="E978" s="104"/>
    </row>
    <row r="979" spans="1:5" x14ac:dyDescent="0.25">
      <c r="A979" s="19"/>
      <c r="C979" s="104"/>
      <c r="D979" s="104"/>
      <c r="E979" s="104"/>
    </row>
    <row r="980" spans="1:5" x14ac:dyDescent="0.25">
      <c r="A980" s="19"/>
      <c r="C980" s="104"/>
      <c r="D980" s="104"/>
      <c r="E980" s="104"/>
    </row>
    <row r="981" spans="1:5" x14ac:dyDescent="0.25">
      <c r="A981" s="19"/>
      <c r="C981" s="104"/>
      <c r="D981" s="104"/>
      <c r="E981" s="104"/>
    </row>
    <row r="982" spans="1:5" x14ac:dyDescent="0.25">
      <c r="A982" s="19"/>
      <c r="C982" s="104"/>
      <c r="D982" s="104"/>
      <c r="E982" s="104"/>
    </row>
    <row r="983" spans="1:5" x14ac:dyDescent="0.25">
      <c r="A983" s="19"/>
      <c r="C983" s="104"/>
      <c r="D983" s="104"/>
      <c r="E983" s="104"/>
    </row>
    <row r="984" spans="1:5" x14ac:dyDescent="0.25">
      <c r="A984" s="19"/>
      <c r="C984" s="104"/>
      <c r="D984" s="104"/>
      <c r="E984" s="104"/>
    </row>
    <row r="985" spans="1:5" x14ac:dyDescent="0.25">
      <c r="A985" s="19"/>
      <c r="C985" s="104"/>
      <c r="D985" s="104"/>
      <c r="E985" s="104"/>
    </row>
    <row r="986" spans="1:5" x14ac:dyDescent="0.25">
      <c r="A986" s="19"/>
      <c r="C986" s="104"/>
      <c r="D986" s="104"/>
      <c r="E986" s="104"/>
    </row>
    <row r="987" spans="1:5" x14ac:dyDescent="0.25">
      <c r="A987" s="19"/>
      <c r="C987" s="104"/>
      <c r="D987" s="104"/>
      <c r="E987" s="104"/>
    </row>
    <row r="988" spans="1:5" x14ac:dyDescent="0.25">
      <c r="A988" s="19"/>
      <c r="C988" s="104"/>
      <c r="D988" s="104"/>
      <c r="E988" s="104"/>
    </row>
    <row r="989" spans="1:5" x14ac:dyDescent="0.25">
      <c r="A989" s="19"/>
      <c r="C989" s="104"/>
      <c r="D989" s="104"/>
      <c r="E989" s="104"/>
    </row>
    <row r="990" spans="1:5" x14ac:dyDescent="0.25">
      <c r="A990" s="19"/>
      <c r="C990" s="104"/>
      <c r="D990" s="104"/>
      <c r="E990" s="104"/>
    </row>
    <row r="991" spans="1:5" x14ac:dyDescent="0.25">
      <c r="A991" s="19"/>
      <c r="C991" s="104"/>
      <c r="D991" s="104"/>
      <c r="E991" s="104"/>
    </row>
    <row r="992" spans="1:5" x14ac:dyDescent="0.25">
      <c r="A992" s="19"/>
      <c r="C992" s="104"/>
      <c r="D992" s="104"/>
      <c r="E992" s="104"/>
    </row>
    <row r="993" spans="1:5" x14ac:dyDescent="0.25">
      <c r="A993" s="19"/>
      <c r="C993" s="104"/>
      <c r="D993" s="104"/>
      <c r="E993" s="104"/>
    </row>
    <row r="994" spans="1:5" x14ac:dyDescent="0.25">
      <c r="A994" s="19"/>
      <c r="C994" s="104"/>
      <c r="D994" s="104"/>
      <c r="E994" s="104"/>
    </row>
    <row r="995" spans="1:5" x14ac:dyDescent="0.25">
      <c r="A995" s="19"/>
      <c r="C995" s="104"/>
      <c r="D995" s="104"/>
      <c r="E995" s="104"/>
    </row>
    <row r="996" spans="1:5" x14ac:dyDescent="0.25">
      <c r="A996" s="19"/>
      <c r="C996" s="104"/>
      <c r="D996" s="104"/>
      <c r="E996" s="104"/>
    </row>
    <row r="997" spans="1:5" x14ac:dyDescent="0.25">
      <c r="A997" s="19"/>
      <c r="C997" s="104"/>
      <c r="D997" s="104"/>
      <c r="E997" s="104"/>
    </row>
    <row r="998" spans="1:5" x14ac:dyDescent="0.25">
      <c r="A998" s="19"/>
      <c r="C998" s="104"/>
      <c r="D998" s="104"/>
      <c r="E998" s="104"/>
    </row>
    <row r="999" spans="1:5" x14ac:dyDescent="0.25">
      <c r="A999" s="19"/>
      <c r="C999" s="104"/>
      <c r="D999" s="104"/>
      <c r="E999" s="104"/>
    </row>
    <row r="1000" spans="1:5" x14ac:dyDescent="0.25">
      <c r="A1000" s="19"/>
      <c r="C1000" s="104"/>
      <c r="D1000" s="104"/>
      <c r="E1000" s="104"/>
    </row>
    <row r="1001" spans="1:5" x14ac:dyDescent="0.25">
      <c r="A1001" s="19"/>
      <c r="C1001" s="104"/>
      <c r="D1001" s="104"/>
      <c r="E1001" s="104"/>
    </row>
    <row r="1002" spans="1:5" x14ac:dyDescent="0.25">
      <c r="A1002" s="19"/>
      <c r="C1002" s="104"/>
      <c r="D1002" s="104"/>
      <c r="E1002" s="104"/>
    </row>
    <row r="1003" spans="1:5" x14ac:dyDescent="0.25">
      <c r="A1003" s="19"/>
      <c r="C1003" s="104"/>
      <c r="D1003" s="104"/>
      <c r="E1003" s="104"/>
    </row>
    <row r="1004" spans="1:5" x14ac:dyDescent="0.25">
      <c r="A1004" s="19"/>
      <c r="C1004" s="104"/>
      <c r="D1004" s="104"/>
      <c r="E1004" s="104"/>
    </row>
    <row r="1005" spans="1:5" x14ac:dyDescent="0.25">
      <c r="A1005" s="19"/>
      <c r="C1005" s="104"/>
      <c r="D1005" s="104"/>
      <c r="E1005" s="104"/>
    </row>
    <row r="1006" spans="1:5" x14ac:dyDescent="0.25">
      <c r="A1006" s="19"/>
      <c r="C1006" s="104"/>
      <c r="D1006" s="104"/>
      <c r="E1006" s="104"/>
    </row>
    <row r="1007" spans="1:5" x14ac:dyDescent="0.25">
      <c r="A1007" s="19"/>
      <c r="C1007" s="104"/>
      <c r="D1007" s="104"/>
      <c r="E1007" s="104"/>
    </row>
    <row r="1008" spans="1:5" x14ac:dyDescent="0.25">
      <c r="A1008" s="19"/>
      <c r="C1008" s="104"/>
      <c r="D1008" s="104"/>
      <c r="E1008" s="104"/>
    </row>
    <row r="1009" spans="1:5" x14ac:dyDescent="0.25">
      <c r="A1009" s="19"/>
      <c r="C1009" s="104"/>
      <c r="D1009" s="104"/>
      <c r="E1009" s="104"/>
    </row>
    <row r="1010" spans="1:5" x14ac:dyDescent="0.25">
      <c r="A1010" s="19"/>
      <c r="C1010" s="104"/>
      <c r="D1010" s="104"/>
      <c r="E1010" s="104"/>
    </row>
    <row r="1011" spans="1:5" x14ac:dyDescent="0.25">
      <c r="A1011" s="19"/>
      <c r="C1011" s="104"/>
      <c r="D1011" s="104"/>
      <c r="E1011" s="104"/>
    </row>
    <row r="1012" spans="1:5" x14ac:dyDescent="0.25">
      <c r="A1012" s="19"/>
      <c r="C1012" s="104"/>
      <c r="D1012" s="104"/>
      <c r="E1012" s="104"/>
    </row>
    <row r="1013" spans="1:5" x14ac:dyDescent="0.25">
      <c r="A1013" s="19"/>
      <c r="C1013" s="104"/>
      <c r="D1013" s="104"/>
      <c r="E1013" s="104"/>
    </row>
    <row r="1014" spans="1:5" x14ac:dyDescent="0.25">
      <c r="A1014" s="19"/>
      <c r="C1014" s="104"/>
      <c r="D1014" s="104"/>
      <c r="E1014" s="104"/>
    </row>
    <row r="1015" spans="1:5" x14ac:dyDescent="0.25">
      <c r="A1015" s="19"/>
      <c r="C1015" s="104"/>
      <c r="D1015" s="104"/>
      <c r="E1015" s="104"/>
    </row>
    <row r="1016" spans="1:5" x14ac:dyDescent="0.25">
      <c r="A1016" s="19"/>
      <c r="C1016" s="104"/>
      <c r="D1016" s="104"/>
      <c r="E1016" s="104"/>
    </row>
    <row r="1017" spans="1:5" x14ac:dyDescent="0.25">
      <c r="A1017" s="19"/>
      <c r="C1017" s="104"/>
      <c r="D1017" s="104"/>
      <c r="E1017" s="104"/>
    </row>
    <row r="1018" spans="1:5" x14ac:dyDescent="0.25">
      <c r="A1018" s="19"/>
      <c r="C1018" s="104"/>
      <c r="D1018" s="104"/>
      <c r="E1018" s="104"/>
    </row>
    <row r="1019" spans="1:5" x14ac:dyDescent="0.25">
      <c r="A1019" s="19"/>
      <c r="C1019" s="104"/>
      <c r="D1019" s="104"/>
      <c r="E1019" s="104"/>
    </row>
    <row r="1020" spans="1:5" x14ac:dyDescent="0.25">
      <c r="A1020" s="19"/>
      <c r="C1020" s="104"/>
      <c r="D1020" s="104"/>
      <c r="E1020" s="104"/>
    </row>
    <row r="1021" spans="1:5" x14ac:dyDescent="0.25">
      <c r="A1021" s="19"/>
      <c r="C1021" s="104"/>
      <c r="D1021" s="104"/>
      <c r="E1021" s="104"/>
    </row>
    <row r="1022" spans="1:5" x14ac:dyDescent="0.25">
      <c r="A1022" s="19"/>
      <c r="C1022" s="104"/>
      <c r="D1022" s="104"/>
      <c r="E1022" s="104"/>
    </row>
    <row r="1023" spans="1:5" x14ac:dyDescent="0.25">
      <c r="A1023" s="19"/>
      <c r="C1023" s="104"/>
      <c r="D1023" s="104"/>
      <c r="E1023" s="104"/>
    </row>
    <row r="1024" spans="1:5" x14ac:dyDescent="0.25">
      <c r="A1024" s="19"/>
      <c r="C1024" s="104"/>
      <c r="D1024" s="104"/>
      <c r="E1024" s="104"/>
    </row>
    <row r="1025" spans="1:5" x14ac:dyDescent="0.25">
      <c r="A1025" s="19"/>
      <c r="C1025" s="104"/>
      <c r="D1025" s="104"/>
      <c r="E1025" s="104"/>
    </row>
    <row r="1026" spans="1:5" x14ac:dyDescent="0.25">
      <c r="A1026" s="19"/>
      <c r="C1026" s="104"/>
      <c r="D1026" s="104"/>
      <c r="E1026" s="104"/>
    </row>
    <row r="1027" spans="1:5" x14ac:dyDescent="0.25">
      <c r="A1027" s="19"/>
      <c r="C1027" s="104"/>
      <c r="D1027" s="104"/>
      <c r="E1027" s="104"/>
    </row>
    <row r="1028" spans="1:5" x14ac:dyDescent="0.25">
      <c r="A1028" s="19"/>
      <c r="C1028" s="104"/>
      <c r="D1028" s="104"/>
      <c r="E1028" s="104"/>
    </row>
    <row r="1029" spans="1:5" x14ac:dyDescent="0.25">
      <c r="A1029" s="19"/>
      <c r="C1029" s="104"/>
      <c r="D1029" s="104"/>
      <c r="E1029" s="104"/>
    </row>
    <row r="1030" spans="1:5" x14ac:dyDescent="0.25">
      <c r="A1030" s="19"/>
      <c r="C1030" s="104"/>
      <c r="D1030" s="104"/>
      <c r="E1030" s="104"/>
    </row>
    <row r="1031" spans="1:5" x14ac:dyDescent="0.25">
      <c r="A1031" s="19"/>
      <c r="C1031" s="104"/>
      <c r="D1031" s="104"/>
      <c r="E1031" s="104"/>
    </row>
    <row r="1032" spans="1:5" x14ac:dyDescent="0.25">
      <c r="A1032" s="19"/>
      <c r="C1032" s="104"/>
      <c r="D1032" s="104"/>
      <c r="E1032" s="104"/>
    </row>
    <row r="1033" spans="1:5" x14ac:dyDescent="0.25">
      <c r="A1033" s="19"/>
      <c r="C1033" s="104"/>
      <c r="D1033" s="104"/>
      <c r="E1033" s="104"/>
    </row>
    <row r="1034" spans="1:5" x14ac:dyDescent="0.25">
      <c r="A1034" s="19"/>
      <c r="C1034" s="104"/>
      <c r="D1034" s="104"/>
      <c r="E1034" s="104"/>
    </row>
    <row r="1035" spans="1:5" x14ac:dyDescent="0.25">
      <c r="A1035" s="19"/>
      <c r="C1035" s="104"/>
      <c r="D1035" s="104"/>
      <c r="E1035" s="104"/>
    </row>
    <row r="1036" spans="1:5" x14ac:dyDescent="0.25">
      <c r="A1036" s="19"/>
      <c r="C1036" s="104"/>
      <c r="D1036" s="104"/>
      <c r="E1036" s="104"/>
    </row>
    <row r="1037" spans="1:5" x14ac:dyDescent="0.25">
      <c r="A1037" s="19"/>
      <c r="C1037" s="104"/>
      <c r="D1037" s="104"/>
      <c r="E1037" s="104"/>
    </row>
    <row r="1038" spans="1:5" x14ac:dyDescent="0.25">
      <c r="A1038" s="19"/>
      <c r="C1038" s="104"/>
      <c r="D1038" s="104"/>
      <c r="E1038" s="104"/>
    </row>
    <row r="1039" spans="1:5" x14ac:dyDescent="0.25">
      <c r="A1039" s="19"/>
      <c r="C1039" s="104"/>
      <c r="D1039" s="104"/>
      <c r="E1039" s="104"/>
    </row>
    <row r="1040" spans="1:5" x14ac:dyDescent="0.25">
      <c r="A1040" s="19"/>
      <c r="C1040" s="104"/>
      <c r="D1040" s="104"/>
      <c r="E1040" s="104"/>
    </row>
    <row r="1041" spans="1:5" x14ac:dyDescent="0.25">
      <c r="A1041" s="19"/>
      <c r="C1041" s="104"/>
      <c r="D1041" s="104"/>
      <c r="E1041" s="104"/>
    </row>
    <row r="1042" spans="1:5" x14ac:dyDescent="0.25">
      <c r="A1042" s="19"/>
      <c r="C1042" s="104"/>
      <c r="D1042" s="104"/>
      <c r="E1042" s="104"/>
    </row>
    <row r="1043" spans="1:5" x14ac:dyDescent="0.25">
      <c r="A1043" s="19"/>
      <c r="C1043" s="104"/>
      <c r="D1043" s="104"/>
      <c r="E1043" s="104"/>
    </row>
    <row r="1044" spans="1:5" x14ac:dyDescent="0.25">
      <c r="A1044" s="19"/>
      <c r="C1044" s="104"/>
      <c r="D1044" s="104"/>
      <c r="E1044" s="104"/>
    </row>
    <row r="1045" spans="1:5" x14ac:dyDescent="0.25">
      <c r="A1045" s="19"/>
      <c r="C1045" s="104"/>
      <c r="D1045" s="104"/>
      <c r="E1045" s="104"/>
    </row>
    <row r="1046" spans="1:5" x14ac:dyDescent="0.25">
      <c r="A1046" s="19"/>
      <c r="C1046" s="104"/>
      <c r="D1046" s="104"/>
      <c r="E1046" s="104"/>
    </row>
    <row r="1047" spans="1:5" x14ac:dyDescent="0.25">
      <c r="A1047" s="19"/>
      <c r="C1047" s="104"/>
      <c r="D1047" s="104"/>
      <c r="E1047" s="104"/>
    </row>
    <row r="1048" spans="1:5" x14ac:dyDescent="0.25">
      <c r="A1048" s="19"/>
      <c r="C1048" s="104"/>
      <c r="D1048" s="104"/>
      <c r="E1048" s="104"/>
    </row>
    <row r="1049" spans="1:5" x14ac:dyDescent="0.25">
      <c r="A1049" s="19"/>
      <c r="C1049" s="104"/>
      <c r="D1049" s="104"/>
      <c r="E1049" s="104"/>
    </row>
    <row r="1050" spans="1:5" x14ac:dyDescent="0.25">
      <c r="A1050" s="19"/>
      <c r="C1050" s="104"/>
      <c r="D1050" s="104"/>
      <c r="E1050" s="104"/>
    </row>
    <row r="1051" spans="1:5" x14ac:dyDescent="0.25">
      <c r="A1051" s="19"/>
      <c r="C1051" s="104"/>
      <c r="D1051" s="104"/>
      <c r="E1051" s="104"/>
    </row>
    <row r="1052" spans="1:5" x14ac:dyDescent="0.25">
      <c r="A1052" s="19"/>
      <c r="C1052" s="104"/>
      <c r="D1052" s="104"/>
      <c r="E1052" s="104"/>
    </row>
    <row r="1053" spans="1:5" x14ac:dyDescent="0.25">
      <c r="A1053" s="19"/>
      <c r="C1053" s="104"/>
      <c r="D1053" s="104"/>
      <c r="E1053" s="104"/>
    </row>
    <row r="1054" spans="1:5" x14ac:dyDescent="0.25">
      <c r="A1054" s="19"/>
      <c r="C1054" s="104"/>
      <c r="D1054" s="104"/>
      <c r="E1054" s="104"/>
    </row>
    <row r="1055" spans="1:5" x14ac:dyDescent="0.25">
      <c r="A1055" s="19"/>
      <c r="C1055" s="104"/>
      <c r="D1055" s="104"/>
      <c r="E1055" s="104"/>
    </row>
    <row r="1056" spans="1:5" x14ac:dyDescent="0.25">
      <c r="A1056" s="19"/>
      <c r="C1056" s="104"/>
      <c r="D1056" s="104"/>
      <c r="E1056" s="104"/>
    </row>
    <row r="1057" spans="1:5" x14ac:dyDescent="0.25">
      <c r="A1057" s="19"/>
      <c r="C1057" s="104"/>
      <c r="D1057" s="104"/>
      <c r="E1057" s="104"/>
    </row>
    <row r="1058" spans="1:5" x14ac:dyDescent="0.25">
      <c r="A1058" s="19"/>
      <c r="C1058" s="104"/>
      <c r="D1058" s="104"/>
      <c r="E1058" s="104"/>
    </row>
    <row r="1059" spans="1:5" x14ac:dyDescent="0.25">
      <c r="A1059" s="19"/>
      <c r="C1059" s="104"/>
      <c r="D1059" s="104"/>
      <c r="E1059" s="104"/>
    </row>
    <row r="1060" spans="1:5" x14ac:dyDescent="0.25">
      <c r="A1060" s="19"/>
      <c r="C1060" s="104"/>
      <c r="D1060" s="104"/>
      <c r="E1060" s="104"/>
    </row>
    <row r="1061" spans="1:5" x14ac:dyDescent="0.25">
      <c r="A1061" s="19"/>
      <c r="C1061" s="104"/>
      <c r="D1061" s="104"/>
      <c r="E1061" s="104"/>
    </row>
    <row r="1062" spans="1:5" x14ac:dyDescent="0.25">
      <c r="A1062" s="19"/>
      <c r="C1062" s="104"/>
      <c r="D1062" s="104"/>
      <c r="E1062" s="104"/>
    </row>
    <row r="1063" spans="1:5" x14ac:dyDescent="0.25">
      <c r="A1063" s="19"/>
      <c r="C1063" s="104"/>
      <c r="D1063" s="104"/>
      <c r="E1063" s="104"/>
    </row>
    <row r="1064" spans="1:5" x14ac:dyDescent="0.25">
      <c r="A1064" s="19"/>
      <c r="C1064" s="104"/>
      <c r="D1064" s="104"/>
      <c r="E1064" s="104"/>
    </row>
    <row r="1065" spans="1:5" x14ac:dyDescent="0.25">
      <c r="A1065" s="19"/>
      <c r="C1065" s="104"/>
      <c r="D1065" s="104"/>
      <c r="E1065" s="104"/>
    </row>
    <row r="1066" spans="1:5" x14ac:dyDescent="0.25">
      <c r="A1066" s="19"/>
      <c r="C1066" s="104"/>
      <c r="D1066" s="104"/>
      <c r="E1066" s="104"/>
    </row>
    <row r="1067" spans="1:5" x14ac:dyDescent="0.25">
      <c r="A1067" s="19"/>
      <c r="C1067" s="104"/>
      <c r="D1067" s="104"/>
      <c r="E1067" s="104"/>
    </row>
    <row r="1068" spans="1:5" x14ac:dyDescent="0.25">
      <c r="A1068" s="19"/>
      <c r="C1068" s="104"/>
      <c r="D1068" s="104"/>
      <c r="E1068" s="104"/>
    </row>
    <row r="1069" spans="1:5" x14ac:dyDescent="0.25">
      <c r="A1069" s="19"/>
      <c r="C1069" s="104"/>
      <c r="D1069" s="104"/>
      <c r="E1069" s="104"/>
    </row>
    <row r="1070" spans="1:5" x14ac:dyDescent="0.25">
      <c r="A1070" s="19"/>
      <c r="C1070" s="104"/>
      <c r="D1070" s="104"/>
      <c r="E1070" s="104"/>
    </row>
    <row r="1071" spans="1:5" x14ac:dyDescent="0.25">
      <c r="A1071" s="19"/>
      <c r="C1071" s="104"/>
      <c r="D1071" s="104"/>
      <c r="E1071" s="104"/>
    </row>
    <row r="1072" spans="1:5" x14ac:dyDescent="0.25">
      <c r="A1072" s="19"/>
      <c r="C1072" s="104"/>
      <c r="D1072" s="104"/>
      <c r="E1072" s="104"/>
    </row>
    <row r="1073" spans="1:5" x14ac:dyDescent="0.25">
      <c r="A1073" s="19"/>
      <c r="C1073" s="104"/>
      <c r="D1073" s="104"/>
      <c r="E1073" s="104"/>
    </row>
    <row r="1074" spans="1:5" x14ac:dyDescent="0.25">
      <c r="A1074" s="19"/>
      <c r="C1074" s="104"/>
      <c r="D1074" s="104"/>
      <c r="E1074" s="104"/>
    </row>
    <row r="1075" spans="1:5" x14ac:dyDescent="0.25">
      <c r="A1075" s="19"/>
      <c r="C1075" s="104"/>
      <c r="D1075" s="104"/>
      <c r="E1075" s="104"/>
    </row>
    <row r="1076" spans="1:5" x14ac:dyDescent="0.25">
      <c r="A1076" s="19"/>
      <c r="C1076" s="104"/>
      <c r="D1076" s="104"/>
      <c r="E1076" s="104"/>
    </row>
    <row r="1077" spans="1:5" x14ac:dyDescent="0.25">
      <c r="A1077" s="19"/>
      <c r="C1077" s="104"/>
      <c r="D1077" s="104"/>
      <c r="E1077" s="104"/>
    </row>
    <row r="1078" spans="1:5" x14ac:dyDescent="0.25">
      <c r="A1078" s="19"/>
      <c r="C1078" s="104"/>
      <c r="D1078" s="104"/>
      <c r="E1078" s="104"/>
    </row>
    <row r="1079" spans="1:5" x14ac:dyDescent="0.25">
      <c r="A1079" s="19"/>
      <c r="C1079" s="104"/>
      <c r="D1079" s="104"/>
      <c r="E1079" s="104"/>
    </row>
    <row r="1080" spans="1:5" x14ac:dyDescent="0.25">
      <c r="A1080" s="19"/>
      <c r="C1080" s="104"/>
      <c r="D1080" s="104"/>
      <c r="E1080" s="104"/>
    </row>
    <row r="1081" spans="1:5" x14ac:dyDescent="0.25">
      <c r="A1081" s="19"/>
      <c r="C1081" s="104"/>
      <c r="D1081" s="104"/>
      <c r="E1081" s="104"/>
    </row>
    <row r="1082" spans="1:5" x14ac:dyDescent="0.25">
      <c r="A1082" s="19"/>
      <c r="C1082" s="104"/>
      <c r="D1082" s="104"/>
      <c r="E1082" s="104"/>
    </row>
    <row r="1083" spans="1:5" x14ac:dyDescent="0.25">
      <c r="A1083" s="19"/>
      <c r="C1083" s="104"/>
      <c r="D1083" s="104"/>
      <c r="E1083" s="104"/>
    </row>
    <row r="1084" spans="1:5" x14ac:dyDescent="0.25">
      <c r="A1084" s="19"/>
      <c r="C1084" s="104"/>
      <c r="D1084" s="104"/>
      <c r="E1084" s="104"/>
    </row>
    <row r="1085" spans="1:5" x14ac:dyDescent="0.25">
      <c r="A1085" s="19"/>
      <c r="C1085" s="104"/>
      <c r="D1085" s="104"/>
      <c r="E1085" s="104"/>
    </row>
    <row r="1086" spans="1:5" x14ac:dyDescent="0.25">
      <c r="A1086" s="19"/>
      <c r="C1086" s="104"/>
      <c r="D1086" s="104"/>
      <c r="E1086" s="104"/>
    </row>
    <row r="1087" spans="1:5" x14ac:dyDescent="0.25">
      <c r="A1087" s="19"/>
      <c r="C1087" s="104"/>
      <c r="D1087" s="104"/>
      <c r="E1087" s="104"/>
    </row>
    <row r="1088" spans="1:5" x14ac:dyDescent="0.25">
      <c r="A1088" s="19"/>
      <c r="C1088" s="104"/>
      <c r="D1088" s="104"/>
      <c r="E1088" s="104"/>
    </row>
    <row r="1089" spans="1:5" x14ac:dyDescent="0.25">
      <c r="A1089" s="19"/>
      <c r="C1089" s="104"/>
      <c r="D1089" s="104"/>
      <c r="E1089" s="104"/>
    </row>
    <row r="1090" spans="1:5" x14ac:dyDescent="0.25">
      <c r="A1090" s="19"/>
      <c r="C1090" s="104"/>
      <c r="D1090" s="104"/>
      <c r="E1090" s="104"/>
    </row>
    <row r="1091" spans="1:5" x14ac:dyDescent="0.25">
      <c r="A1091" s="19"/>
      <c r="C1091" s="104"/>
      <c r="D1091" s="104"/>
      <c r="E1091" s="104"/>
    </row>
    <row r="1092" spans="1:5" x14ac:dyDescent="0.25">
      <c r="A1092" s="19"/>
      <c r="C1092" s="104"/>
      <c r="D1092" s="104"/>
      <c r="E1092" s="104"/>
    </row>
    <row r="1093" spans="1:5" x14ac:dyDescent="0.25">
      <c r="A1093" s="19"/>
      <c r="C1093" s="104"/>
      <c r="D1093" s="104"/>
      <c r="E1093" s="104"/>
    </row>
    <row r="1094" spans="1:5" x14ac:dyDescent="0.25">
      <c r="A1094" s="19"/>
      <c r="C1094" s="104"/>
      <c r="D1094" s="104"/>
      <c r="E1094" s="104"/>
    </row>
    <row r="1095" spans="1:5" x14ac:dyDescent="0.25">
      <c r="A1095" s="19"/>
      <c r="C1095" s="104"/>
      <c r="D1095" s="104"/>
      <c r="E1095" s="104"/>
    </row>
    <row r="1096" spans="1:5" x14ac:dyDescent="0.25">
      <c r="A1096" s="19"/>
      <c r="C1096" s="104"/>
      <c r="D1096" s="104"/>
      <c r="E1096" s="104"/>
    </row>
    <row r="1097" spans="1:5" x14ac:dyDescent="0.25">
      <c r="A1097" s="19"/>
      <c r="C1097" s="104"/>
      <c r="D1097" s="104"/>
      <c r="E1097" s="104"/>
    </row>
    <row r="1098" spans="1:5" x14ac:dyDescent="0.25">
      <c r="A1098" s="19"/>
      <c r="C1098" s="104"/>
      <c r="D1098" s="104"/>
      <c r="E1098" s="104"/>
    </row>
    <row r="1099" spans="1:5" x14ac:dyDescent="0.25">
      <c r="A1099" s="19"/>
      <c r="C1099" s="104"/>
      <c r="D1099" s="104"/>
      <c r="E1099" s="104"/>
    </row>
    <row r="1100" spans="1:5" x14ac:dyDescent="0.25">
      <c r="A1100" s="19"/>
      <c r="C1100" s="104"/>
      <c r="D1100" s="104"/>
      <c r="E1100" s="104"/>
    </row>
    <row r="1101" spans="1:5" x14ac:dyDescent="0.25">
      <c r="A1101" s="19"/>
      <c r="C1101" s="104"/>
      <c r="D1101" s="104"/>
      <c r="E1101" s="104"/>
    </row>
    <row r="1102" spans="1:5" x14ac:dyDescent="0.25">
      <c r="A1102" s="19"/>
      <c r="C1102" s="104"/>
      <c r="D1102" s="104"/>
      <c r="E1102" s="104"/>
    </row>
    <row r="1103" spans="1:5" x14ac:dyDescent="0.25">
      <c r="A1103" s="19"/>
      <c r="C1103" s="104"/>
      <c r="D1103" s="104"/>
      <c r="E1103" s="104"/>
    </row>
    <row r="1104" spans="1:5" x14ac:dyDescent="0.25">
      <c r="A1104" s="19"/>
      <c r="C1104" s="104"/>
      <c r="D1104" s="104"/>
      <c r="E1104" s="104"/>
    </row>
    <row r="1105" spans="1:5" x14ac:dyDescent="0.25">
      <c r="A1105" s="19"/>
      <c r="C1105" s="104"/>
      <c r="D1105" s="104"/>
      <c r="E1105" s="104"/>
    </row>
    <row r="1106" spans="1:5" x14ac:dyDescent="0.25">
      <c r="A1106" s="19"/>
      <c r="C1106" s="104"/>
      <c r="D1106" s="104"/>
      <c r="E1106" s="104"/>
    </row>
    <row r="1107" spans="1:5" x14ac:dyDescent="0.25">
      <c r="A1107" s="19"/>
      <c r="C1107" s="104"/>
      <c r="D1107" s="104"/>
      <c r="E1107" s="104"/>
    </row>
    <row r="1108" spans="1:5" x14ac:dyDescent="0.25">
      <c r="A1108" s="19"/>
      <c r="C1108" s="104"/>
      <c r="D1108" s="104"/>
      <c r="E1108" s="104"/>
    </row>
    <row r="1109" spans="1:5" x14ac:dyDescent="0.25">
      <c r="A1109" s="19"/>
      <c r="C1109" s="104"/>
      <c r="D1109" s="104"/>
      <c r="E1109" s="104"/>
    </row>
    <row r="1110" spans="1:5" x14ac:dyDescent="0.25">
      <c r="A1110" s="19"/>
      <c r="C1110" s="104"/>
      <c r="D1110" s="104"/>
      <c r="E1110" s="104"/>
    </row>
    <row r="1111" spans="1:5" x14ac:dyDescent="0.25">
      <c r="A1111" s="19"/>
      <c r="C1111" s="104"/>
      <c r="D1111" s="104"/>
      <c r="E1111" s="104"/>
    </row>
    <row r="1112" spans="1:5" x14ac:dyDescent="0.25">
      <c r="A1112" s="19"/>
      <c r="C1112" s="104"/>
      <c r="D1112" s="104"/>
      <c r="E1112" s="104"/>
    </row>
    <row r="1113" spans="1:5" x14ac:dyDescent="0.25">
      <c r="A1113" s="19"/>
      <c r="C1113" s="104"/>
      <c r="D1113" s="104"/>
      <c r="E1113" s="104"/>
    </row>
    <row r="1114" spans="1:5" x14ac:dyDescent="0.25">
      <c r="A1114" s="19"/>
      <c r="C1114" s="104"/>
      <c r="D1114" s="104"/>
      <c r="E1114" s="104"/>
    </row>
    <row r="1115" spans="1:5" x14ac:dyDescent="0.25">
      <c r="A1115" s="19"/>
      <c r="C1115" s="104"/>
      <c r="D1115" s="104"/>
      <c r="E1115" s="104"/>
    </row>
    <row r="1116" spans="1:5" x14ac:dyDescent="0.25">
      <c r="A1116" s="19"/>
      <c r="C1116" s="104"/>
      <c r="D1116" s="104"/>
      <c r="E1116" s="104"/>
    </row>
    <row r="1117" spans="1:5" x14ac:dyDescent="0.25">
      <c r="A1117" s="19"/>
      <c r="C1117" s="104"/>
      <c r="D1117" s="104"/>
      <c r="E1117" s="104"/>
    </row>
    <row r="1118" spans="1:5" x14ac:dyDescent="0.25">
      <c r="A1118" s="19"/>
      <c r="C1118" s="104"/>
      <c r="D1118" s="104"/>
      <c r="E1118" s="104"/>
    </row>
    <row r="1119" spans="1:5" x14ac:dyDescent="0.25">
      <c r="A1119" s="19"/>
      <c r="C1119" s="104"/>
      <c r="D1119" s="104"/>
      <c r="E1119" s="104"/>
    </row>
    <row r="1120" spans="1:5" x14ac:dyDescent="0.25">
      <c r="A1120" s="19"/>
      <c r="C1120" s="104"/>
      <c r="D1120" s="104"/>
      <c r="E1120" s="104"/>
    </row>
    <row r="1121" spans="1:5" x14ac:dyDescent="0.25">
      <c r="A1121" s="19"/>
      <c r="C1121" s="104"/>
      <c r="D1121" s="104"/>
      <c r="E1121" s="104"/>
    </row>
    <row r="1122" spans="1:5" x14ac:dyDescent="0.25">
      <c r="A1122" s="19"/>
      <c r="C1122" s="104"/>
      <c r="D1122" s="104"/>
      <c r="E1122" s="104"/>
    </row>
    <row r="1123" spans="1:5" x14ac:dyDescent="0.25">
      <c r="A1123" s="19"/>
      <c r="C1123" s="104"/>
      <c r="D1123" s="104"/>
      <c r="E1123" s="104"/>
    </row>
    <row r="1124" spans="1:5" x14ac:dyDescent="0.25">
      <c r="A1124" s="19"/>
      <c r="C1124" s="104"/>
      <c r="D1124" s="104"/>
      <c r="E1124" s="104"/>
    </row>
    <row r="1125" spans="1:5" x14ac:dyDescent="0.25">
      <c r="A1125" s="19"/>
      <c r="C1125" s="104"/>
      <c r="D1125" s="104"/>
      <c r="E1125" s="104"/>
    </row>
    <row r="1126" spans="1:5" x14ac:dyDescent="0.25">
      <c r="A1126" s="19"/>
      <c r="C1126" s="104"/>
      <c r="D1126" s="104"/>
      <c r="E1126" s="104"/>
    </row>
    <row r="1127" spans="1:5" x14ac:dyDescent="0.25">
      <c r="A1127" s="19"/>
      <c r="C1127" s="104"/>
      <c r="D1127" s="104"/>
      <c r="E1127" s="104"/>
    </row>
    <row r="1128" spans="1:5" x14ac:dyDescent="0.25">
      <c r="A1128" s="19"/>
      <c r="C1128" s="104"/>
      <c r="D1128" s="104"/>
      <c r="E1128" s="104"/>
    </row>
    <row r="1129" spans="1:5" x14ac:dyDescent="0.25">
      <c r="A1129" s="19"/>
      <c r="C1129" s="104"/>
      <c r="D1129" s="104"/>
      <c r="E1129" s="104"/>
    </row>
    <row r="1130" spans="1:5" x14ac:dyDescent="0.25">
      <c r="A1130" s="19"/>
      <c r="C1130" s="104"/>
      <c r="D1130" s="104"/>
      <c r="E1130" s="104"/>
    </row>
    <row r="1131" spans="1:5" x14ac:dyDescent="0.25">
      <c r="A1131" s="19"/>
      <c r="C1131" s="104"/>
      <c r="D1131" s="104"/>
      <c r="E1131" s="104"/>
    </row>
    <row r="1132" spans="1:5" x14ac:dyDescent="0.25">
      <c r="A1132" s="19"/>
      <c r="C1132" s="104"/>
      <c r="D1132" s="104"/>
      <c r="E1132" s="104"/>
    </row>
    <row r="1133" spans="1:5" x14ac:dyDescent="0.25">
      <c r="A1133" s="19"/>
      <c r="C1133" s="104"/>
      <c r="D1133" s="104"/>
      <c r="E1133" s="104"/>
    </row>
    <row r="1134" spans="1:5" x14ac:dyDescent="0.25">
      <c r="A1134" s="19"/>
      <c r="C1134" s="104"/>
      <c r="D1134" s="104"/>
      <c r="E1134" s="104"/>
    </row>
    <row r="1135" spans="1:5" x14ac:dyDescent="0.25">
      <c r="A1135" s="19"/>
      <c r="C1135" s="104"/>
      <c r="D1135" s="104"/>
      <c r="E1135" s="104"/>
    </row>
    <row r="1136" spans="1:5" x14ac:dyDescent="0.25">
      <c r="A1136" s="19"/>
      <c r="C1136" s="104"/>
      <c r="D1136" s="104"/>
      <c r="E1136" s="104"/>
    </row>
    <row r="1137" spans="1:5" x14ac:dyDescent="0.25">
      <c r="A1137" s="19"/>
      <c r="C1137" s="104"/>
      <c r="D1137" s="104"/>
      <c r="E1137" s="104"/>
    </row>
    <row r="1138" spans="1:5" x14ac:dyDescent="0.25">
      <c r="A1138" s="19"/>
      <c r="C1138" s="104"/>
      <c r="D1138" s="104"/>
      <c r="E1138" s="104"/>
    </row>
    <row r="1139" spans="1:5" x14ac:dyDescent="0.25">
      <c r="A1139" s="19"/>
      <c r="C1139" s="104"/>
      <c r="D1139" s="104"/>
      <c r="E1139" s="104"/>
    </row>
    <row r="1140" spans="1:5" x14ac:dyDescent="0.25">
      <c r="A1140" s="19"/>
      <c r="C1140" s="104"/>
      <c r="D1140" s="104"/>
      <c r="E1140" s="104"/>
    </row>
    <row r="1141" spans="1:5" x14ac:dyDescent="0.25">
      <c r="A1141" s="19"/>
      <c r="C1141" s="104"/>
      <c r="D1141" s="104"/>
      <c r="E1141" s="104"/>
    </row>
    <row r="1142" spans="1:5" x14ac:dyDescent="0.25">
      <c r="A1142" s="19"/>
      <c r="C1142" s="104"/>
      <c r="D1142" s="104"/>
      <c r="E1142" s="104"/>
    </row>
    <row r="1143" spans="1:5" x14ac:dyDescent="0.25">
      <c r="A1143" s="19"/>
      <c r="C1143" s="104"/>
      <c r="D1143" s="104"/>
      <c r="E1143" s="104"/>
    </row>
    <row r="1144" spans="1:5" x14ac:dyDescent="0.25">
      <c r="A1144" s="19"/>
      <c r="C1144" s="104"/>
      <c r="D1144" s="104"/>
      <c r="E1144" s="104"/>
    </row>
    <row r="1145" spans="1:5" x14ac:dyDescent="0.25">
      <c r="A1145" s="19"/>
      <c r="C1145" s="104"/>
      <c r="D1145" s="104"/>
      <c r="E1145" s="104"/>
    </row>
    <row r="1146" spans="1:5" x14ac:dyDescent="0.25">
      <c r="A1146" s="19"/>
      <c r="C1146" s="104"/>
      <c r="D1146" s="104"/>
      <c r="E1146" s="104"/>
    </row>
    <row r="1147" spans="1:5" x14ac:dyDescent="0.25">
      <c r="A1147" s="19"/>
      <c r="C1147" s="104"/>
      <c r="D1147" s="104"/>
      <c r="E1147" s="104"/>
    </row>
    <row r="1148" spans="1:5" x14ac:dyDescent="0.25">
      <c r="A1148" s="19"/>
      <c r="C1148" s="104"/>
      <c r="D1148" s="104"/>
      <c r="E1148" s="104"/>
    </row>
    <row r="1149" spans="1:5" x14ac:dyDescent="0.25">
      <c r="A1149" s="19"/>
      <c r="C1149" s="104"/>
      <c r="D1149" s="104"/>
      <c r="E1149" s="104"/>
    </row>
    <row r="1150" spans="1:5" x14ac:dyDescent="0.25">
      <c r="C1150" s="104"/>
      <c r="D1150" s="104"/>
      <c r="E1150" s="104"/>
    </row>
    <row r="1151" spans="1:5" x14ac:dyDescent="0.25">
      <c r="C1151" s="104"/>
      <c r="D1151" s="104"/>
      <c r="E1151" s="104"/>
    </row>
    <row r="1152" spans="1:5" x14ac:dyDescent="0.25">
      <c r="C1152" s="104"/>
      <c r="D1152" s="104"/>
      <c r="E1152" s="104"/>
    </row>
    <row r="1153" spans="3:5" x14ac:dyDescent="0.25">
      <c r="C1153" s="104"/>
      <c r="D1153" s="104"/>
      <c r="E1153" s="104"/>
    </row>
    <row r="1154" spans="3:5" x14ac:dyDescent="0.25">
      <c r="C1154" s="104"/>
      <c r="D1154" s="104"/>
      <c r="E1154" s="104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71"/>
      <c r="C1" s="58" t="s">
        <v>789</v>
      </c>
      <c r="D1" s="58"/>
      <c r="E1" s="59"/>
    </row>
    <row r="2" spans="1:7" s="2" customFormat="1" x14ac:dyDescent="0.25">
      <c r="A2" s="171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6" t="s">
        <v>785</v>
      </c>
      <c r="D3" s="47"/>
      <c r="E3" s="54"/>
    </row>
    <row r="4" spans="1:7" ht="27.75" customHeight="1" x14ac:dyDescent="0.25">
      <c r="A4" s="14"/>
      <c r="C4" s="66" t="s">
        <v>787</v>
      </c>
      <c r="D4" s="67" t="s">
        <v>788</v>
      </c>
      <c r="E4" s="68" t="s">
        <v>786</v>
      </c>
    </row>
    <row r="5" spans="1:7" x14ac:dyDescent="0.25">
      <c r="A5" s="15"/>
      <c r="C5" s="69">
        <v>11111</v>
      </c>
      <c r="D5" s="69">
        <v>99999</v>
      </c>
      <c r="E5" s="70" t="s">
        <v>790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POPrun</vt:lpstr>
      <vt:lpstr>POPsubset</vt:lpstr>
      <vt:lpstr>POPsubsetAlt</vt:lpstr>
      <vt:lpstr>POPref</vt:lpstr>
      <vt:lpstr>Home</vt:lpstr>
      <vt:lpstr>Allocation by SNUxIM</vt:lpstr>
      <vt:lpstr>GEND_GBV</vt:lpstr>
      <vt:lpstr>HTS_SELF</vt:lpstr>
      <vt:lpstr>KP_MAT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2018-03-08T14:35:24Z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