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5190"/>
  </bookViews>
  <sheets>
    <sheet name="a y b" sheetId="1" r:id="rId1"/>
    <sheet name="c - f" sheetId="2" r:id="rId2"/>
  </sheets>
  <calcPr calcId="145621"/>
</workbook>
</file>

<file path=xl/calcChain.xml><?xml version="1.0" encoding="utf-8"?>
<calcChain xmlns="http://schemas.openxmlformats.org/spreadsheetml/2006/main">
  <c r="N13" i="2" l="1"/>
  <c r="M20" i="2" l="1"/>
  <c r="M18" i="2"/>
  <c r="H21" i="2" a="1"/>
  <c r="H21" i="2" s="1"/>
  <c r="H20" i="2"/>
  <c r="N11" i="2"/>
  <c r="K14" i="2"/>
  <c r="K13" i="2"/>
  <c r="K12" i="2"/>
  <c r="H16" i="2"/>
  <c r="K11" i="2"/>
  <c r="H15" i="2"/>
  <c r="H14" i="2" a="1"/>
  <c r="H14" i="2" s="1"/>
  <c r="L8" i="2"/>
  <c r="M8" i="2"/>
  <c r="N8" i="2"/>
  <c r="L9" i="2"/>
  <c r="M9" i="2"/>
  <c r="N9" i="2"/>
  <c r="M7" i="2"/>
  <c r="N7" i="2"/>
  <c r="L7" i="2"/>
  <c r="H12" i="2"/>
  <c r="H11" i="2" a="1"/>
  <c r="H11" i="2" s="1"/>
  <c r="H7" i="2" a="1"/>
  <c r="H7" i="2" s="1"/>
  <c r="M3" i="2" a="1"/>
  <c r="M3" i="2" s="1"/>
  <c r="H3" i="2" a="1"/>
  <c r="H3" i="2" s="1"/>
  <c r="K22" i="1"/>
  <c r="L22" i="1"/>
  <c r="J22" i="1"/>
  <c r="H9" i="2" l="1"/>
  <c r="H8" i="2"/>
  <c r="M5" i="2"/>
  <c r="M4" i="2"/>
  <c r="H4" i="2"/>
  <c r="J4" i="2"/>
  <c r="I3" i="2"/>
  <c r="I5" i="2"/>
  <c r="H5" i="2"/>
  <c r="J3" i="2"/>
  <c r="J5" i="2"/>
  <c r="I4" i="2"/>
  <c r="C20" i="1"/>
  <c r="D20" i="1"/>
  <c r="C19" i="1"/>
  <c r="D19" i="1"/>
  <c r="B20" i="1"/>
  <c r="B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H2" i="1" l="1"/>
  <c r="H17" i="1"/>
  <c r="G16" i="1"/>
  <c r="H15" i="1"/>
  <c r="F19" i="1"/>
  <c r="F20" i="1"/>
  <c r="H10" i="1" s="1"/>
  <c r="G10" i="1"/>
  <c r="G6" i="1"/>
  <c r="E19" i="1"/>
  <c r="E20" i="1"/>
  <c r="G17" i="1"/>
  <c r="G13" i="1"/>
  <c r="G9" i="1"/>
  <c r="G5" i="1"/>
  <c r="J10" i="1" l="1"/>
  <c r="I10" i="1"/>
  <c r="I15" i="1"/>
  <c r="I2" i="1"/>
  <c r="G3" i="1"/>
  <c r="G15" i="1"/>
  <c r="J15" i="1" s="1"/>
  <c r="G11" i="1"/>
  <c r="G7" i="1"/>
  <c r="G14" i="1"/>
  <c r="H3" i="1"/>
  <c r="G4" i="1"/>
  <c r="H5" i="1"/>
  <c r="H6" i="1"/>
  <c r="J17" i="1"/>
  <c r="I17" i="1"/>
  <c r="G2" i="1"/>
  <c r="J2" i="1" s="1"/>
  <c r="H7" i="1"/>
  <c r="G8" i="1"/>
  <c r="H9" i="1"/>
  <c r="H12" i="1"/>
  <c r="H4" i="1"/>
  <c r="H8" i="1"/>
  <c r="H16" i="1"/>
  <c r="H11" i="1"/>
  <c r="G12" i="1"/>
  <c r="H13" i="1"/>
  <c r="H14" i="1"/>
  <c r="J11" i="1" l="1"/>
  <c r="I11" i="1"/>
  <c r="I12" i="1"/>
  <c r="J12" i="1"/>
  <c r="J5" i="1"/>
  <c r="I5" i="1"/>
  <c r="J14" i="1"/>
  <c r="I14" i="1"/>
  <c r="I16" i="1"/>
  <c r="J16" i="1"/>
  <c r="J9" i="1"/>
  <c r="I9" i="1"/>
  <c r="J13" i="1"/>
  <c r="I13" i="1"/>
  <c r="I8" i="1"/>
  <c r="J8" i="1"/>
  <c r="J3" i="1"/>
  <c r="I3" i="1"/>
  <c r="H19" i="1"/>
  <c r="I4" i="1"/>
  <c r="I19" i="1" s="1"/>
  <c r="J4" i="1"/>
  <c r="I7" i="1"/>
  <c r="J7" i="1"/>
  <c r="J19" i="1" s="1"/>
  <c r="J6" i="1"/>
  <c r="I6" i="1"/>
  <c r="G20" i="1"/>
  <c r="G19" i="1"/>
  <c r="H20" i="1"/>
  <c r="B23" i="1" l="1"/>
  <c r="B24" i="1" l="1"/>
  <c r="K4" i="1" l="1"/>
  <c r="L4" i="1" s="1"/>
  <c r="M4" i="1" s="1"/>
  <c r="K8" i="1"/>
  <c r="L8" i="1" s="1"/>
  <c r="M8" i="1" s="1"/>
  <c r="K12" i="1"/>
  <c r="L12" i="1" s="1"/>
  <c r="M12" i="1" s="1"/>
  <c r="K16" i="1"/>
  <c r="L16" i="1" s="1"/>
  <c r="M16" i="1" s="1"/>
  <c r="K5" i="1"/>
  <c r="L5" i="1" s="1"/>
  <c r="M5" i="1" s="1"/>
  <c r="K9" i="1"/>
  <c r="L9" i="1" s="1"/>
  <c r="M9" i="1" s="1"/>
  <c r="K13" i="1"/>
  <c r="L13" i="1" s="1"/>
  <c r="M13" i="1" s="1"/>
  <c r="K17" i="1"/>
  <c r="L17" i="1" s="1"/>
  <c r="M17" i="1" s="1"/>
  <c r="K6" i="1"/>
  <c r="L6" i="1" s="1"/>
  <c r="M6" i="1" s="1"/>
  <c r="K10" i="1"/>
  <c r="L10" i="1" s="1"/>
  <c r="M10" i="1" s="1"/>
  <c r="K14" i="1"/>
  <c r="L14" i="1" s="1"/>
  <c r="M14" i="1" s="1"/>
  <c r="K2" i="1"/>
  <c r="K3" i="1"/>
  <c r="L3" i="1" s="1"/>
  <c r="M3" i="1" s="1"/>
  <c r="K7" i="1"/>
  <c r="L7" i="1" s="1"/>
  <c r="M7" i="1" s="1"/>
  <c r="K11" i="1"/>
  <c r="L11" i="1" s="1"/>
  <c r="M11" i="1" s="1"/>
  <c r="K15" i="1"/>
  <c r="L15" i="1" s="1"/>
  <c r="M15" i="1" s="1"/>
  <c r="K19" i="1" l="1"/>
  <c r="L2" i="1"/>
  <c r="M2" i="1" l="1"/>
  <c r="M19" i="1" s="1"/>
  <c r="B26" i="1" s="1"/>
  <c r="L19" i="1"/>
  <c r="C24" i="1" l="1"/>
  <c r="D24" i="1" s="1"/>
  <c r="C23" i="1"/>
  <c r="D23" i="1" s="1"/>
  <c r="E23" i="1" l="1"/>
  <c r="G23" i="1"/>
  <c r="F23" i="1"/>
  <c r="E24" i="1"/>
  <c r="F24" i="1"/>
  <c r="G24" i="1"/>
</calcChain>
</file>

<file path=xl/sharedStrings.xml><?xml version="1.0" encoding="utf-8"?>
<sst xmlns="http://schemas.openxmlformats.org/spreadsheetml/2006/main" count="60" uniqueCount="55">
  <si>
    <t>Obs</t>
  </si>
  <si>
    <t>lnemp</t>
  </si>
  <si>
    <t>lngsp</t>
  </si>
  <si>
    <t>lcapital</t>
  </si>
  <si>
    <t>suma</t>
  </si>
  <si>
    <t>lngsp_lnemp</t>
  </si>
  <si>
    <t>lcap_lnemp</t>
  </si>
  <si>
    <t>x</t>
  </si>
  <si>
    <t>promedio</t>
  </si>
  <si>
    <t>y</t>
  </si>
  <si>
    <t>x2</t>
  </si>
  <si>
    <t>xy</t>
  </si>
  <si>
    <t>beta 2</t>
  </si>
  <si>
    <t>coef</t>
  </si>
  <si>
    <t>var</t>
  </si>
  <si>
    <t>beta 1</t>
  </si>
  <si>
    <t>Y^</t>
  </si>
  <si>
    <t>e</t>
  </si>
  <si>
    <t>e^2</t>
  </si>
  <si>
    <t>s^2 =</t>
  </si>
  <si>
    <t>Desv.std</t>
  </si>
  <si>
    <t>t</t>
  </si>
  <si>
    <t>t-tabla</t>
  </si>
  <si>
    <t>alfa=0.1</t>
  </si>
  <si>
    <t>alfa=0.05</t>
  </si>
  <si>
    <t>alfa=0.01</t>
  </si>
  <si>
    <t>Rechazo al 1%</t>
  </si>
  <si>
    <t>Linf</t>
  </si>
  <si>
    <t>Lsup</t>
  </si>
  <si>
    <t>constante</t>
  </si>
  <si>
    <t>(X'X)^(-1)=</t>
  </si>
  <si>
    <t>X'y =</t>
  </si>
  <si>
    <t>beta=</t>
  </si>
  <si>
    <t>e'e=y'y-b'X'y=</t>
  </si>
  <si>
    <t>var-cov(beta)=</t>
  </si>
  <si>
    <t>SCT =y'y-nYbar^2</t>
  </si>
  <si>
    <t>SCE=</t>
  </si>
  <si>
    <t>R2=</t>
  </si>
  <si>
    <t>R2ajut=</t>
  </si>
  <si>
    <t>Sy^2=</t>
  </si>
  <si>
    <t>Akaike =</t>
  </si>
  <si>
    <t>Schwarz=</t>
  </si>
  <si>
    <t>F=</t>
  </si>
  <si>
    <t>R=</t>
  </si>
  <si>
    <t>r =</t>
  </si>
  <si>
    <t>Rb-r =</t>
  </si>
  <si>
    <t>R(X'X)^(-1)R' =</t>
  </si>
  <si>
    <t>Numerador F</t>
  </si>
  <si>
    <t>(c)    2pt</t>
  </si>
  <si>
    <t>(d)     1 pto</t>
  </si>
  <si>
    <t>(e)     1.5 pts</t>
  </si>
  <si>
    <t>(f)     1.5 pts</t>
  </si>
  <si>
    <t>(a)   3 pts</t>
  </si>
  <si>
    <t>(b)     1 pto</t>
  </si>
  <si>
    <t>No rechazo a ningún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</si>
</sst>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1D1B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topLeftCell="A13" workbookViewId="0">
      <selection activeCell="H29" sqref="H29"/>
    </sheetView>
  </sheetViews>
  <sheetFormatPr baseColWidth="10" defaultRowHeight="15" x14ac:dyDescent="0.25"/>
  <sheetData>
    <row r="1" spans="1:13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5</v>
      </c>
      <c r="F1" s="1" t="s">
        <v>6</v>
      </c>
      <c r="G1" s="4" t="s">
        <v>9</v>
      </c>
      <c r="H1" s="4" t="s">
        <v>7</v>
      </c>
      <c r="I1" s="5" t="s">
        <v>10</v>
      </c>
      <c r="J1" s="5" t="s">
        <v>11</v>
      </c>
      <c r="K1" t="s">
        <v>16</v>
      </c>
      <c r="L1" t="s">
        <v>17</v>
      </c>
      <c r="M1" t="s">
        <v>18</v>
      </c>
    </row>
    <row r="2" spans="1:13" x14ac:dyDescent="0.25">
      <c r="A2" s="14">
        <v>1</v>
      </c>
      <c r="B2" s="14">
        <v>7.14</v>
      </c>
      <c r="C2" s="14">
        <v>10.64</v>
      </c>
      <c r="D2" s="14">
        <v>10.76</v>
      </c>
      <c r="E2">
        <f>+C2-B2</f>
        <v>3.5000000000000009</v>
      </c>
      <c r="F2">
        <f>+D2-B2</f>
        <v>3.62</v>
      </c>
      <c r="G2">
        <f>+E2-$E$20</f>
        <v>9.3750000000000444E-2</v>
      </c>
      <c r="H2">
        <f>+F2-$F$20</f>
        <v>-3.062499999999968E-2</v>
      </c>
      <c r="I2">
        <f>+H2*H2</f>
        <v>9.3789062499998041E-4</v>
      </c>
      <c r="J2">
        <f>+H2*G2</f>
        <v>-2.8710937499999835E-3</v>
      </c>
      <c r="K2">
        <f>+$B$24+$B$23*F2</f>
        <v>3.4009418120144899</v>
      </c>
      <c r="L2">
        <f>+E2-K2</f>
        <v>9.9058187985511026E-2</v>
      </c>
      <c r="M2">
        <f>+L2*L2</f>
        <v>9.8125246069728413E-3</v>
      </c>
    </row>
    <row r="3" spans="1:13" x14ac:dyDescent="0.25">
      <c r="A3" s="14">
        <v>2</v>
      </c>
      <c r="B3" s="14">
        <v>5.45</v>
      </c>
      <c r="C3" s="14">
        <v>8.9600000000000009</v>
      </c>
      <c r="D3" s="14">
        <v>9.41</v>
      </c>
      <c r="E3">
        <f t="shared" ref="E3:E17" si="0">+C3-B3</f>
        <v>3.5100000000000007</v>
      </c>
      <c r="F3">
        <f t="shared" ref="F3:F17" si="1">+D3-B3</f>
        <v>3.96</v>
      </c>
      <c r="G3">
        <f t="shared" ref="G3:G17" si="2">+E3-$E$20</f>
        <v>0.10375000000000023</v>
      </c>
      <c r="H3">
        <f t="shared" ref="H3:H17" si="3">+F3-$F$20</f>
        <v>0.30937500000000018</v>
      </c>
      <c r="I3">
        <f t="shared" ref="I3:I17" si="4">+H3*H3</f>
        <v>9.5712890625000116E-2</v>
      </c>
      <c r="J3">
        <f t="shared" ref="J3:J17" si="5">+H3*G3</f>
        <v>3.2097656250000092E-2</v>
      </c>
      <c r="K3">
        <f t="shared" ref="K3:K17" si="6">+$B$24+$B$23*F3</f>
        <v>3.4598735316903624</v>
      </c>
      <c r="L3">
        <f t="shared" ref="L3:L17" si="7">+E3-K3</f>
        <v>5.0126468309638295E-2</v>
      </c>
      <c r="M3">
        <f t="shared" ref="M3:M17" si="8">+L3*L3</f>
        <v>2.512662825197172E-3</v>
      </c>
    </row>
    <row r="4" spans="1:13" x14ac:dyDescent="0.25">
      <c r="A4" s="14">
        <v>3</v>
      </c>
      <c r="B4" s="14">
        <v>7.96</v>
      </c>
      <c r="C4" s="14">
        <v>11.43</v>
      </c>
      <c r="D4" s="14">
        <v>11.56</v>
      </c>
      <c r="E4">
        <f t="shared" si="0"/>
        <v>3.4699999999999998</v>
      </c>
      <c r="F4">
        <f t="shared" si="1"/>
        <v>3.6000000000000005</v>
      </c>
      <c r="G4">
        <f t="shared" si="2"/>
        <v>6.3749999999999307E-2</v>
      </c>
      <c r="H4">
        <f t="shared" si="3"/>
        <v>-5.0624999999999254E-2</v>
      </c>
      <c r="I4">
        <f t="shared" si="4"/>
        <v>2.5628906249999246E-3</v>
      </c>
      <c r="J4">
        <f t="shared" si="5"/>
        <v>-3.2273437499999173E-3</v>
      </c>
      <c r="K4">
        <f t="shared" si="6"/>
        <v>3.3974752402688506</v>
      </c>
      <c r="L4">
        <f t="shared" si="7"/>
        <v>7.2524759731149135E-2</v>
      </c>
      <c r="M4">
        <f t="shared" si="8"/>
        <v>5.2598407740609109E-3</v>
      </c>
    </row>
    <row r="5" spans="1:13" x14ac:dyDescent="0.25">
      <c r="A5" s="14">
        <v>4</v>
      </c>
      <c r="B5" s="14">
        <v>7.51</v>
      </c>
      <c r="C5" s="14">
        <v>10.87</v>
      </c>
      <c r="D5" s="14">
        <v>11.18</v>
      </c>
      <c r="E5">
        <f t="shared" si="0"/>
        <v>3.3599999999999994</v>
      </c>
      <c r="F5">
        <f t="shared" si="1"/>
        <v>3.67</v>
      </c>
      <c r="G5">
        <f t="shared" si="2"/>
        <v>-4.6250000000001013E-2</v>
      </c>
      <c r="H5">
        <f t="shared" si="3"/>
        <v>1.9375000000000142E-2</v>
      </c>
      <c r="I5">
        <f t="shared" si="4"/>
        <v>3.7539062500000549E-4</v>
      </c>
      <c r="J5">
        <f t="shared" si="5"/>
        <v>-8.9609375000002621E-4</v>
      </c>
      <c r="K5">
        <f t="shared" si="6"/>
        <v>3.4096082413785886</v>
      </c>
      <c r="L5">
        <f t="shared" si="7"/>
        <v>-4.9608241378589213E-2</v>
      </c>
      <c r="M5">
        <f t="shared" si="8"/>
        <v>2.4609776126763711E-3</v>
      </c>
    </row>
    <row r="6" spans="1:13" x14ac:dyDescent="0.25">
      <c r="A6" s="14">
        <v>5</v>
      </c>
      <c r="B6" s="14">
        <v>5.89</v>
      </c>
      <c r="C6" s="14">
        <v>9.2100000000000009</v>
      </c>
      <c r="D6" s="14">
        <v>9.6300000000000008</v>
      </c>
      <c r="E6">
        <f t="shared" si="0"/>
        <v>3.3200000000000012</v>
      </c>
      <c r="F6">
        <f t="shared" si="1"/>
        <v>3.7400000000000011</v>
      </c>
      <c r="G6">
        <f t="shared" si="2"/>
        <v>-8.6249999999999272E-2</v>
      </c>
      <c r="H6">
        <f t="shared" si="3"/>
        <v>8.9375000000001315E-2</v>
      </c>
      <c r="I6">
        <f t="shared" si="4"/>
        <v>7.9878906250002348E-3</v>
      </c>
      <c r="J6">
        <f t="shared" si="5"/>
        <v>-7.7085937500000479E-3</v>
      </c>
      <c r="K6">
        <f t="shared" si="6"/>
        <v>3.4217412424883276</v>
      </c>
      <c r="L6">
        <f t="shared" si="7"/>
        <v>-0.10174124248832639</v>
      </c>
      <c r="M6">
        <f t="shared" si="8"/>
        <v>1.035128042306843E-2</v>
      </c>
    </row>
    <row r="7" spans="1:13" x14ac:dyDescent="0.25">
      <c r="A7" s="14">
        <v>6</v>
      </c>
      <c r="B7" s="14">
        <v>7.31</v>
      </c>
      <c r="C7" s="14">
        <v>10.79</v>
      </c>
      <c r="D7" s="14">
        <v>10.97</v>
      </c>
      <c r="E7">
        <f t="shared" si="0"/>
        <v>3.4799999999999995</v>
      </c>
      <c r="F7">
        <f t="shared" si="1"/>
        <v>3.660000000000001</v>
      </c>
      <c r="G7">
        <f t="shared" si="2"/>
        <v>7.3749999999999094E-2</v>
      </c>
      <c r="H7">
        <f t="shared" si="3"/>
        <v>9.3750000000012434E-3</v>
      </c>
      <c r="I7">
        <f t="shared" si="4"/>
        <v>8.7890625000023321E-5</v>
      </c>
      <c r="J7">
        <f t="shared" si="5"/>
        <v>6.9140625000008323E-4</v>
      </c>
      <c r="K7">
        <f t="shared" si="6"/>
        <v>3.4078749555057692</v>
      </c>
      <c r="L7">
        <f t="shared" si="7"/>
        <v>7.2125044494230295E-2</v>
      </c>
      <c r="M7">
        <f t="shared" si="8"/>
        <v>5.2020220432947E-3</v>
      </c>
    </row>
    <row r="8" spans="1:13" x14ac:dyDescent="0.25">
      <c r="A8" s="14">
        <v>7</v>
      </c>
      <c r="B8" s="14">
        <v>7.76</v>
      </c>
      <c r="C8" s="14">
        <v>11.14</v>
      </c>
      <c r="D8" s="14">
        <v>11.2</v>
      </c>
      <c r="E8">
        <f t="shared" si="0"/>
        <v>3.3800000000000008</v>
      </c>
      <c r="F8">
        <f t="shared" si="1"/>
        <v>3.4399999999999995</v>
      </c>
      <c r="G8">
        <f t="shared" si="2"/>
        <v>-2.6249999999999662E-2</v>
      </c>
      <c r="H8">
        <f t="shared" si="3"/>
        <v>-0.21062500000000028</v>
      </c>
      <c r="I8">
        <f t="shared" si="4"/>
        <v>4.4362890625000123E-2</v>
      </c>
      <c r="J8">
        <f t="shared" si="5"/>
        <v>5.5289062499999366E-3</v>
      </c>
      <c r="K8">
        <f t="shared" si="6"/>
        <v>3.3697426663037335</v>
      </c>
      <c r="L8">
        <f t="shared" si="7"/>
        <v>1.0257333696267246E-2</v>
      </c>
      <c r="M8">
        <f t="shared" si="8"/>
        <v>1.0521289455657948E-4</v>
      </c>
    </row>
    <row r="9" spans="1:13" x14ac:dyDescent="0.25">
      <c r="A9" s="14">
        <v>8</v>
      </c>
      <c r="B9" s="14">
        <v>5.7</v>
      </c>
      <c r="C9" s="14">
        <v>8.99</v>
      </c>
      <c r="D9" s="14">
        <v>9.31</v>
      </c>
      <c r="E9">
        <f t="shared" si="0"/>
        <v>3.29</v>
      </c>
      <c r="F9">
        <f t="shared" si="1"/>
        <v>3.6100000000000003</v>
      </c>
      <c r="G9">
        <f t="shared" si="2"/>
        <v>-0.11625000000000041</v>
      </c>
      <c r="H9">
        <f t="shared" si="3"/>
        <v>-4.0624999999999467E-2</v>
      </c>
      <c r="I9">
        <f t="shared" si="4"/>
        <v>1.6503906249999568E-3</v>
      </c>
      <c r="J9">
        <f t="shared" si="5"/>
        <v>4.7226562499999543E-3</v>
      </c>
      <c r="K9">
        <f t="shared" si="6"/>
        <v>3.3992085261416705</v>
      </c>
      <c r="L9">
        <f t="shared" si="7"/>
        <v>-0.10920852614167043</v>
      </c>
      <c r="M9">
        <f t="shared" si="8"/>
        <v>1.1926502182035913E-2</v>
      </c>
    </row>
    <row r="10" spans="1:13" x14ac:dyDescent="0.25">
      <c r="A10" s="14">
        <v>9</v>
      </c>
      <c r="B10" s="14">
        <v>7.93</v>
      </c>
      <c r="C10" s="14">
        <v>11.46</v>
      </c>
      <c r="D10" s="14">
        <v>11.51</v>
      </c>
      <c r="E10">
        <f t="shared" si="0"/>
        <v>3.5300000000000011</v>
      </c>
      <c r="F10">
        <f t="shared" si="1"/>
        <v>3.58</v>
      </c>
      <c r="G10">
        <f t="shared" si="2"/>
        <v>0.12375000000000069</v>
      </c>
      <c r="H10">
        <f t="shared" si="3"/>
        <v>-7.0624999999999716E-2</v>
      </c>
      <c r="I10">
        <f t="shared" si="4"/>
        <v>4.9878906249999598E-3</v>
      </c>
      <c r="J10">
        <f t="shared" si="5"/>
        <v>-8.7398437500000141E-3</v>
      </c>
      <c r="K10">
        <f t="shared" si="6"/>
        <v>3.3940086685232109</v>
      </c>
      <c r="L10">
        <f t="shared" si="7"/>
        <v>0.13599133147679021</v>
      </c>
      <c r="M10">
        <f t="shared" si="8"/>
        <v>1.8493642236830234E-2</v>
      </c>
    </row>
    <row r="11" spans="1:13" x14ac:dyDescent="0.25">
      <c r="A11" s="14">
        <v>10</v>
      </c>
      <c r="B11" s="14">
        <v>8.86</v>
      </c>
      <c r="C11" s="14">
        <v>12.43</v>
      </c>
      <c r="D11" s="14">
        <v>12.59</v>
      </c>
      <c r="E11">
        <f t="shared" si="0"/>
        <v>3.5700000000000003</v>
      </c>
      <c r="F11">
        <f t="shared" si="1"/>
        <v>3.7300000000000004</v>
      </c>
      <c r="G11">
        <f t="shared" si="2"/>
        <v>0.16374999999999984</v>
      </c>
      <c r="H11">
        <f t="shared" si="3"/>
        <v>7.9375000000000639E-2</v>
      </c>
      <c r="I11">
        <f t="shared" si="4"/>
        <v>6.3003906250001015E-3</v>
      </c>
      <c r="J11">
        <f t="shared" si="5"/>
        <v>1.2997656250000092E-2</v>
      </c>
      <c r="K11">
        <f t="shared" si="6"/>
        <v>3.4200079566155077</v>
      </c>
      <c r="L11">
        <f t="shared" si="7"/>
        <v>0.14999204338449257</v>
      </c>
      <c r="M11">
        <f t="shared" si="8"/>
        <v>2.2497613078655502E-2</v>
      </c>
    </row>
    <row r="12" spans="1:13" x14ac:dyDescent="0.25">
      <c r="A12" s="14">
        <v>11</v>
      </c>
      <c r="B12" s="14">
        <v>7.62</v>
      </c>
      <c r="C12" s="14">
        <v>10.96</v>
      </c>
      <c r="D12" s="14">
        <v>11.19</v>
      </c>
      <c r="E12">
        <f t="shared" si="0"/>
        <v>3.3400000000000007</v>
      </c>
      <c r="F12">
        <f t="shared" si="1"/>
        <v>3.5699999999999994</v>
      </c>
      <c r="G12">
        <f t="shared" si="2"/>
        <v>-6.6249999999999698E-2</v>
      </c>
      <c r="H12">
        <f t="shared" si="3"/>
        <v>-8.0625000000000391E-2</v>
      </c>
      <c r="I12">
        <f t="shared" si="4"/>
        <v>6.500390625000063E-3</v>
      </c>
      <c r="J12">
        <f t="shared" si="5"/>
        <v>5.3414062500000015E-3</v>
      </c>
      <c r="K12">
        <f t="shared" si="6"/>
        <v>3.3922753826503911</v>
      </c>
      <c r="L12">
        <f t="shared" si="7"/>
        <v>-5.2275382650390334E-2</v>
      </c>
      <c r="M12">
        <f t="shared" si="8"/>
        <v>2.7327156312447307E-3</v>
      </c>
    </row>
    <row r="13" spans="1:13" x14ac:dyDescent="0.25">
      <c r="A13" s="14">
        <v>12</v>
      </c>
      <c r="B13" s="14">
        <v>8.42</v>
      </c>
      <c r="C13" s="14">
        <v>11.85</v>
      </c>
      <c r="D13" s="14">
        <v>12.12</v>
      </c>
      <c r="E13">
        <f t="shared" si="0"/>
        <v>3.4299999999999997</v>
      </c>
      <c r="F13">
        <f t="shared" si="1"/>
        <v>3.6999999999999993</v>
      </c>
      <c r="G13">
        <f t="shared" si="2"/>
        <v>2.3749999999999272E-2</v>
      </c>
      <c r="H13">
        <f t="shared" si="3"/>
        <v>4.9374999999999503E-2</v>
      </c>
      <c r="I13">
        <f t="shared" si="4"/>
        <v>2.4378906249999509E-3</v>
      </c>
      <c r="J13">
        <f t="shared" si="5"/>
        <v>1.1726562499999522E-3</v>
      </c>
      <c r="K13">
        <f t="shared" si="6"/>
        <v>3.4148080989970482</v>
      </c>
      <c r="L13">
        <f t="shared" si="7"/>
        <v>1.5191901002951536E-2</v>
      </c>
      <c r="M13">
        <f t="shared" si="8"/>
        <v>2.3079385608347987E-4</v>
      </c>
    </row>
    <row r="14" spans="1:13" x14ac:dyDescent="0.25">
      <c r="A14" s="14">
        <v>13</v>
      </c>
      <c r="B14" s="14">
        <v>5.91</v>
      </c>
      <c r="C14" s="14">
        <v>9.1999999999999993</v>
      </c>
      <c r="D14" s="14">
        <v>9.3000000000000007</v>
      </c>
      <c r="E14">
        <f t="shared" si="0"/>
        <v>3.2899999999999991</v>
      </c>
      <c r="F14">
        <f t="shared" si="1"/>
        <v>3.3900000000000006</v>
      </c>
      <c r="G14">
        <f t="shared" si="2"/>
        <v>-0.1162500000000013</v>
      </c>
      <c r="H14">
        <f t="shared" si="3"/>
        <v>-0.26062499999999922</v>
      </c>
      <c r="I14">
        <f t="shared" si="4"/>
        <v>6.7925390624999596E-2</v>
      </c>
      <c r="J14">
        <f t="shared" si="5"/>
        <v>3.0297656250000245E-2</v>
      </c>
      <c r="K14">
        <f t="shared" si="6"/>
        <v>3.3610762369396352</v>
      </c>
      <c r="L14">
        <f t="shared" si="7"/>
        <v>-7.107623693963605E-2</v>
      </c>
      <c r="M14">
        <f t="shared" si="8"/>
        <v>5.0518314574992847E-3</v>
      </c>
    </row>
    <row r="15" spans="1:13" x14ac:dyDescent="0.25">
      <c r="A15" s="14">
        <v>14</v>
      </c>
      <c r="B15" s="14">
        <v>6.92</v>
      </c>
      <c r="C15" s="14">
        <v>10.130000000000001</v>
      </c>
      <c r="D15" s="14">
        <v>10.59</v>
      </c>
      <c r="E15">
        <f t="shared" si="0"/>
        <v>3.2100000000000009</v>
      </c>
      <c r="F15">
        <f t="shared" si="1"/>
        <v>3.67</v>
      </c>
      <c r="G15">
        <f t="shared" si="2"/>
        <v>-0.19624999999999959</v>
      </c>
      <c r="H15">
        <f t="shared" si="3"/>
        <v>1.9375000000000142E-2</v>
      </c>
      <c r="I15">
        <f t="shared" si="4"/>
        <v>3.7539062500000549E-4</v>
      </c>
      <c r="J15">
        <f t="shared" si="5"/>
        <v>-3.8023437500000201E-3</v>
      </c>
      <c r="K15">
        <f t="shared" si="6"/>
        <v>3.4096082413785886</v>
      </c>
      <c r="L15">
        <f t="shared" si="7"/>
        <v>-0.19960824137858779</v>
      </c>
      <c r="M15">
        <f t="shared" si="8"/>
        <v>3.9843450026252565E-2</v>
      </c>
    </row>
    <row r="16" spans="1:13" x14ac:dyDescent="0.25">
      <c r="A16" s="14">
        <v>15</v>
      </c>
      <c r="B16" s="14">
        <v>5.09</v>
      </c>
      <c r="C16" s="14">
        <v>8.4499999999999993</v>
      </c>
      <c r="D16" s="14">
        <v>8.9700000000000006</v>
      </c>
      <c r="E16">
        <f t="shared" si="0"/>
        <v>3.3599999999999994</v>
      </c>
      <c r="F16">
        <f t="shared" si="1"/>
        <v>3.8800000000000008</v>
      </c>
      <c r="G16">
        <f t="shared" si="2"/>
        <v>-4.6250000000001013E-2</v>
      </c>
      <c r="H16">
        <f t="shared" si="3"/>
        <v>0.22937500000000099</v>
      </c>
      <c r="I16">
        <f t="shared" si="4"/>
        <v>5.2612890625000457E-2</v>
      </c>
      <c r="J16">
        <f t="shared" si="5"/>
        <v>-1.0608593750000278E-2</v>
      </c>
      <c r="K16">
        <f t="shared" si="6"/>
        <v>3.4460072447078045</v>
      </c>
      <c r="L16">
        <f t="shared" si="7"/>
        <v>-8.6007244707805075E-2</v>
      </c>
      <c r="M16">
        <f t="shared" si="8"/>
        <v>7.3972461422282644E-3</v>
      </c>
    </row>
    <row r="17" spans="1:13" x14ac:dyDescent="0.25">
      <c r="A17" s="14">
        <v>16</v>
      </c>
      <c r="B17" s="14">
        <v>7.5</v>
      </c>
      <c r="C17" s="14">
        <v>10.96</v>
      </c>
      <c r="D17" s="14">
        <v>11.09</v>
      </c>
      <c r="E17">
        <f t="shared" si="0"/>
        <v>3.4600000000000009</v>
      </c>
      <c r="F17">
        <f t="shared" si="1"/>
        <v>3.59</v>
      </c>
      <c r="G17">
        <f t="shared" si="2"/>
        <v>5.3750000000000409E-2</v>
      </c>
      <c r="H17">
        <f t="shared" si="3"/>
        <v>-6.0624999999999929E-2</v>
      </c>
      <c r="I17">
        <f t="shared" si="4"/>
        <v>3.6753906249999916E-3</v>
      </c>
      <c r="J17">
        <f t="shared" si="5"/>
        <v>-3.258593750000021E-3</v>
      </c>
      <c r="K17">
        <f t="shared" si="6"/>
        <v>3.3957419543960308</v>
      </c>
      <c r="L17">
        <f t="shared" si="7"/>
        <v>6.4258045603970082E-2</v>
      </c>
      <c r="M17">
        <f t="shared" si="8"/>
        <v>4.1290964248418991E-3</v>
      </c>
    </row>
    <row r="18" spans="1:13" ht="15.75" x14ac:dyDescent="0.25">
      <c r="A18" s="3"/>
      <c r="B18" s="3"/>
      <c r="C18" s="3"/>
      <c r="D18" s="3"/>
    </row>
    <row r="19" spans="1:13" x14ac:dyDescent="0.25">
      <c r="A19" s="1" t="s">
        <v>4</v>
      </c>
      <c r="B19" s="2">
        <f>SUM(B2:B17)</f>
        <v>112.97000000000001</v>
      </c>
      <c r="C19" s="2">
        <f t="shared" ref="C19:M19" si="9">SUM(C2:C17)</f>
        <v>167.46999999999997</v>
      </c>
      <c r="D19" s="2">
        <f t="shared" si="9"/>
        <v>171.38000000000002</v>
      </c>
      <c r="E19" s="2">
        <f t="shared" si="9"/>
        <v>54.500000000000007</v>
      </c>
      <c r="F19" s="2">
        <f t="shared" si="9"/>
        <v>58.41</v>
      </c>
      <c r="G19" s="2">
        <f t="shared" si="9"/>
        <v>-2.6645352591003757E-15</v>
      </c>
      <c r="H19" s="2">
        <f t="shared" si="9"/>
        <v>6.2172489379008766E-15</v>
      </c>
      <c r="I19" s="2">
        <f t="shared" si="9"/>
        <v>0.29849375000000045</v>
      </c>
      <c r="J19" s="2">
        <f t="shared" si="9"/>
        <v>5.1737500000000047E-2</v>
      </c>
      <c r="K19" s="2">
        <f t="shared" si="9"/>
        <v>54.500000000000007</v>
      </c>
      <c r="L19" s="2">
        <f t="shared" si="9"/>
        <v>-4.8849813083506888E-15</v>
      </c>
      <c r="M19" s="2">
        <f t="shared" si="9"/>
        <v>0.14800741221549887</v>
      </c>
    </row>
    <row r="20" spans="1:13" x14ac:dyDescent="0.25">
      <c r="A20" t="s">
        <v>8</v>
      </c>
      <c r="B20">
        <f>AVERAGE(B2:B17)</f>
        <v>7.0606250000000008</v>
      </c>
      <c r="C20">
        <f t="shared" ref="C20:H20" si="10">AVERAGE(C2:C17)</f>
        <v>10.466874999999998</v>
      </c>
      <c r="D20">
        <f t="shared" si="10"/>
        <v>10.711250000000001</v>
      </c>
      <c r="E20">
        <f t="shared" si="10"/>
        <v>3.4062500000000004</v>
      </c>
      <c r="F20">
        <f t="shared" si="10"/>
        <v>3.6506249999999998</v>
      </c>
      <c r="G20">
        <f t="shared" si="10"/>
        <v>-1.6653345369377348E-16</v>
      </c>
      <c r="H20">
        <f t="shared" si="10"/>
        <v>3.8857805861880479E-16</v>
      </c>
    </row>
    <row r="21" spans="1:13" x14ac:dyDescent="0.25">
      <c r="A21" s="6" t="s">
        <v>52</v>
      </c>
      <c r="B21" s="7" t="s">
        <v>53</v>
      </c>
      <c r="J21" t="s">
        <v>23</v>
      </c>
      <c r="K21" t="s">
        <v>24</v>
      </c>
      <c r="L21" t="s">
        <v>25</v>
      </c>
    </row>
    <row r="22" spans="1:13" x14ac:dyDescent="0.25">
      <c r="B22" s="8" t="s">
        <v>13</v>
      </c>
      <c r="C22" s="8" t="s">
        <v>14</v>
      </c>
      <c r="D22" s="8" t="s">
        <v>20</v>
      </c>
      <c r="E22" s="8" t="s">
        <v>21</v>
      </c>
      <c r="F22" s="8" t="s">
        <v>27</v>
      </c>
      <c r="G22" s="8" t="s">
        <v>28</v>
      </c>
      <c r="I22" t="s">
        <v>22</v>
      </c>
      <c r="J22">
        <f>TINV(0.1,14)</f>
        <v>1.7613101357748921</v>
      </c>
      <c r="K22">
        <f>TINV(0.05,14)</f>
        <v>2.1447866879178044</v>
      </c>
      <c r="L22">
        <f>TINV(0.01,14)</f>
        <v>2.9768427343708348</v>
      </c>
    </row>
    <row r="23" spans="1:13" x14ac:dyDescent="0.25">
      <c r="A23" t="s">
        <v>12</v>
      </c>
      <c r="B23" s="6">
        <f>+J19/I19</f>
        <v>0.17332858728197817</v>
      </c>
      <c r="C23" s="6">
        <f>+B26/I19</f>
        <v>3.5417686351532522E-2</v>
      </c>
      <c r="D23">
        <f>SQRT(C23)</f>
        <v>0.188195872302058</v>
      </c>
      <c r="E23" s="7">
        <f>+B23/D23</f>
        <v>0.92100100369779869</v>
      </c>
      <c r="F23" s="7">
        <f>+B23-J22*D23</f>
        <v>-0.15814271011463391</v>
      </c>
      <c r="G23" s="7">
        <f>+B23+J22*D23</f>
        <v>0.50479988467859027</v>
      </c>
      <c r="I23" s="7" t="s">
        <v>54</v>
      </c>
      <c r="J23" s="7"/>
    </row>
    <row r="24" spans="1:13" x14ac:dyDescent="0.25">
      <c r="A24" t="s">
        <v>15</v>
      </c>
      <c r="B24" s="6">
        <f>+E20-B23*F20</f>
        <v>2.773492326053729</v>
      </c>
      <c r="C24" s="6">
        <f>+B26*(1/16+F20^2/I19)</f>
        <v>0.47267448082326669</v>
      </c>
      <c r="D24">
        <f>SQRT(C24)</f>
        <v>0.68751325865270896</v>
      </c>
      <c r="E24" s="7">
        <f>+B24/D24</f>
        <v>4.0340928573346009</v>
      </c>
      <c r="F24" s="7">
        <f>+B24-J22*D24</f>
        <v>1.5625682551090876</v>
      </c>
      <c r="G24" s="7">
        <f>+B24+J22*D24</f>
        <v>3.9844163969983706</v>
      </c>
      <c r="I24" s="7" t="s">
        <v>26</v>
      </c>
    </row>
    <row r="26" spans="1:13" x14ac:dyDescent="0.25">
      <c r="A26" t="s">
        <v>19</v>
      </c>
      <c r="B26" s="6">
        <f>+M19/14</f>
        <v>1.0571958015392777E-2</v>
      </c>
    </row>
  </sheetData>
  <pageMargins left="0.7" right="0.7" top="0.75" bottom="0.75" header="0.3" footer="0.3"/>
  <pageSetup paperSize="9" scale="8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workbookViewId="0">
      <selection activeCell="E22" sqref="E22"/>
    </sheetView>
  </sheetViews>
  <sheetFormatPr baseColWidth="10" defaultRowHeight="15" x14ac:dyDescent="0.25"/>
  <cols>
    <col min="6" max="6" width="8.42578125" customWidth="1"/>
    <col min="7" max="7" width="15.42578125" customWidth="1"/>
    <col min="12" max="12" width="12.140625" customWidth="1"/>
  </cols>
  <sheetData>
    <row r="1" spans="1:14" x14ac:dyDescent="0.25">
      <c r="A1" s="9" t="s">
        <v>48</v>
      </c>
      <c r="B1" s="10" t="s">
        <v>49</v>
      </c>
      <c r="C1" s="12" t="s">
        <v>50</v>
      </c>
      <c r="D1" s="11" t="s">
        <v>51</v>
      </c>
    </row>
    <row r="2" spans="1:14" x14ac:dyDescent="0.25">
      <c r="A2" t="s">
        <v>2</v>
      </c>
      <c r="C2" t="s">
        <v>29</v>
      </c>
      <c r="D2" t="s">
        <v>3</v>
      </c>
      <c r="E2" t="s">
        <v>1</v>
      </c>
    </row>
    <row r="3" spans="1:14" x14ac:dyDescent="0.25">
      <c r="A3">
        <v>10.64</v>
      </c>
      <c r="C3">
        <v>1</v>
      </c>
      <c r="D3">
        <v>10.76</v>
      </c>
      <c r="E3">
        <v>7.14</v>
      </c>
      <c r="G3" t="s">
        <v>30</v>
      </c>
      <c r="H3">
        <f t="array" ref="H3:J5">MINVERSE(MMULT(TRANSPOSE(C3:E18),C3:E18))</f>
        <v>61.883354884882372</v>
      </c>
      <c r="I3">
        <v>-14.976609279701535</v>
      </c>
      <c r="J3">
        <v>13.964394265708865</v>
      </c>
      <c r="L3" t="s">
        <v>31</v>
      </c>
      <c r="M3">
        <f t="array" ref="M3:M5">MMULT(TRANSPOSE(C3:E18),A3:A18)</f>
        <v>167.46999999999997</v>
      </c>
    </row>
    <row r="4" spans="1:14" x14ac:dyDescent="0.25">
      <c r="A4">
        <v>8.9600000000000009</v>
      </c>
      <c r="C4">
        <v>1</v>
      </c>
      <c r="D4">
        <v>9.41</v>
      </c>
      <c r="E4">
        <v>5.45</v>
      </c>
      <c r="H4">
        <v>-14.9766092797014</v>
      </c>
      <c r="I4">
        <v>3.7893867089383351</v>
      </c>
      <c r="J4">
        <v>-3.627505936997693</v>
      </c>
      <c r="M4">
        <v>1812.8232</v>
      </c>
    </row>
    <row r="5" spans="1:14" x14ac:dyDescent="0.25">
      <c r="A5">
        <v>11.43</v>
      </c>
      <c r="C5">
        <v>1</v>
      </c>
      <c r="D5">
        <v>11.56</v>
      </c>
      <c r="E5">
        <v>7.96</v>
      </c>
      <c r="H5">
        <v>13.964394265708668</v>
      </c>
      <c r="I5">
        <v>-3.6275059369976752</v>
      </c>
      <c r="J5">
        <v>3.5252868835206059</v>
      </c>
      <c r="M5">
        <v>1202.2112000000002</v>
      </c>
    </row>
    <row r="6" spans="1:14" x14ac:dyDescent="0.25">
      <c r="A6">
        <v>10.87</v>
      </c>
      <c r="C6">
        <v>1</v>
      </c>
      <c r="D6">
        <v>11.18</v>
      </c>
      <c r="E6">
        <v>7.51</v>
      </c>
    </row>
    <row r="7" spans="1:14" x14ac:dyDescent="0.25">
      <c r="A7">
        <v>9.2100000000000009</v>
      </c>
      <c r="C7">
        <v>1</v>
      </c>
      <c r="D7">
        <v>9.6300000000000008</v>
      </c>
      <c r="E7">
        <v>5.89</v>
      </c>
      <c r="G7" s="9" t="s">
        <v>32</v>
      </c>
      <c r="H7" s="9">
        <f t="array" ref="H7:H9">MMULT(H3:J5,M3:M5)</f>
        <v>1.8118704439948488</v>
      </c>
      <c r="J7" s="9" t="s">
        <v>34</v>
      </c>
      <c r="K7" s="9"/>
      <c r="L7" s="9">
        <f>$H$12*H3</f>
        <v>0.44822941626344837</v>
      </c>
      <c r="M7" s="9">
        <f t="shared" ref="M7:N7" si="0">$H$12*I3</f>
        <v>-0.10847758411828261</v>
      </c>
      <c r="N7" s="9">
        <f t="shared" si="0"/>
        <v>0.10114597538926283</v>
      </c>
    </row>
    <row r="8" spans="1:14" x14ac:dyDescent="0.25">
      <c r="A8">
        <v>10.79</v>
      </c>
      <c r="C8">
        <v>1</v>
      </c>
      <c r="D8">
        <v>10.97</v>
      </c>
      <c r="E8">
        <v>7.31</v>
      </c>
      <c r="G8" s="9"/>
      <c r="H8" s="9">
        <v>0.32711813834612258</v>
      </c>
      <c r="J8" s="9"/>
      <c r="K8" s="9"/>
      <c r="L8" s="9">
        <f t="shared" ref="L8:L9" si="1">$H$12*H4</f>
        <v>-0.10847758411828164</v>
      </c>
      <c r="M8" s="9">
        <f t="shared" ref="M8:M9" si="2">$H$12*I4</f>
        <v>2.7447034759242404E-2</v>
      </c>
      <c r="N8" s="9">
        <f t="shared" ref="N8:N9" si="3">$H$12*J4</f>
        <v>-2.6274510676696967E-2</v>
      </c>
    </row>
    <row r="9" spans="1:14" x14ac:dyDescent="0.25">
      <c r="A9">
        <v>11.14</v>
      </c>
      <c r="C9">
        <v>1</v>
      </c>
      <c r="D9">
        <v>11.2</v>
      </c>
      <c r="E9">
        <v>7.76</v>
      </c>
      <c r="G9" s="9"/>
      <c r="H9" s="9">
        <v>0.7295615326747793</v>
      </c>
      <c r="J9" s="9"/>
      <c r="K9" s="9"/>
      <c r="L9" s="9">
        <f t="shared" si="1"/>
        <v>0.1011459753892614</v>
      </c>
      <c r="M9" s="9">
        <f t="shared" si="2"/>
        <v>-2.6274510676696838E-2</v>
      </c>
      <c r="N9" s="9">
        <f t="shared" si="3"/>
        <v>2.5534124400673819E-2</v>
      </c>
    </row>
    <row r="10" spans="1:14" x14ac:dyDescent="0.25">
      <c r="A10">
        <v>8.99</v>
      </c>
      <c r="C10">
        <v>1</v>
      </c>
      <c r="D10">
        <v>9.31</v>
      </c>
      <c r="E10">
        <v>5.7</v>
      </c>
    </row>
    <row r="11" spans="1:14" x14ac:dyDescent="0.25">
      <c r="A11">
        <v>11.46</v>
      </c>
      <c r="C11">
        <v>1</v>
      </c>
      <c r="D11">
        <v>11.51</v>
      </c>
      <c r="E11">
        <v>7.93</v>
      </c>
      <c r="G11" t="s">
        <v>33</v>
      </c>
      <c r="H11">
        <f t="array" ref="H11">MMULT(TRANSPOSE(A3:A18),A3:A18)-MMULT(TRANSPOSE(H7:H9),M3:M5)</f>
        <v>9.4160738736036365E-2</v>
      </c>
      <c r="J11" s="10" t="s">
        <v>37</v>
      </c>
      <c r="K11" s="10">
        <f>+H15/H14</f>
        <v>0.99545883799486867</v>
      </c>
      <c r="M11" s="12" t="s">
        <v>42</v>
      </c>
      <c r="N11" s="12">
        <f>(K11/2)/((1-K11)/(16-3))</f>
        <v>1424.8517096847163</v>
      </c>
    </row>
    <row r="12" spans="1:14" x14ac:dyDescent="0.25">
      <c r="A12">
        <v>12.43</v>
      </c>
      <c r="C12">
        <v>1</v>
      </c>
      <c r="D12">
        <v>12.59</v>
      </c>
      <c r="E12">
        <v>8.86</v>
      </c>
      <c r="G12" s="9" t="s">
        <v>19</v>
      </c>
      <c r="H12" s="9">
        <f>+H11/(16-3)</f>
        <v>7.2431337489258741E-3</v>
      </c>
      <c r="J12" s="10" t="s">
        <v>38</v>
      </c>
      <c r="K12" s="10">
        <f>1-H12/H16</f>
        <v>0.99476019768638702</v>
      </c>
    </row>
    <row r="13" spans="1:14" x14ac:dyDescent="0.25">
      <c r="A13">
        <v>10.96</v>
      </c>
      <c r="C13">
        <v>1</v>
      </c>
      <c r="D13">
        <v>11.19</v>
      </c>
      <c r="E13">
        <v>7.62</v>
      </c>
      <c r="J13" s="10" t="s">
        <v>40</v>
      </c>
      <c r="K13" s="10">
        <f>LN(H11/16)+2*3/16</f>
        <v>-4.7603406927607796</v>
      </c>
      <c r="N13">
        <f>(H15/2)/(H12)</f>
        <v>1424.8517096847283</v>
      </c>
    </row>
    <row r="14" spans="1:14" x14ac:dyDescent="0.25">
      <c r="A14">
        <v>11.85</v>
      </c>
      <c r="C14">
        <v>1</v>
      </c>
      <c r="D14">
        <v>12.12</v>
      </c>
      <c r="E14">
        <v>8.42</v>
      </c>
      <c r="G14" t="s">
        <v>35</v>
      </c>
      <c r="H14">
        <f t="array" ref="H14">MMULT(TRANSPOSE(A3:A18),A3:A18)-16*AVERAGE(A3:A18)^2</f>
        <v>20.734943750000411</v>
      </c>
      <c r="J14" s="10" t="s">
        <v>41</v>
      </c>
      <c r="K14" s="10">
        <f>LN(H11/16)+3*LN(16)/16</f>
        <v>-4.615480307340821</v>
      </c>
    </row>
    <row r="15" spans="1:14" x14ac:dyDescent="0.25">
      <c r="A15">
        <v>9.1999999999999993</v>
      </c>
      <c r="C15">
        <v>1</v>
      </c>
      <c r="D15">
        <v>9.3000000000000007</v>
      </c>
      <c r="E15">
        <v>5.91</v>
      </c>
      <c r="G15" t="s">
        <v>36</v>
      </c>
      <c r="H15">
        <f>+H14-H11</f>
        <v>20.640783011264375</v>
      </c>
    </row>
    <row r="16" spans="1:14" x14ac:dyDescent="0.25">
      <c r="A16">
        <v>10.130000000000001</v>
      </c>
      <c r="C16">
        <v>1</v>
      </c>
      <c r="D16">
        <v>10.59</v>
      </c>
      <c r="E16">
        <v>6.92</v>
      </c>
      <c r="G16" t="s">
        <v>39</v>
      </c>
      <c r="H16">
        <f>+H14/(16-1)</f>
        <v>1.3823295833333609</v>
      </c>
    </row>
    <row r="17" spans="1:13" x14ac:dyDescent="0.25">
      <c r="A17">
        <v>8.4499999999999993</v>
      </c>
      <c r="C17">
        <v>1</v>
      </c>
      <c r="D17">
        <v>8.9700000000000006</v>
      </c>
      <c r="E17">
        <v>5.09</v>
      </c>
    </row>
    <row r="18" spans="1:13" x14ac:dyDescent="0.25">
      <c r="A18">
        <v>10.96</v>
      </c>
      <c r="C18">
        <v>1</v>
      </c>
      <c r="D18">
        <v>11.09</v>
      </c>
      <c r="E18">
        <v>7.5</v>
      </c>
      <c r="G18" t="s">
        <v>43</v>
      </c>
      <c r="H18">
        <v>0</v>
      </c>
      <c r="I18">
        <v>1</v>
      </c>
      <c r="J18">
        <v>1</v>
      </c>
      <c r="L18" t="s">
        <v>47</v>
      </c>
      <c r="M18">
        <f>MMULT(MMULT(H20,MINVERSE(H21)),H20)</f>
        <v>5.3846674044415038E-2</v>
      </c>
    </row>
    <row r="19" spans="1:13" x14ac:dyDescent="0.25">
      <c r="G19" t="s">
        <v>44</v>
      </c>
      <c r="H19">
        <v>1</v>
      </c>
    </row>
    <row r="20" spans="1:13" x14ac:dyDescent="0.25">
      <c r="G20" t="s">
        <v>45</v>
      </c>
      <c r="H20">
        <f>MMULT(H18:J18,H7:H9)-H19</f>
        <v>5.6679671020901878E-2</v>
      </c>
      <c r="L20" s="11" t="s">
        <v>42</v>
      </c>
      <c r="M20" s="11">
        <f>+M18/H12</f>
        <v>7.4341681254195082</v>
      </c>
    </row>
    <row r="21" spans="1:13" x14ac:dyDescent="0.25">
      <c r="G21" t="s">
        <v>46</v>
      </c>
      <c r="H21">
        <f t="array" ref="H21">MMULT(MMULT(H18:J18,H3:J5),TRANSPOSE(H18:J18))</f>
        <v>5.9661718463572821E-2</v>
      </c>
    </row>
  </sheetData>
  <pageMargins left="0.7" right="0.7" top="0.75" bottom="0.75" header="0.3" footer="0.3"/>
  <pageSetup paperSize="9" scale="8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 y b</vt:lpstr>
      <vt:lpstr>c - 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Núñez</dc:creator>
  <cp:lastModifiedBy>Luis García Núñez</cp:lastModifiedBy>
  <cp:lastPrinted>2019-10-18T19:18:37Z</cp:lastPrinted>
  <dcterms:created xsi:type="dcterms:W3CDTF">2019-10-18T00:38:10Z</dcterms:created>
  <dcterms:modified xsi:type="dcterms:W3CDTF">2019-10-21T19:03:52Z</dcterms:modified>
</cp:coreProperties>
</file>