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9"/>
  <workbookPr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valuación Privada de Proyectos/Ratings/EXAMEN FINAL/"/>
    </mc:Choice>
  </mc:AlternateContent>
  <xr:revisionPtr revIDLastSave="489" documentId="11_F25DC773A252ABDACC1048EF099C75345BDE58E5" xr6:coauthVersionLast="47" xr6:coauthVersionMax="47" xr10:uidLastSave="{CC3C43C8-9DA2-4FF1-B80E-194330D5C4FB}"/>
  <bookViews>
    <workbookView xWindow="-120" yWindow="-120" windowWidth="29040" windowHeight="16440" activeTab="1" xr2:uid="{00000000-000D-0000-FFFF-FFFF00000000}"/>
  </bookViews>
  <sheets>
    <sheet name="Flujo deuda" sheetId="4" r:id="rId1"/>
    <sheet name="Analisis" sheetId="3" r:id="rId2"/>
  </sheets>
  <definedNames>
    <definedName name="Costo_Fijo">Analisis!$D$25</definedName>
    <definedName name="INVERSIÓN">Analisis!$D$53</definedName>
    <definedName name="Materia_Prima">Analisis!$D$22</definedName>
    <definedName name="Precio">Analisis!$D$20</definedName>
    <definedName name="Tasa">Analisis!$D$21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3" l="1"/>
  <c r="D19" i="3"/>
  <c r="B62" i="3"/>
  <c r="C61" i="3"/>
  <c r="D53" i="3" l="1"/>
  <c r="D54" i="3"/>
  <c r="D52" i="3"/>
  <c r="F52" i="3" s="1"/>
  <c r="R36" i="3"/>
  <c r="D8" i="4"/>
  <c r="D9" i="4" s="1"/>
  <c r="D2" i="4"/>
  <c r="M32" i="3" s="1"/>
  <c r="M36" i="3" s="1"/>
  <c r="D4" i="4"/>
  <c r="D6" i="4"/>
  <c r="D7" i="4" s="1"/>
  <c r="D51" i="3"/>
  <c r="F51" i="3" s="1"/>
  <c r="F54" i="3"/>
  <c r="C44" i="3"/>
  <c r="I34" i="3"/>
  <c r="D35" i="3"/>
  <c r="D40" i="3" s="1"/>
  <c r="H24" i="3"/>
  <c r="G24" i="3"/>
  <c r="F24" i="3"/>
  <c r="E24" i="3"/>
  <c r="D24" i="3"/>
  <c r="D23" i="3"/>
  <c r="E38" i="3" s="1"/>
  <c r="D36" i="3"/>
  <c r="D32" i="3"/>
  <c r="E31" i="3"/>
  <c r="F31" i="3" s="1"/>
  <c r="G31" i="3" s="1"/>
  <c r="H31" i="3" s="1"/>
  <c r="I31" i="3" s="1"/>
  <c r="D21" i="3"/>
  <c r="G21" i="3" s="1"/>
  <c r="D20" i="3"/>
  <c r="E20" i="3" s="1"/>
  <c r="E22" i="3" s="1"/>
  <c r="F37" i="3" s="1"/>
  <c r="E18" i="3"/>
  <c r="F18" i="3" s="1"/>
  <c r="G18" i="3" s="1"/>
  <c r="H18" i="3" s="1"/>
  <c r="F53" i="3" l="1"/>
  <c r="B64" i="3"/>
  <c r="E23" i="3"/>
  <c r="F38" i="3" s="1"/>
  <c r="E37" i="3"/>
  <c r="D12" i="4"/>
  <c r="C15" i="4" s="1"/>
  <c r="D10" i="4"/>
  <c r="F12" i="4" s="1"/>
  <c r="D11" i="4" s="1"/>
  <c r="F20" i="3"/>
  <c r="F22" i="3" s="1"/>
  <c r="G37" i="3" s="1"/>
  <c r="H21" i="3"/>
  <c r="E21" i="3"/>
  <c r="E19" i="3" s="1"/>
  <c r="F21" i="3"/>
  <c r="F23" i="3" l="1"/>
  <c r="G38" i="3" s="1"/>
  <c r="F19" i="3"/>
  <c r="D25" i="3"/>
  <c r="E21" i="4"/>
  <c r="E29" i="4"/>
  <c r="E37" i="4"/>
  <c r="E45" i="4"/>
  <c r="E53" i="4"/>
  <c r="E61" i="4"/>
  <c r="E43" i="4"/>
  <c r="E52" i="4"/>
  <c r="E22" i="4"/>
  <c r="E30" i="4"/>
  <c r="E38" i="4"/>
  <c r="E46" i="4"/>
  <c r="E54" i="4"/>
  <c r="E62" i="4"/>
  <c r="E23" i="4"/>
  <c r="E31" i="4"/>
  <c r="E39" i="4"/>
  <c r="E47" i="4"/>
  <c r="E55" i="4"/>
  <c r="E63" i="4"/>
  <c r="E16" i="4"/>
  <c r="C16" i="4" s="1"/>
  <c r="E24" i="4"/>
  <c r="E32" i="4"/>
  <c r="E40" i="4"/>
  <c r="E48" i="4"/>
  <c r="E56" i="4"/>
  <c r="D16" i="4"/>
  <c r="E20" i="4"/>
  <c r="E44" i="4"/>
  <c r="E17" i="4"/>
  <c r="E25" i="4"/>
  <c r="E33" i="4"/>
  <c r="E41" i="4"/>
  <c r="E49" i="4"/>
  <c r="E57" i="4"/>
  <c r="E27" i="4"/>
  <c r="E35" i="4"/>
  <c r="E51" i="4"/>
  <c r="E59" i="4"/>
  <c r="E28" i="4"/>
  <c r="E60" i="4"/>
  <c r="E18" i="4"/>
  <c r="E26" i="4"/>
  <c r="E34" i="4"/>
  <c r="E42" i="4"/>
  <c r="E50" i="4"/>
  <c r="E58" i="4"/>
  <c r="E19" i="4"/>
  <c r="E36" i="4"/>
  <c r="G20" i="3"/>
  <c r="F33" i="3"/>
  <c r="F32" i="3" s="1"/>
  <c r="G23" i="3" l="1"/>
  <c r="H38" i="3" s="1"/>
  <c r="G22" i="3"/>
  <c r="H37" i="3" s="1"/>
  <c r="G19" i="3"/>
  <c r="I5" i="4"/>
  <c r="D26" i="3"/>
  <c r="E39" i="3" s="1"/>
  <c r="E35" i="3" s="1"/>
  <c r="C17" i="4"/>
  <c r="C18" i="4" s="1"/>
  <c r="C19" i="4" s="1"/>
  <c r="C20" i="4" s="1"/>
  <c r="F5" i="4"/>
  <c r="F16" i="4"/>
  <c r="G5" i="4"/>
  <c r="E33" i="3"/>
  <c r="E32" i="3" s="1"/>
  <c r="H20" i="3"/>
  <c r="G33" i="3"/>
  <c r="G32" i="3" s="1"/>
  <c r="H23" i="3" l="1"/>
  <c r="I38" i="3" s="1"/>
  <c r="E40" i="3"/>
  <c r="H22" i="3"/>
  <c r="I37" i="3" s="1"/>
  <c r="H19" i="3"/>
  <c r="D27" i="3"/>
  <c r="H33" i="3"/>
  <c r="H32" i="3" s="1"/>
  <c r="I33" i="3" l="1"/>
  <c r="I32" i="3" s="1"/>
  <c r="F25" i="3" l="1"/>
  <c r="H25" i="3"/>
  <c r="E25" i="3"/>
  <c r="G25" i="3"/>
  <c r="G26" i="3" l="1"/>
  <c r="H39" i="3" s="1"/>
  <c r="E26" i="3"/>
  <c r="F39" i="3" s="1"/>
  <c r="F35" i="3" s="1"/>
  <c r="H26" i="3"/>
  <c r="I39" i="3" s="1"/>
  <c r="F26" i="3"/>
  <c r="F27" i="3" s="1"/>
  <c r="G39" i="3" l="1"/>
  <c r="G35" i="3" s="1"/>
  <c r="G40" i="3" s="1"/>
  <c r="E27" i="3"/>
  <c r="F40" i="3"/>
  <c r="H27" i="3"/>
  <c r="I35" i="3"/>
  <c r="I40" i="3" s="1"/>
  <c r="G27" i="3"/>
  <c r="H35" i="3"/>
  <c r="H40" i="3" s="1"/>
  <c r="C42" i="3" l="1"/>
  <c r="C43" i="3"/>
  <c r="B61" i="3" s="1"/>
  <c r="D17" i="4" l="1"/>
  <c r="F17" i="4" l="1"/>
  <c r="D18" i="4"/>
  <c r="F18" i="4" s="1"/>
  <c r="D19" i="4" l="1"/>
  <c r="F19" i="4" l="1"/>
  <c r="D20" i="4"/>
  <c r="F20" i="4" s="1"/>
  <c r="D21" i="4" l="1"/>
  <c r="C21" i="4"/>
  <c r="F21" i="4" l="1"/>
  <c r="D22" i="4"/>
  <c r="C22" i="4" l="1"/>
  <c r="D23" i="4" s="1"/>
  <c r="F22" i="4"/>
  <c r="C23" i="4" l="1"/>
  <c r="D24" i="4" s="1"/>
  <c r="F23" i="4"/>
  <c r="C24" i="4" l="1"/>
  <c r="F24" i="4"/>
  <c r="D25" i="4"/>
  <c r="C25" i="4" l="1"/>
  <c r="F25" i="4"/>
  <c r="D26" i="4"/>
  <c r="C26" i="4" l="1"/>
  <c r="F26" i="4"/>
  <c r="D27" i="4"/>
  <c r="F27" i="4" l="1"/>
  <c r="F3" i="4" s="1"/>
  <c r="N33" i="3" s="1"/>
  <c r="F4" i="4"/>
  <c r="N34" i="3" s="1"/>
  <c r="C27" i="4"/>
  <c r="D28" i="4" s="1"/>
  <c r="N35" i="3" l="1"/>
  <c r="N36" i="3"/>
  <c r="F28" i="4"/>
  <c r="C28" i="4"/>
  <c r="D29" i="4" s="1"/>
  <c r="F29" i="4" s="1"/>
  <c r="C29" i="4" l="1"/>
  <c r="D30" i="4" s="1"/>
  <c r="F30" i="4" s="1"/>
  <c r="C30" i="4" l="1"/>
  <c r="D31" i="4" s="1"/>
  <c r="F31" i="4" s="1"/>
  <c r="C31" i="4" l="1"/>
  <c r="C32" i="4" s="1"/>
  <c r="D32" i="4"/>
  <c r="F32" i="4" s="1"/>
  <c r="D33" i="4" l="1"/>
  <c r="F33" i="4" s="1"/>
  <c r="C33" i="4"/>
  <c r="D34" i="4" l="1"/>
  <c r="F34" i="4" s="1"/>
  <c r="C34" i="4"/>
  <c r="D35" i="4" l="1"/>
  <c r="C35" i="4" l="1"/>
  <c r="F35" i="4"/>
  <c r="D36" i="4"/>
  <c r="C36" i="4" l="1"/>
  <c r="F36" i="4"/>
  <c r="D37" i="4"/>
  <c r="F37" i="4" s="1"/>
  <c r="C37" i="4"/>
  <c r="D38" i="4" l="1"/>
  <c r="C38" i="4" l="1"/>
  <c r="F38" i="4"/>
  <c r="D39" i="4"/>
  <c r="F39" i="4" l="1"/>
  <c r="G3" i="4" s="1"/>
  <c r="O33" i="3" s="1"/>
  <c r="G4" i="4"/>
  <c r="O34" i="3" s="1"/>
  <c r="C39" i="4"/>
  <c r="D40" i="4" s="1"/>
  <c r="F40" i="4" s="1"/>
  <c r="O35" i="3" l="1"/>
  <c r="O36" i="3"/>
  <c r="C40" i="4"/>
  <c r="D41" i="4" s="1"/>
  <c r="F41" i="4" s="1"/>
  <c r="C41" i="4" l="1"/>
  <c r="D42" i="4"/>
  <c r="F42" i="4" s="1"/>
  <c r="C42" i="4" l="1"/>
  <c r="D43" i="4" s="1"/>
  <c r="C43" i="4" l="1"/>
  <c r="D44" i="4" s="1"/>
  <c r="F43" i="4"/>
  <c r="C44" i="4" l="1"/>
  <c r="F44" i="4"/>
  <c r="D45" i="4"/>
  <c r="C45" i="4" l="1"/>
  <c r="F45" i="4"/>
  <c r="D46" i="4"/>
  <c r="C46" i="4" l="1"/>
  <c r="F46" i="4"/>
  <c r="D47" i="4"/>
  <c r="C47" i="4" l="1"/>
  <c r="F47" i="4"/>
  <c r="D48" i="4"/>
  <c r="C48" i="4" l="1"/>
  <c r="F48" i="4"/>
  <c r="D49" i="4"/>
  <c r="C49" i="4" l="1"/>
  <c r="F49" i="4"/>
  <c r="D50" i="4"/>
  <c r="C50" i="4" l="1"/>
  <c r="F50" i="4"/>
  <c r="D51" i="4"/>
  <c r="H5" i="4" l="1"/>
  <c r="F51" i="4"/>
  <c r="H3" i="4" s="1"/>
  <c r="P33" i="3" s="1"/>
  <c r="C51" i="4"/>
  <c r="H4" i="4"/>
  <c r="P34" i="3" s="1"/>
  <c r="D52" i="4"/>
  <c r="C52" i="4"/>
  <c r="F52" i="4" l="1"/>
  <c r="P35" i="3"/>
  <c r="P36" i="3" s="1"/>
  <c r="D53" i="4"/>
  <c r="C53" i="4" l="1"/>
  <c r="F53" i="4"/>
  <c r="D54" i="4"/>
  <c r="C54" i="4" l="1"/>
  <c r="F54" i="4"/>
  <c r="D55" i="4"/>
  <c r="F55" i="4" s="1"/>
  <c r="C55" i="4"/>
  <c r="D56" i="4" l="1"/>
  <c r="F56" i="4" s="1"/>
  <c r="C56" i="4"/>
  <c r="D57" i="4" l="1"/>
  <c r="C57" i="4" l="1"/>
  <c r="F57" i="4"/>
  <c r="D58" i="4"/>
  <c r="C58" i="4" l="1"/>
  <c r="F58" i="4"/>
  <c r="D59" i="4"/>
  <c r="C59" i="4" l="1"/>
  <c r="F59" i="4"/>
  <c r="D60" i="4"/>
  <c r="C60" i="4" l="1"/>
  <c r="F60" i="4"/>
  <c r="D61" i="4"/>
  <c r="C61" i="4" l="1"/>
  <c r="F61" i="4"/>
  <c r="D62" i="4"/>
  <c r="C62" i="4" l="1"/>
  <c r="D63" i="4" s="1"/>
  <c r="I4" i="4" s="1"/>
  <c r="Q34" i="3" s="1"/>
  <c r="F62" i="4"/>
  <c r="E64" i="4" l="1"/>
  <c r="F63" i="4"/>
  <c r="I3" i="4" s="1"/>
  <c r="Q33" i="3" s="1"/>
  <c r="C63" i="4"/>
  <c r="F64" i="4"/>
  <c r="D64" i="4"/>
  <c r="Q35" i="3" l="1"/>
  <c r="Q36" i="3" s="1"/>
</calcChain>
</file>

<file path=xl/sharedStrings.xml><?xml version="1.0" encoding="utf-8"?>
<sst xmlns="http://schemas.openxmlformats.org/spreadsheetml/2006/main" count="96" uniqueCount="89">
  <si>
    <t>años</t>
  </si>
  <si>
    <t>SOLUCIÓN</t>
  </si>
  <si>
    <t>DATOS:</t>
  </si>
  <si>
    <t>Inversion inicial:</t>
  </si>
  <si>
    <t>Vida útil:</t>
  </si>
  <si>
    <t>Cantidad de ventas año 1:</t>
  </si>
  <si>
    <t>Tasa de creciemiento:</t>
  </si>
  <si>
    <t>Costo fijo:</t>
  </si>
  <si>
    <t>Costo variable unitario:</t>
  </si>
  <si>
    <t>Precio:</t>
  </si>
  <si>
    <t>Inflación anual:</t>
  </si>
  <si>
    <t>Tasa de impuesto:</t>
  </si>
  <si>
    <t>RUBRO</t>
  </si>
  <si>
    <t>Ingresos</t>
  </si>
  <si>
    <t>Cantidad</t>
  </si>
  <si>
    <t>Precio</t>
  </si>
  <si>
    <t>Costo Variable Total</t>
  </si>
  <si>
    <t>Costo Fijo Total</t>
  </si>
  <si>
    <t>Depreciaciones</t>
  </si>
  <si>
    <t>Utilidad Imponible</t>
  </si>
  <si>
    <t>Impuestos</t>
  </si>
  <si>
    <t>Utilidad Neta</t>
  </si>
  <si>
    <t>ESTADO DE RESULTADOS ECONÓMICO</t>
  </si>
  <si>
    <t>COK=ku</t>
  </si>
  <si>
    <t>FLUJO DE CAJA ECONÓMICO PROYECTADO</t>
  </si>
  <si>
    <t>INGRESOS</t>
  </si>
  <si>
    <t>Ventas Netas</t>
  </si>
  <si>
    <t>Recupero KW</t>
  </si>
  <si>
    <t>EGRESOS</t>
  </si>
  <si>
    <t>Inversión</t>
  </si>
  <si>
    <t>Flujo de Caja Económico FCE</t>
  </si>
  <si>
    <t>TIRE =</t>
  </si>
  <si>
    <t xml:space="preserve"> promedio anual</t>
  </si>
  <si>
    <t>VANE=</t>
  </si>
  <si>
    <t xml:space="preserve"> soles</t>
  </si>
  <si>
    <t>PEC =</t>
  </si>
  <si>
    <t>unidades/periodo</t>
  </si>
  <si>
    <t>TEA nominal</t>
  </si>
  <si>
    <t>ANALISIS DE SENSIBILIDAD</t>
  </si>
  <si>
    <t>1.- ANALISIS DE PUNTOS CRÍTICOS</t>
  </si>
  <si>
    <t>¿Qué precio debe tener el producto para que el VANE = 0?</t>
  </si>
  <si>
    <t>Variable</t>
  </si>
  <si>
    <t>Valor Actual</t>
  </si>
  <si>
    <t>Valor Marginal</t>
  </si>
  <si>
    <t xml:space="preserve"> Soporte %</t>
  </si>
  <si>
    <t>Clasificación</t>
  </si>
  <si>
    <t xml:space="preserve">Precio </t>
  </si>
  <si>
    <t>Tasa Crec.</t>
  </si>
  <si>
    <t>Costo Fijo</t>
  </si>
  <si>
    <t>PRÉSTAMO</t>
  </si>
  <si>
    <t>MONEDA</t>
  </si>
  <si>
    <t>SOLES</t>
  </si>
  <si>
    <t>Cuota de capital</t>
  </si>
  <si>
    <t>NÚMERO DE CUOTAS</t>
  </si>
  <si>
    <t>Interés</t>
  </si>
  <si>
    <t>PERIODO DE PAGO</t>
  </si>
  <si>
    <t>MENSUAL</t>
  </si>
  <si>
    <t>Amortización</t>
  </si>
  <si>
    <t>TEA nominal(i)</t>
  </si>
  <si>
    <t>TEM (nominal)</t>
  </si>
  <si>
    <t>Inflación Anual (Proyectado)</t>
  </si>
  <si>
    <t>Inflación Mensual</t>
  </si>
  <si>
    <t>TEM (real )</t>
  </si>
  <si>
    <t>CUOTA</t>
  </si>
  <si>
    <t xml:space="preserve">MONTO DEL PRÉSTAMO </t>
  </si>
  <si>
    <t>TEM(real)</t>
  </si>
  <si>
    <t>MONTO</t>
  </si>
  <si>
    <t xml:space="preserve">INTERÉS </t>
  </si>
  <si>
    <t>AMORTIZACIÓN</t>
  </si>
  <si>
    <t>TOTAL</t>
  </si>
  <si>
    <t>Flujo de Caja de la Deuda (FCD)</t>
  </si>
  <si>
    <t>Rubro</t>
  </si>
  <si>
    <t>Año 0</t>
  </si>
  <si>
    <t>Año 1</t>
  </si>
  <si>
    <t>Año 2</t>
  </si>
  <si>
    <t>Año 3</t>
  </si>
  <si>
    <t>Año 4</t>
  </si>
  <si>
    <t>Año 5</t>
  </si>
  <si>
    <t xml:space="preserve">Préstamo </t>
  </si>
  <si>
    <t>(-)</t>
  </si>
  <si>
    <t>Cuota de Capital</t>
  </si>
  <si>
    <t>Intereses</t>
  </si>
  <si>
    <t>(+)</t>
  </si>
  <si>
    <t>Escudo Fiscal de Intereses</t>
  </si>
  <si>
    <t>Total Flujo de la Deuda</t>
  </si>
  <si>
    <t>Cantidades vendidas</t>
  </si>
  <si>
    <t>A. TASA DE CRECIMIENTO VS CANTIDADES VENDIDAS</t>
  </si>
  <si>
    <t>2. ANALISIS BIDEMENCIONAL</t>
  </si>
  <si>
    <t>¿Cómo varia el VANF al modificarse la Cnatidad vendida y el precio del producto?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</si>
</sst>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(* #,##0_);_(* \(#,##0\);_(* &quot;-&quot;??_);_(@_)"/>
    <numFmt numFmtId="166" formatCode="0.0%"/>
    <numFmt numFmtId="167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0"/>
      <color theme="3" tint="-0.249977111117893"/>
      <name val="Arial"/>
      <family val="2"/>
    </font>
    <font>
      <b/>
      <sz val="10"/>
      <color rgb="FFFF0000"/>
      <name val="Arial"/>
      <family val="2"/>
    </font>
    <font>
      <sz val="11"/>
      <color theme="1"/>
      <name val="IBM Plex Mono"/>
      <family val="3"/>
    </font>
    <font>
      <sz val="11"/>
      <color theme="0"/>
      <name val="IBM Plex Mono"/>
      <family val="3"/>
    </font>
    <font>
      <b/>
      <sz val="11"/>
      <color theme="0"/>
      <name val="IBM Plex Mono"/>
      <family val="3"/>
    </font>
    <font>
      <b/>
      <sz val="10"/>
      <color rgb="FF002060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C6294"/>
        <bgColor rgb="FF1C629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6">
    <xf numFmtId="0" fontId="0" fillId="0" borderId="0" xfId="0"/>
    <xf numFmtId="165" fontId="3" fillId="2" borderId="3" xfId="1" applyNumberFormat="1" applyFont="1" applyFill="1" applyBorder="1" applyAlignment="1">
      <alignment vertical="center"/>
    </xf>
    <xf numFmtId="165" fontId="3" fillId="2" borderId="4" xfId="1" applyNumberFormat="1" applyFont="1" applyFill="1" applyBorder="1" applyAlignment="1">
      <alignment vertical="center"/>
    </xf>
    <xf numFmtId="165" fontId="3" fillId="0" borderId="7" xfId="1" applyNumberFormat="1" applyFont="1" applyBorder="1"/>
    <xf numFmtId="165" fontId="3" fillId="0" borderId="8" xfId="1" applyNumberFormat="1" applyFont="1" applyBorder="1"/>
    <xf numFmtId="165" fontId="2" fillId="0" borderId="13" xfId="1" applyNumberFormat="1" applyFont="1" applyBorder="1"/>
    <xf numFmtId="165" fontId="3" fillId="0" borderId="13" xfId="1" applyNumberFormat="1" applyFont="1" applyBorder="1"/>
    <xf numFmtId="165" fontId="3" fillId="0" borderId="11" xfId="1" applyNumberFormat="1" applyFont="1" applyBorder="1"/>
    <xf numFmtId="165" fontId="3" fillId="0" borderId="12" xfId="1" applyNumberFormat="1" applyFont="1" applyBorder="1"/>
    <xf numFmtId="165" fontId="3" fillId="0" borderId="16" xfId="1" applyNumberFormat="1" applyFont="1" applyBorder="1"/>
    <xf numFmtId="165" fontId="3" fillId="0" borderId="17" xfId="1" applyNumberFormat="1" applyFont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0" borderId="7" xfId="0" applyNumberFormat="1" applyFont="1" applyBorder="1"/>
    <xf numFmtId="165" fontId="3" fillId="0" borderId="8" xfId="0" applyNumberFormat="1" applyFont="1" applyBorder="1"/>
    <xf numFmtId="165" fontId="3" fillId="2" borderId="18" xfId="0" applyNumberFormat="1" applyFont="1" applyFill="1" applyBorder="1"/>
    <xf numFmtId="165" fontId="3" fillId="2" borderId="19" xfId="0" applyNumberFormat="1" applyFont="1" applyFill="1" applyBorder="1"/>
    <xf numFmtId="0" fontId="2" fillId="0" borderId="11" xfId="0" applyFont="1" applyBorder="1"/>
    <xf numFmtId="10" fontId="2" fillId="0" borderId="11" xfId="2" applyNumberFormat="1" applyFont="1" applyBorder="1"/>
    <xf numFmtId="0" fontId="2" fillId="0" borderId="0" xfId="0" applyFont="1"/>
    <xf numFmtId="165" fontId="2" fillId="0" borderId="11" xfId="1" applyNumberFormat="1" applyFont="1" applyBorder="1"/>
    <xf numFmtId="0" fontId="4" fillId="3" borderId="1" xfId="0" applyFont="1" applyFill="1" applyBorder="1"/>
    <xf numFmtId="0" fontId="4" fillId="3" borderId="20" xfId="0" applyFont="1" applyFill="1" applyBorder="1"/>
    <xf numFmtId="0" fontId="5" fillId="0" borderId="0" xfId="0" applyFont="1"/>
    <xf numFmtId="0" fontId="6" fillId="0" borderId="0" xfId="0" applyFont="1"/>
    <xf numFmtId="0" fontId="3" fillId="0" borderId="11" xfId="0" applyFont="1" applyBorder="1"/>
    <xf numFmtId="0" fontId="3" fillId="0" borderId="21" xfId="0" applyFont="1" applyBorder="1"/>
    <xf numFmtId="166" fontId="2" fillId="5" borderId="11" xfId="2" applyNumberFormat="1" applyFont="1" applyFill="1" applyBorder="1"/>
    <xf numFmtId="0" fontId="7" fillId="0" borderId="0" xfId="0" applyFont="1" applyAlignment="1">
      <alignment vertical="center"/>
    </xf>
    <xf numFmtId="0" fontId="8" fillId="6" borderId="0" xfId="0" applyFont="1" applyFill="1" applyAlignment="1">
      <alignment horizontal="left" vertical="center"/>
    </xf>
    <xf numFmtId="2" fontId="7" fillId="0" borderId="0" xfId="0" applyNumberFormat="1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0" fontId="9" fillId="6" borderId="0" xfId="0" applyFont="1" applyFill="1" applyAlignment="1">
      <alignment horizontal="left" vertical="center"/>
    </xf>
    <xf numFmtId="0" fontId="9" fillId="6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9" fillId="0" borderId="0" xfId="0" applyFont="1" applyAlignment="1">
      <alignment horizontal="center" vertical="center"/>
    </xf>
    <xf numFmtId="2" fontId="7" fillId="0" borderId="0" xfId="0" applyNumberFormat="1" applyFont="1" applyAlignment="1">
      <alignment vertical="center"/>
    </xf>
    <xf numFmtId="0" fontId="7" fillId="6" borderId="0" xfId="0" applyFont="1" applyFill="1" applyAlignment="1">
      <alignment horizontal="center" vertical="center"/>
    </xf>
    <xf numFmtId="2" fontId="9" fillId="6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2" fontId="7" fillId="0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0" fillId="0" borderId="0" xfId="0" applyFont="1"/>
    <xf numFmtId="0" fontId="3" fillId="0" borderId="0" xfId="0" applyFont="1"/>
    <xf numFmtId="0" fontId="11" fillId="0" borderId="0" xfId="0" applyFont="1"/>
    <xf numFmtId="0" fontId="3" fillId="0" borderId="0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0" fontId="3" fillId="0" borderId="0" xfId="2" applyNumberFormat="1" applyFont="1" applyFill="1" applyBorder="1" applyAlignment="1">
      <alignment horizontal="center"/>
    </xf>
    <xf numFmtId="0" fontId="3" fillId="0" borderId="0" xfId="0" applyFont="1" applyFill="1" applyBorder="1"/>
    <xf numFmtId="165" fontId="2" fillId="0" borderId="0" xfId="1" applyNumberFormat="1" applyFont="1" applyFill="1" applyBorder="1"/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12" fillId="0" borderId="0" xfId="0" applyFont="1"/>
    <xf numFmtId="9" fontId="12" fillId="0" borderId="0" xfId="0" applyNumberFormat="1" applyFont="1"/>
    <xf numFmtId="10" fontId="12" fillId="0" borderId="0" xfId="0" applyNumberFormat="1" applyFont="1"/>
    <xf numFmtId="165" fontId="12" fillId="0" borderId="7" xfId="1" applyNumberFormat="1" applyFont="1" applyBorder="1"/>
    <xf numFmtId="165" fontId="12" fillId="0" borderId="11" xfId="1" applyNumberFormat="1" applyFont="1" applyBorder="1"/>
    <xf numFmtId="165" fontId="12" fillId="0" borderId="13" xfId="1" applyNumberFormat="1" applyFont="1" applyBorder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165" fontId="12" fillId="0" borderId="7" xfId="0" applyNumberFormat="1" applyFont="1" applyBorder="1"/>
    <xf numFmtId="0" fontId="12" fillId="0" borderId="0" xfId="0" applyFont="1" applyAlignment="1">
      <alignment horizontal="left" vertical="center"/>
    </xf>
    <xf numFmtId="2" fontId="14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65" fontId="12" fillId="0" borderId="11" xfId="0" applyNumberFormat="1" applyFont="1" applyBorder="1"/>
    <xf numFmtId="165" fontId="12" fillId="0" borderId="12" xfId="0" applyNumberFormat="1" applyFont="1" applyBorder="1"/>
    <xf numFmtId="0" fontId="12" fillId="0" borderId="11" xfId="0" applyFont="1" applyBorder="1"/>
    <xf numFmtId="3" fontId="12" fillId="0" borderId="12" xfId="0" applyNumberFormat="1" applyFont="1" applyBorder="1"/>
    <xf numFmtId="0" fontId="12" fillId="0" borderId="12" xfId="0" applyFont="1" applyBorder="1"/>
    <xf numFmtId="0" fontId="12" fillId="0" borderId="16" xfId="0" applyFont="1" applyBorder="1"/>
    <xf numFmtId="165" fontId="12" fillId="0" borderId="16" xfId="0" applyNumberFormat="1" applyFont="1" applyBorder="1"/>
    <xf numFmtId="165" fontId="12" fillId="0" borderId="17" xfId="0" applyNumberFormat="1" applyFont="1" applyBorder="1"/>
    <xf numFmtId="0" fontId="12" fillId="4" borderId="11" xfId="0" applyFont="1" applyFill="1" applyBorder="1"/>
    <xf numFmtId="2" fontId="12" fillId="0" borderId="11" xfId="0" applyNumberFormat="1" applyFont="1" applyBorder="1"/>
    <xf numFmtId="0" fontId="12" fillId="0" borderId="0" xfId="0" applyFont="1" applyAlignment="1">
      <alignment horizontal="center"/>
    </xf>
    <xf numFmtId="9" fontId="12" fillId="0" borderId="11" xfId="0" applyNumberFormat="1" applyFont="1" applyBorder="1"/>
    <xf numFmtId="10" fontId="12" fillId="0" borderId="11" xfId="2" applyNumberFormat="1" applyFont="1" applyBorder="1"/>
    <xf numFmtId="167" fontId="12" fillId="0" borderId="11" xfId="0" applyNumberFormat="1" applyFont="1" applyBorder="1"/>
    <xf numFmtId="0" fontId="12" fillId="0" borderId="0" xfId="0" applyFont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/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/>
    </xf>
    <xf numFmtId="10" fontId="12" fillId="0" borderId="0" xfId="2" applyNumberFormat="1" applyFont="1" applyFill="1" applyBorder="1" applyAlignment="1">
      <alignment horizontal="center"/>
    </xf>
    <xf numFmtId="2" fontId="12" fillId="0" borderId="0" xfId="0" applyNumberFormat="1" applyFont="1" applyFill="1" applyBorder="1" applyAlignment="1">
      <alignment horizontal="center"/>
    </xf>
    <xf numFmtId="165" fontId="12" fillId="0" borderId="0" xfId="1" applyNumberFormat="1" applyFont="1" applyFill="1" applyBorder="1"/>
    <xf numFmtId="165" fontId="12" fillId="0" borderId="0" xfId="0" applyNumberFormat="1" applyFont="1"/>
    <xf numFmtId="2" fontId="12" fillId="0" borderId="0" xfId="0" applyNumberFormat="1" applyFont="1" applyFill="1" applyBorder="1"/>
    <xf numFmtId="167" fontId="12" fillId="0" borderId="0" xfId="0" applyNumberFormat="1" applyFont="1"/>
    <xf numFmtId="0" fontId="12" fillId="0" borderId="9" xfId="0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2" fillId="0" borderId="14" xfId="0" applyFont="1" applyBorder="1" applyAlignment="1">
      <alignment horizontal="left"/>
    </xf>
    <xf numFmtId="0" fontId="12" fillId="0" borderId="15" xfId="0" applyFont="1" applyBorder="1" applyAlignment="1">
      <alignment horizontal="left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165" fontId="3" fillId="2" borderId="1" xfId="1" applyNumberFormat="1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165" fontId="3" fillId="0" borderId="5" xfId="1" applyNumberFormat="1" applyFont="1" applyBorder="1" applyAlignment="1">
      <alignment horizontal="left"/>
    </xf>
    <xf numFmtId="165" fontId="3" fillId="0" borderId="6" xfId="1" applyNumberFormat="1" applyFont="1" applyBorder="1" applyAlignment="1">
      <alignment horizontal="left"/>
    </xf>
    <xf numFmtId="165" fontId="2" fillId="0" borderId="9" xfId="1" applyNumberFormat="1" applyFont="1" applyBorder="1" applyAlignment="1">
      <alignment horizontal="left"/>
    </xf>
    <xf numFmtId="165" fontId="2" fillId="0" borderId="10" xfId="1" applyNumberFormat="1" applyFont="1" applyBorder="1" applyAlignment="1">
      <alignment horizontal="left"/>
    </xf>
    <xf numFmtId="165" fontId="12" fillId="0" borderId="9" xfId="1" applyNumberFormat="1" applyFont="1" applyBorder="1" applyAlignment="1">
      <alignment horizontal="left"/>
    </xf>
    <xf numFmtId="165" fontId="12" fillId="0" borderId="10" xfId="1" applyNumberFormat="1" applyFont="1" applyBorder="1" applyAlignment="1">
      <alignment horizontal="left"/>
    </xf>
    <xf numFmtId="165" fontId="3" fillId="0" borderId="14" xfId="1" applyNumberFormat="1" applyFont="1" applyBorder="1" applyAlignment="1"/>
    <xf numFmtId="165" fontId="3" fillId="0" borderId="15" xfId="1" applyNumberFormat="1" applyFont="1" applyBorder="1" applyAlignment="1"/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</cellXfs>
  <cellStyles count="3">
    <cellStyle name="Millares" xfId="1" builtinId="3"/>
    <cellStyle name="Normal" xfId="0" builtinId="0"/>
    <cellStyle name="Porcentaje" xfId="2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DE24-0E61-4FA5-9384-AC8E3E518C83}">
  <dimension ref="A1:Z1012"/>
  <sheetViews>
    <sheetView topLeftCell="D1" workbookViewId="0">
      <selection activeCell="H29" sqref="H29"/>
    </sheetView>
  </sheetViews>
  <sheetFormatPr baseColWidth="10" defaultColWidth="14.42578125" defaultRowHeight="15" x14ac:dyDescent="0.25"/>
  <cols>
    <col min="1" max="1" width="3.5703125" customWidth="1"/>
    <col min="2" max="2" width="11.42578125" customWidth="1"/>
    <col min="3" max="3" width="38" customWidth="1"/>
    <col min="4" max="4" width="18.7109375" customWidth="1"/>
    <col min="5" max="5" width="22.140625" customWidth="1"/>
    <col min="6" max="8" width="18.7109375" customWidth="1"/>
    <col min="9" max="9" width="23.42578125" bestFit="1" customWidth="1"/>
    <col min="10" max="10" width="16" customWidth="1"/>
    <col min="11" max="26" width="11.42578125" customWidth="1"/>
  </cols>
  <sheetData>
    <row r="1" spans="1:26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x14ac:dyDescent="0.25">
      <c r="A2" s="28"/>
      <c r="B2" s="28"/>
      <c r="C2" s="29" t="s">
        <v>49</v>
      </c>
      <c r="D2" s="30">
        <f>Analisis!D5*40%</f>
        <v>2000000</v>
      </c>
      <c r="E2" s="29" t="s">
        <v>12</v>
      </c>
      <c r="F2" s="31">
        <v>1</v>
      </c>
      <c r="G2" s="31">
        <v>2</v>
      </c>
      <c r="H2" s="31">
        <v>3</v>
      </c>
      <c r="I2" s="31">
        <v>4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x14ac:dyDescent="0.25">
      <c r="A3" s="28"/>
      <c r="B3" s="28"/>
      <c r="C3" s="29" t="s">
        <v>50</v>
      </c>
      <c r="D3" s="32" t="s">
        <v>51</v>
      </c>
      <c r="E3" s="29" t="s">
        <v>52</v>
      </c>
      <c r="F3" s="30">
        <f>SUM(F16:F27)</f>
        <v>849084.45380474697</v>
      </c>
      <c r="G3" s="30">
        <f>SUM(F28:F39)</f>
        <v>750519.43155399465</v>
      </c>
      <c r="H3" s="30">
        <f>SUM(F40:F51)</f>
        <v>651954.40930324257</v>
      </c>
      <c r="I3" s="30">
        <f>SUM(F52:F63)</f>
        <v>553389.38705249049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x14ac:dyDescent="0.25">
      <c r="A4" s="28"/>
      <c r="B4" s="28"/>
      <c r="C4" s="29" t="s">
        <v>53</v>
      </c>
      <c r="D4" s="32">
        <f>4*12</f>
        <v>48</v>
      </c>
      <c r="E4" s="29" t="s">
        <v>54</v>
      </c>
      <c r="F4" s="30">
        <f>SUM(D16:D27)</f>
        <v>349084.45380474709</v>
      </c>
      <c r="G4" s="30">
        <f>SUM(D28:D39)</f>
        <v>250519.43155399477</v>
      </c>
      <c r="H4" s="30">
        <f>SUM(D40:D51)</f>
        <v>151954.40930324263</v>
      </c>
      <c r="I4" s="30">
        <f>SUM(D52:D63)</f>
        <v>53389.387052490492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x14ac:dyDescent="0.25">
      <c r="A5" s="28"/>
      <c r="B5" s="28"/>
      <c r="C5" s="29" t="s">
        <v>55</v>
      </c>
      <c r="D5" s="32" t="s">
        <v>56</v>
      </c>
      <c r="E5" s="29" t="s">
        <v>57</v>
      </c>
      <c r="F5" s="30">
        <f>SUM(E16:E27)</f>
        <v>500000.00000000006</v>
      </c>
      <c r="G5" s="30">
        <f>SUM(E28:E39)</f>
        <v>500000.00000000006</v>
      </c>
      <c r="H5" s="30">
        <f>SUM(E40:E51)</f>
        <v>500000.00000000006</v>
      </c>
      <c r="I5" s="30">
        <f>SUM(E52:E63)</f>
        <v>500000.00000000006</v>
      </c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x14ac:dyDescent="0.25">
      <c r="A6" s="28"/>
      <c r="B6" s="28"/>
      <c r="C6" s="29" t="s">
        <v>58</v>
      </c>
      <c r="D6" s="33">
        <f>Analisis!D15</f>
        <v>0.25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x14ac:dyDescent="0.25">
      <c r="A7" s="28"/>
      <c r="B7" s="28"/>
      <c r="C7" s="29" t="s">
        <v>59</v>
      </c>
      <c r="D7" s="33">
        <f>((1+D6)^(1/12)) -1</f>
        <v>1.8769265121506118E-2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x14ac:dyDescent="0.25">
      <c r="A8" s="28"/>
      <c r="B8" s="28"/>
      <c r="C8" s="29" t="s">
        <v>60</v>
      </c>
      <c r="D8" s="33">
        <f>Analisis!D12</f>
        <v>2.8000000000000001E-2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x14ac:dyDescent="0.25">
      <c r="A9" s="28"/>
      <c r="B9" s="28"/>
      <c r="C9" s="29" t="s">
        <v>61</v>
      </c>
      <c r="D9" s="33">
        <f>POWER((1+D8),(1/12))-1</f>
        <v>2.3039138595752906E-3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x14ac:dyDescent="0.25">
      <c r="A10" s="28"/>
      <c r="B10" s="28"/>
      <c r="C10" s="29" t="s">
        <v>62</v>
      </c>
      <c r="D10" s="33">
        <f>((1+D7)/(1+D9))-1</f>
        <v>1.6427503708458691E-2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x14ac:dyDescent="0.25">
      <c r="A11" s="28"/>
      <c r="B11" s="28"/>
      <c r="C11" s="29" t="s">
        <v>63</v>
      </c>
      <c r="D11" s="30">
        <f>D2*((F12*POWER((1+D10),36))/(POWER((1+D10),36)-1))</f>
        <v>74035.025984954656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x14ac:dyDescent="0.25">
      <c r="A12" s="28"/>
      <c r="B12" s="28"/>
      <c r="C12" s="34" t="s">
        <v>64</v>
      </c>
      <c r="D12" s="30">
        <f>D2</f>
        <v>2000000</v>
      </c>
      <c r="E12" s="35" t="s">
        <v>65</v>
      </c>
      <c r="F12" s="33">
        <f>D10</f>
        <v>1.6427503708458691E-2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x14ac:dyDescent="0.25">
      <c r="A14" s="28"/>
      <c r="B14" s="36"/>
      <c r="C14" s="31" t="s">
        <v>66</v>
      </c>
      <c r="D14" s="31" t="s">
        <v>67</v>
      </c>
      <c r="E14" s="31" t="s">
        <v>68</v>
      </c>
      <c r="F14" s="31" t="s">
        <v>63</v>
      </c>
      <c r="G14" s="41"/>
      <c r="H14" s="28"/>
      <c r="I14" s="37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6" x14ac:dyDescent="0.25">
      <c r="A15" s="28"/>
      <c r="B15" s="32"/>
      <c r="C15" s="30">
        <f>D12</f>
        <v>2000000</v>
      </c>
      <c r="D15" s="30"/>
      <c r="E15" s="30"/>
      <c r="F15" s="30"/>
      <c r="G15" s="42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6" x14ac:dyDescent="0.25">
      <c r="A16" s="28"/>
      <c r="B16" s="32">
        <v>1</v>
      </c>
      <c r="C16" s="30">
        <f>C15-E16</f>
        <v>1958333.3333333333</v>
      </c>
      <c r="D16" s="30">
        <f>C15*$D$10</f>
        <v>32855.007416917382</v>
      </c>
      <c r="E16" s="30">
        <f>$C$15/$D$4</f>
        <v>41666.666666666664</v>
      </c>
      <c r="F16" s="30">
        <f>D16+E16</f>
        <v>74521.674083584046</v>
      </c>
      <c r="G16" s="42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x14ac:dyDescent="0.25">
      <c r="A17" s="28"/>
      <c r="B17" s="32">
        <v>2</v>
      </c>
      <c r="C17" s="30">
        <f>C16-E17</f>
        <v>1916666.6666666665</v>
      </c>
      <c r="D17" s="30">
        <f>C16*$D$10</f>
        <v>32170.528095731603</v>
      </c>
      <c r="E17" s="30">
        <f>$C$15/$D$4</f>
        <v>41666.666666666664</v>
      </c>
      <c r="F17" s="30">
        <f t="shared" ref="F17:F63" si="0">D17+E17</f>
        <v>73837.194762398271</v>
      </c>
      <c r="G17" s="42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x14ac:dyDescent="0.25">
      <c r="A18" s="28"/>
      <c r="B18" s="32">
        <v>3</v>
      </c>
      <c r="C18" s="30">
        <f>C17-E18</f>
        <v>1874999.9999999998</v>
      </c>
      <c r="D18" s="30">
        <f t="shared" ref="D18:D63" si="1">C17*$D$10</f>
        <v>31486.048774545819</v>
      </c>
      <c r="E18" s="30">
        <f t="shared" ref="E18:E63" si="2">$C$15/$D$4</f>
        <v>41666.666666666664</v>
      </c>
      <c r="F18" s="30">
        <f t="shared" si="0"/>
        <v>73152.71544121248</v>
      </c>
      <c r="G18" s="42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x14ac:dyDescent="0.25">
      <c r="A19" s="28"/>
      <c r="B19" s="32">
        <v>4</v>
      </c>
      <c r="C19" s="30">
        <f>C18-E19</f>
        <v>1833333.333333333</v>
      </c>
      <c r="D19" s="30">
        <f t="shared" si="1"/>
        <v>30801.56945336004</v>
      </c>
      <c r="E19" s="30">
        <f t="shared" si="2"/>
        <v>41666.666666666664</v>
      </c>
      <c r="F19" s="30">
        <f t="shared" si="0"/>
        <v>72468.236120026704</v>
      </c>
      <c r="G19" s="42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x14ac:dyDescent="0.25">
      <c r="A20" s="28"/>
      <c r="B20" s="32">
        <v>5</v>
      </c>
      <c r="C20" s="30">
        <f>C19-E20</f>
        <v>1791666.6666666663</v>
      </c>
      <c r="D20" s="30">
        <f t="shared" si="1"/>
        <v>30117.09013217426</v>
      </c>
      <c r="E20" s="30">
        <f t="shared" si="2"/>
        <v>41666.666666666664</v>
      </c>
      <c r="F20" s="30">
        <f t="shared" si="0"/>
        <v>71783.756798840928</v>
      </c>
      <c r="G20" s="42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ht="15.75" customHeight="1" x14ac:dyDescent="0.25">
      <c r="A21" s="28"/>
      <c r="B21" s="32">
        <v>6</v>
      </c>
      <c r="C21" s="30">
        <f t="shared" ref="C21:C63" si="3">C20-E21</f>
        <v>1749999.9999999995</v>
      </c>
      <c r="D21" s="30">
        <f t="shared" si="1"/>
        <v>29432.610810988481</v>
      </c>
      <c r="E21" s="30">
        <f t="shared" si="2"/>
        <v>41666.666666666664</v>
      </c>
      <c r="F21" s="30">
        <f t="shared" si="0"/>
        <v>71099.277477655152</v>
      </c>
      <c r="G21" s="42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ht="15.75" customHeight="1" x14ac:dyDescent="0.25">
      <c r="A22" s="28"/>
      <c r="B22" s="32">
        <v>7</v>
      </c>
      <c r="C22" s="30">
        <f t="shared" si="3"/>
        <v>1708333.3333333328</v>
      </c>
      <c r="D22" s="30">
        <f t="shared" si="1"/>
        <v>28748.131489802701</v>
      </c>
      <c r="E22" s="30">
        <f t="shared" si="2"/>
        <v>41666.666666666664</v>
      </c>
      <c r="F22" s="30">
        <f t="shared" si="0"/>
        <v>70414.798156469362</v>
      </c>
      <c r="G22" s="42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ht="15.75" customHeight="1" x14ac:dyDescent="0.25">
      <c r="A23" s="28"/>
      <c r="B23" s="32">
        <v>8</v>
      </c>
      <c r="C23" s="30">
        <f t="shared" si="3"/>
        <v>1666666.666666666</v>
      </c>
      <c r="D23" s="30">
        <f t="shared" si="1"/>
        <v>28063.652168616922</v>
      </c>
      <c r="E23" s="30">
        <f t="shared" si="2"/>
        <v>41666.666666666664</v>
      </c>
      <c r="F23" s="30">
        <f t="shared" si="0"/>
        <v>69730.318835283586</v>
      </c>
      <c r="G23" s="42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ht="15.75" customHeight="1" x14ac:dyDescent="0.25">
      <c r="A24" s="28"/>
      <c r="B24" s="32">
        <v>9</v>
      </c>
      <c r="C24" s="30">
        <f t="shared" si="3"/>
        <v>1624999.9999999993</v>
      </c>
      <c r="D24" s="30">
        <f t="shared" si="1"/>
        <v>27379.172847431142</v>
      </c>
      <c r="E24" s="30">
        <f t="shared" si="2"/>
        <v>41666.666666666664</v>
      </c>
      <c r="F24" s="30">
        <f t="shared" si="0"/>
        <v>69045.83951409781</v>
      </c>
      <c r="G24" s="42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ht="15.75" customHeight="1" x14ac:dyDescent="0.25">
      <c r="A25" s="28"/>
      <c r="B25" s="32">
        <v>10</v>
      </c>
      <c r="C25" s="30">
        <f t="shared" si="3"/>
        <v>1583333.3333333326</v>
      </c>
      <c r="D25" s="30">
        <f t="shared" si="1"/>
        <v>26694.693526245359</v>
      </c>
      <c r="E25" s="30">
        <f t="shared" si="2"/>
        <v>41666.666666666664</v>
      </c>
      <c r="F25" s="30">
        <f t="shared" si="0"/>
        <v>68361.36019291202</v>
      </c>
      <c r="G25" s="42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ht="15.75" customHeight="1" x14ac:dyDescent="0.25">
      <c r="A26" s="28"/>
      <c r="B26" s="32">
        <v>11</v>
      </c>
      <c r="C26" s="30">
        <f t="shared" si="3"/>
        <v>1541666.6666666658</v>
      </c>
      <c r="D26" s="30">
        <f>C25*$D$10</f>
        <v>26010.214205059579</v>
      </c>
      <c r="E26" s="30">
        <f t="shared" si="2"/>
        <v>41666.666666666664</v>
      </c>
      <c r="F26" s="30">
        <f t="shared" si="0"/>
        <v>67676.880871726244</v>
      </c>
      <c r="G26" s="42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ht="15.75" customHeight="1" x14ac:dyDescent="0.25">
      <c r="A27" s="28"/>
      <c r="B27" s="32">
        <v>12</v>
      </c>
      <c r="C27" s="30">
        <f t="shared" si="3"/>
        <v>1499999.9999999991</v>
      </c>
      <c r="D27" s="30">
        <f t="shared" si="1"/>
        <v>25325.7348838738</v>
      </c>
      <c r="E27" s="30">
        <f t="shared" si="2"/>
        <v>41666.666666666664</v>
      </c>
      <c r="F27" s="30">
        <f t="shared" si="0"/>
        <v>66992.401550540468</v>
      </c>
      <c r="G27" s="42"/>
      <c r="H27" s="28"/>
      <c r="I27" s="3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ht="15.75" customHeight="1" x14ac:dyDescent="0.25">
      <c r="A28" s="28"/>
      <c r="B28" s="32">
        <v>13</v>
      </c>
      <c r="C28" s="30">
        <f t="shared" si="3"/>
        <v>1458333.3333333323</v>
      </c>
      <c r="D28" s="30">
        <f t="shared" si="1"/>
        <v>24641.25556268802</v>
      </c>
      <c r="E28" s="30">
        <f t="shared" si="2"/>
        <v>41666.666666666664</v>
      </c>
      <c r="F28" s="30">
        <f t="shared" si="0"/>
        <v>66307.922229354677</v>
      </c>
      <c r="G28" s="42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ht="15.75" customHeight="1" x14ac:dyDescent="0.25">
      <c r="A29" s="28"/>
      <c r="B29" s="32">
        <v>14</v>
      </c>
      <c r="C29" s="30">
        <f t="shared" si="3"/>
        <v>1416666.6666666656</v>
      </c>
      <c r="D29" s="30">
        <f t="shared" si="1"/>
        <v>23956.776241502241</v>
      </c>
      <c r="E29" s="30">
        <f t="shared" si="2"/>
        <v>41666.666666666664</v>
      </c>
      <c r="F29" s="30">
        <f t="shared" si="0"/>
        <v>65623.442908168901</v>
      </c>
      <c r="G29" s="42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ht="15.75" customHeight="1" x14ac:dyDescent="0.25">
      <c r="A30" s="28"/>
      <c r="B30" s="32">
        <v>15</v>
      </c>
      <c r="C30" s="30">
        <f t="shared" si="3"/>
        <v>1374999.9999999988</v>
      </c>
      <c r="D30" s="30">
        <f t="shared" si="1"/>
        <v>23272.296920316461</v>
      </c>
      <c r="E30" s="30">
        <f t="shared" si="2"/>
        <v>41666.666666666664</v>
      </c>
      <c r="F30" s="30">
        <f t="shared" si="0"/>
        <v>64938.963586983125</v>
      </c>
      <c r="G30" s="42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ht="15.75" customHeight="1" x14ac:dyDescent="0.25">
      <c r="A31" s="28"/>
      <c r="B31" s="32">
        <v>16</v>
      </c>
      <c r="C31" s="30">
        <f t="shared" si="3"/>
        <v>1333333.3333333321</v>
      </c>
      <c r="D31" s="30">
        <f t="shared" si="1"/>
        <v>22587.817599130682</v>
      </c>
      <c r="E31" s="30">
        <f t="shared" si="2"/>
        <v>41666.666666666664</v>
      </c>
      <c r="F31" s="30">
        <f t="shared" si="0"/>
        <v>64254.48426579735</v>
      </c>
      <c r="G31" s="42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5" ht="15.75" customHeight="1" x14ac:dyDescent="0.25">
      <c r="A32" s="28"/>
      <c r="B32" s="32">
        <v>17</v>
      </c>
      <c r="C32" s="30">
        <f t="shared" si="3"/>
        <v>1291666.6666666653</v>
      </c>
      <c r="D32" s="30">
        <f t="shared" si="1"/>
        <v>21903.338277944902</v>
      </c>
      <c r="E32" s="30">
        <f t="shared" si="2"/>
        <v>41666.666666666664</v>
      </c>
      <c r="F32" s="30">
        <f t="shared" si="0"/>
        <v>63570.004944611566</v>
      </c>
      <c r="G32" s="42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5" ht="15.75" customHeight="1" x14ac:dyDescent="0.25">
      <c r="A33" s="28"/>
      <c r="B33" s="32">
        <v>18</v>
      </c>
      <c r="C33" s="30">
        <f t="shared" si="3"/>
        <v>1249999.9999999986</v>
      </c>
      <c r="D33" s="30">
        <f t="shared" si="1"/>
        <v>21218.858956759119</v>
      </c>
      <c r="E33" s="30">
        <f t="shared" si="2"/>
        <v>41666.666666666664</v>
      </c>
      <c r="F33" s="30">
        <f t="shared" si="0"/>
        <v>62885.525623425783</v>
      </c>
      <c r="G33" s="42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spans="1:25" ht="15.75" customHeight="1" x14ac:dyDescent="0.25">
      <c r="A34" s="28"/>
      <c r="B34" s="32">
        <v>19</v>
      </c>
      <c r="C34" s="30">
        <f t="shared" si="3"/>
        <v>1208333.3333333319</v>
      </c>
      <c r="D34" s="30">
        <f t="shared" si="1"/>
        <v>20534.379635573339</v>
      </c>
      <c r="E34" s="30">
        <f t="shared" si="2"/>
        <v>41666.666666666664</v>
      </c>
      <c r="F34" s="30">
        <f t="shared" si="0"/>
        <v>62201.046302240007</v>
      </c>
      <c r="G34" s="42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:25" ht="15.75" customHeight="1" x14ac:dyDescent="0.25">
      <c r="A35" s="28"/>
      <c r="B35" s="32">
        <v>20</v>
      </c>
      <c r="C35" s="30">
        <f t="shared" si="3"/>
        <v>1166666.6666666651</v>
      </c>
      <c r="D35" s="30">
        <f t="shared" si="1"/>
        <v>19849.90031438756</v>
      </c>
      <c r="E35" s="30">
        <f t="shared" si="2"/>
        <v>41666.666666666664</v>
      </c>
      <c r="F35" s="30">
        <f t="shared" si="0"/>
        <v>61516.566981054224</v>
      </c>
      <c r="G35" s="42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spans="1:25" ht="15.75" customHeight="1" x14ac:dyDescent="0.25">
      <c r="A36" s="28"/>
      <c r="B36" s="32">
        <v>21</v>
      </c>
      <c r="C36" s="30">
        <f t="shared" si="3"/>
        <v>1124999.9999999984</v>
      </c>
      <c r="D36" s="30">
        <f t="shared" si="1"/>
        <v>19165.42099320178</v>
      </c>
      <c r="E36" s="30">
        <f t="shared" si="2"/>
        <v>41666.666666666664</v>
      </c>
      <c r="F36" s="30">
        <f t="shared" si="0"/>
        <v>60832.087659868441</v>
      </c>
      <c r="G36" s="42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:25" ht="15.75" customHeight="1" x14ac:dyDescent="0.25">
      <c r="A37" s="28"/>
      <c r="B37" s="32">
        <v>22</v>
      </c>
      <c r="C37" s="30">
        <f t="shared" si="3"/>
        <v>1083333.3333333316</v>
      </c>
      <c r="D37" s="30">
        <f t="shared" si="1"/>
        <v>18480.941672016001</v>
      </c>
      <c r="E37" s="30">
        <f t="shared" si="2"/>
        <v>41666.666666666664</v>
      </c>
      <c r="F37" s="30">
        <f t="shared" si="0"/>
        <v>60147.608338682665</v>
      </c>
      <c r="G37" s="42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1:25" ht="15.75" customHeight="1" x14ac:dyDescent="0.25">
      <c r="A38" s="28"/>
      <c r="B38" s="32">
        <v>23</v>
      </c>
      <c r="C38" s="30">
        <f t="shared" si="3"/>
        <v>1041666.666666665</v>
      </c>
      <c r="D38" s="30">
        <f t="shared" si="1"/>
        <v>17796.462350830221</v>
      </c>
      <c r="E38" s="30">
        <f t="shared" si="2"/>
        <v>41666.666666666664</v>
      </c>
      <c r="F38" s="30">
        <f t="shared" si="0"/>
        <v>59463.129017496889</v>
      </c>
      <c r="G38" s="42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spans="1:25" ht="15.75" customHeight="1" x14ac:dyDescent="0.25">
      <c r="A39" s="28"/>
      <c r="B39" s="32">
        <v>24</v>
      </c>
      <c r="C39" s="30">
        <f t="shared" si="3"/>
        <v>999999.99999999837</v>
      </c>
      <c r="D39" s="30">
        <f t="shared" si="1"/>
        <v>17111.983029644442</v>
      </c>
      <c r="E39" s="30">
        <f t="shared" si="2"/>
        <v>41666.666666666664</v>
      </c>
      <c r="F39" s="30">
        <f t="shared" si="0"/>
        <v>58778.649696311106</v>
      </c>
      <c r="G39" s="42"/>
      <c r="H39" s="28"/>
      <c r="I39" s="3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25" ht="15.75" customHeight="1" x14ac:dyDescent="0.25">
      <c r="A40" s="28"/>
      <c r="B40" s="32">
        <v>25</v>
      </c>
      <c r="C40" s="30">
        <f t="shared" si="3"/>
        <v>958333.33333333174</v>
      </c>
      <c r="D40" s="30">
        <f t="shared" si="1"/>
        <v>16427.503708458662</v>
      </c>
      <c r="E40" s="30">
        <f t="shared" si="2"/>
        <v>41666.666666666664</v>
      </c>
      <c r="F40" s="30">
        <f t="shared" si="0"/>
        <v>58094.170375125323</v>
      </c>
      <c r="G40" s="42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 ht="15.75" customHeight="1" x14ac:dyDescent="0.25">
      <c r="A41" s="28"/>
      <c r="B41" s="32">
        <v>26</v>
      </c>
      <c r="C41" s="30">
        <f t="shared" si="3"/>
        <v>916666.66666666511</v>
      </c>
      <c r="D41" s="30">
        <f t="shared" si="1"/>
        <v>15743.024387272886</v>
      </c>
      <c r="E41" s="30">
        <f t="shared" si="2"/>
        <v>41666.666666666664</v>
      </c>
      <c r="F41" s="30">
        <f t="shared" si="0"/>
        <v>57409.691053939547</v>
      </c>
      <c r="G41" s="42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 ht="15.75" customHeight="1" x14ac:dyDescent="0.25">
      <c r="A42" s="28"/>
      <c r="B42" s="32">
        <v>27</v>
      </c>
      <c r="C42" s="30">
        <f t="shared" si="3"/>
        <v>874999.99999999849</v>
      </c>
      <c r="D42" s="30">
        <f t="shared" si="1"/>
        <v>15058.545066087108</v>
      </c>
      <c r="E42" s="30">
        <f t="shared" si="2"/>
        <v>41666.666666666664</v>
      </c>
      <c r="F42" s="30">
        <f t="shared" si="0"/>
        <v>56725.211732753771</v>
      </c>
      <c r="G42" s="42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spans="1:25" ht="15.75" customHeight="1" x14ac:dyDescent="0.25">
      <c r="A43" s="28"/>
      <c r="B43" s="32">
        <v>28</v>
      </c>
      <c r="C43" s="30">
        <f t="shared" si="3"/>
        <v>833333.33333333186</v>
      </c>
      <c r="D43" s="30">
        <f t="shared" si="1"/>
        <v>14374.065744901329</v>
      </c>
      <c r="E43" s="30">
        <f t="shared" si="2"/>
        <v>41666.666666666664</v>
      </c>
      <c r="F43" s="30">
        <f t="shared" si="0"/>
        <v>56040.732411567995</v>
      </c>
      <c r="G43" s="42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spans="1:25" ht="15.75" customHeight="1" x14ac:dyDescent="0.25">
      <c r="A44" s="28"/>
      <c r="B44" s="32">
        <v>29</v>
      </c>
      <c r="C44" s="30">
        <f t="shared" si="3"/>
        <v>791666.66666666523</v>
      </c>
      <c r="D44" s="30">
        <f t="shared" si="1"/>
        <v>13689.586423715551</v>
      </c>
      <c r="E44" s="30">
        <f t="shared" si="2"/>
        <v>41666.666666666664</v>
      </c>
      <c r="F44" s="30">
        <f t="shared" si="0"/>
        <v>55356.253090382219</v>
      </c>
      <c r="G44" s="42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spans="1:25" ht="15.75" customHeight="1" x14ac:dyDescent="0.25">
      <c r="A45" s="28"/>
      <c r="B45" s="32">
        <v>30</v>
      </c>
      <c r="C45" s="30">
        <f t="shared" si="3"/>
        <v>749999.9999999986</v>
      </c>
      <c r="D45" s="30">
        <f t="shared" si="1"/>
        <v>13005.107102529773</v>
      </c>
      <c r="E45" s="30">
        <f t="shared" si="2"/>
        <v>41666.666666666664</v>
      </c>
      <c r="F45" s="30">
        <f t="shared" si="0"/>
        <v>54671.773769196436</v>
      </c>
      <c r="G45" s="42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 ht="15.75" customHeight="1" x14ac:dyDescent="0.25">
      <c r="A46" s="28"/>
      <c r="B46" s="32">
        <v>31</v>
      </c>
      <c r="C46" s="30">
        <f t="shared" si="3"/>
        <v>708333.33333333198</v>
      </c>
      <c r="D46" s="30">
        <f t="shared" si="1"/>
        <v>12320.627781343996</v>
      </c>
      <c r="E46" s="30">
        <f t="shared" si="2"/>
        <v>41666.666666666664</v>
      </c>
      <c r="F46" s="30">
        <f t="shared" si="0"/>
        <v>53987.29444801066</v>
      </c>
      <c r="G46" s="42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spans="1:25" ht="15.75" customHeight="1" x14ac:dyDescent="0.25">
      <c r="A47" s="28"/>
      <c r="B47" s="32">
        <v>32</v>
      </c>
      <c r="C47" s="30">
        <f t="shared" si="3"/>
        <v>666666.66666666535</v>
      </c>
      <c r="D47" s="30">
        <f t="shared" si="1"/>
        <v>11636.148460158216</v>
      </c>
      <c r="E47" s="30">
        <f t="shared" si="2"/>
        <v>41666.666666666664</v>
      </c>
      <c r="F47" s="30">
        <f t="shared" si="0"/>
        <v>53302.815126824877</v>
      </c>
      <c r="G47" s="42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spans="1:25" ht="15.75" customHeight="1" x14ac:dyDescent="0.25">
      <c r="A48" s="28"/>
      <c r="B48" s="32">
        <v>33</v>
      </c>
      <c r="C48" s="30">
        <f t="shared" si="3"/>
        <v>624999.99999999872</v>
      </c>
      <c r="D48" s="30">
        <f t="shared" si="1"/>
        <v>10951.669138972438</v>
      </c>
      <c r="E48" s="30">
        <f t="shared" si="2"/>
        <v>41666.666666666664</v>
      </c>
      <c r="F48" s="30">
        <f t="shared" si="0"/>
        <v>52618.335805639101</v>
      </c>
      <c r="G48" s="42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spans="1:26" ht="15.75" customHeight="1" x14ac:dyDescent="0.25">
      <c r="A49" s="28"/>
      <c r="B49" s="32">
        <v>34</v>
      </c>
      <c r="C49" s="30">
        <f t="shared" si="3"/>
        <v>583333.33333333209</v>
      </c>
      <c r="D49" s="30">
        <f t="shared" si="1"/>
        <v>10267.189817786661</v>
      </c>
      <c r="E49" s="30">
        <f t="shared" si="2"/>
        <v>41666.666666666664</v>
      </c>
      <c r="F49" s="30">
        <f t="shared" si="0"/>
        <v>51933.856484453325</v>
      </c>
      <c r="G49" s="42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spans="1:26" ht="15.75" customHeight="1" x14ac:dyDescent="0.25">
      <c r="A50" s="28"/>
      <c r="B50" s="32">
        <v>35</v>
      </c>
      <c r="C50" s="30">
        <f t="shared" si="3"/>
        <v>541666.66666666546</v>
      </c>
      <c r="D50" s="30">
        <f t="shared" si="1"/>
        <v>9582.7104966008828</v>
      </c>
      <c r="E50" s="30">
        <f t="shared" si="2"/>
        <v>41666.666666666664</v>
      </c>
      <c r="F50" s="30">
        <f t="shared" si="0"/>
        <v>51249.377163267549</v>
      </c>
      <c r="G50" s="42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spans="1:26" ht="15.75" customHeight="1" x14ac:dyDescent="0.25">
      <c r="A51" s="28"/>
      <c r="B51" s="32">
        <v>36</v>
      </c>
      <c r="C51" s="30">
        <f t="shared" si="3"/>
        <v>499999.99999999878</v>
      </c>
      <c r="D51" s="30">
        <f t="shared" si="1"/>
        <v>8898.2311754151051</v>
      </c>
      <c r="E51" s="30">
        <f t="shared" si="2"/>
        <v>41666.666666666664</v>
      </c>
      <c r="F51" s="30">
        <f t="shared" si="0"/>
        <v>50564.897842081773</v>
      </c>
      <c r="G51" s="42"/>
      <c r="H51" s="28"/>
      <c r="I51" s="3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spans="1:26" ht="15.75" customHeight="1" x14ac:dyDescent="0.25">
      <c r="A52" s="28"/>
      <c r="B52" s="32">
        <v>37</v>
      </c>
      <c r="C52" s="30">
        <f t="shared" si="3"/>
        <v>458333.33333333209</v>
      </c>
      <c r="D52" s="30">
        <f t="shared" si="1"/>
        <v>8213.7518542293255</v>
      </c>
      <c r="E52" s="30">
        <f t="shared" si="2"/>
        <v>41666.666666666664</v>
      </c>
      <c r="F52" s="30">
        <f t="shared" si="0"/>
        <v>49880.41852089599</v>
      </c>
      <c r="G52" s="42"/>
      <c r="H52" s="28"/>
      <c r="I52" s="3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6" ht="15.75" customHeight="1" x14ac:dyDescent="0.25">
      <c r="A53" s="28"/>
      <c r="B53" s="32">
        <v>38</v>
      </c>
      <c r="C53" s="30">
        <f t="shared" si="3"/>
        <v>416666.66666666541</v>
      </c>
      <c r="D53" s="30">
        <f t="shared" si="1"/>
        <v>7529.272533043546</v>
      </c>
      <c r="E53" s="30">
        <f t="shared" si="2"/>
        <v>41666.666666666664</v>
      </c>
      <c r="F53" s="30">
        <f t="shared" si="0"/>
        <v>49195.939199710207</v>
      </c>
      <c r="G53" s="42"/>
      <c r="H53" s="28"/>
      <c r="I53" s="3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6" ht="15.75" customHeight="1" x14ac:dyDescent="0.25">
      <c r="A54" s="28"/>
      <c r="B54" s="32">
        <v>39</v>
      </c>
      <c r="C54" s="30">
        <f t="shared" si="3"/>
        <v>374999.99999999872</v>
      </c>
      <c r="D54" s="30">
        <f t="shared" si="1"/>
        <v>6844.7932118577673</v>
      </c>
      <c r="E54" s="30">
        <f t="shared" si="2"/>
        <v>41666.666666666664</v>
      </c>
      <c r="F54" s="30">
        <f t="shared" si="0"/>
        <v>48511.459878524431</v>
      </c>
      <c r="G54" s="42"/>
      <c r="H54" s="28"/>
      <c r="I54" s="3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6" ht="15.75" customHeight="1" x14ac:dyDescent="0.25">
      <c r="A55" s="28"/>
      <c r="B55" s="32">
        <v>40</v>
      </c>
      <c r="C55" s="30">
        <f t="shared" si="3"/>
        <v>333333.33333333203</v>
      </c>
      <c r="D55" s="30">
        <f t="shared" si="1"/>
        <v>6160.3138906719878</v>
      </c>
      <c r="E55" s="30">
        <f t="shared" si="2"/>
        <v>41666.666666666664</v>
      </c>
      <c r="F55" s="30">
        <f t="shared" si="0"/>
        <v>47826.980557338655</v>
      </c>
      <c r="G55" s="42"/>
      <c r="H55" s="28"/>
      <c r="I55" s="3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6" ht="15.75" customHeight="1" x14ac:dyDescent="0.25">
      <c r="A56" s="28"/>
      <c r="B56" s="32">
        <v>41</v>
      </c>
      <c r="C56" s="30">
        <f t="shared" si="3"/>
        <v>291666.66666666535</v>
      </c>
      <c r="D56" s="30">
        <f t="shared" si="1"/>
        <v>5475.8345694862091</v>
      </c>
      <c r="E56" s="30">
        <f t="shared" si="2"/>
        <v>41666.666666666664</v>
      </c>
      <c r="F56" s="30">
        <f t="shared" si="0"/>
        <v>47142.501236152872</v>
      </c>
      <c r="G56" s="42"/>
      <c r="H56" s="28"/>
      <c r="I56" s="3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6" ht="15.75" customHeight="1" x14ac:dyDescent="0.25">
      <c r="A57" s="28"/>
      <c r="B57" s="32">
        <v>42</v>
      </c>
      <c r="C57" s="30">
        <f t="shared" si="3"/>
        <v>249999.99999999869</v>
      </c>
      <c r="D57" s="30">
        <f t="shared" si="1"/>
        <v>4791.3552483004296</v>
      </c>
      <c r="E57" s="30">
        <f t="shared" si="2"/>
        <v>41666.666666666664</v>
      </c>
      <c r="F57" s="30">
        <f t="shared" si="0"/>
        <v>46458.021914967096</v>
      </c>
      <c r="G57" s="42"/>
      <c r="H57" s="28"/>
      <c r="I57" s="3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6" ht="15.75" customHeight="1" x14ac:dyDescent="0.25">
      <c r="A58" s="28"/>
      <c r="B58" s="32">
        <v>43</v>
      </c>
      <c r="C58" s="30">
        <f t="shared" si="3"/>
        <v>208333.33333333203</v>
      </c>
      <c r="D58" s="30">
        <f t="shared" si="1"/>
        <v>4106.8759271146509</v>
      </c>
      <c r="E58" s="30">
        <f t="shared" si="2"/>
        <v>41666.666666666664</v>
      </c>
      <c r="F58" s="30">
        <f t="shared" si="0"/>
        <v>45773.542593781312</v>
      </c>
      <c r="G58" s="42"/>
      <c r="H58" s="28"/>
      <c r="I58" s="3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6" ht="15.75" customHeight="1" x14ac:dyDescent="0.25">
      <c r="A59" s="28"/>
      <c r="B59" s="32">
        <v>44</v>
      </c>
      <c r="C59" s="30">
        <f t="shared" si="3"/>
        <v>166666.66666666538</v>
      </c>
      <c r="D59" s="30">
        <f t="shared" si="1"/>
        <v>3422.3966059288723</v>
      </c>
      <c r="E59" s="30">
        <f t="shared" si="2"/>
        <v>41666.666666666664</v>
      </c>
      <c r="F59" s="30">
        <f t="shared" si="0"/>
        <v>45089.063272595537</v>
      </c>
      <c r="G59" s="42"/>
      <c r="H59" s="28"/>
      <c r="I59" s="3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6" ht="15.75" customHeight="1" x14ac:dyDescent="0.25">
      <c r="A60" s="28"/>
      <c r="B60" s="32">
        <v>45</v>
      </c>
      <c r="C60" s="30">
        <f t="shared" si="3"/>
        <v>124999.99999999872</v>
      </c>
      <c r="D60" s="30">
        <f t="shared" si="1"/>
        <v>2737.9172847430941</v>
      </c>
      <c r="E60" s="30">
        <f t="shared" si="2"/>
        <v>41666.666666666664</v>
      </c>
      <c r="F60" s="30">
        <f t="shared" si="0"/>
        <v>44404.583951409761</v>
      </c>
      <c r="G60" s="42"/>
      <c r="H60" s="28"/>
      <c r="I60" s="3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6" ht="15.75" customHeight="1" x14ac:dyDescent="0.25">
      <c r="A61" s="28"/>
      <c r="B61" s="32">
        <v>46</v>
      </c>
      <c r="C61" s="30">
        <f t="shared" si="3"/>
        <v>83333.333333332062</v>
      </c>
      <c r="D61" s="30">
        <f t="shared" si="1"/>
        <v>2053.4379635573155</v>
      </c>
      <c r="E61" s="30">
        <f t="shared" si="2"/>
        <v>41666.666666666664</v>
      </c>
      <c r="F61" s="30">
        <f t="shared" si="0"/>
        <v>43720.104630223977</v>
      </c>
      <c r="G61" s="42"/>
      <c r="H61" s="28"/>
      <c r="I61" s="3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6" ht="15.75" customHeight="1" x14ac:dyDescent="0.25">
      <c r="A62" s="28"/>
      <c r="B62" s="32">
        <v>47</v>
      </c>
      <c r="C62" s="30">
        <f t="shared" si="3"/>
        <v>41666.666666665398</v>
      </c>
      <c r="D62" s="30">
        <f t="shared" si="1"/>
        <v>1368.9586423715366</v>
      </c>
      <c r="E62" s="30">
        <f t="shared" si="2"/>
        <v>41666.666666666664</v>
      </c>
      <c r="F62" s="30">
        <f t="shared" si="0"/>
        <v>43035.625309038202</v>
      </c>
      <c r="G62" s="42"/>
      <c r="H62" s="28"/>
      <c r="I62" s="3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6" ht="15.75" customHeight="1" x14ac:dyDescent="0.25">
      <c r="A63" s="28"/>
      <c r="B63" s="32">
        <v>48</v>
      </c>
      <c r="C63" s="30">
        <f t="shared" si="3"/>
        <v>-1.2660166248679161E-9</v>
      </c>
      <c r="D63" s="30">
        <f t="shared" si="1"/>
        <v>684.47932118575795</v>
      </c>
      <c r="E63" s="30">
        <f t="shared" si="2"/>
        <v>41666.666666666664</v>
      </c>
      <c r="F63" s="30">
        <f t="shared" si="0"/>
        <v>42351.145987852426</v>
      </c>
      <c r="G63" s="42"/>
      <c r="H63" s="28"/>
      <c r="I63" s="3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6" ht="15.75" customHeight="1" x14ac:dyDescent="0.25">
      <c r="A64" s="28"/>
      <c r="B64" s="39"/>
      <c r="C64" s="31" t="s">
        <v>69</v>
      </c>
      <c r="D64" s="40">
        <f>SUM(D16:D63)</f>
        <v>804947.68171447492</v>
      </c>
      <c r="E64" s="40">
        <f>SUM(E16:E63)</f>
        <v>2000000.0000000014</v>
      </c>
      <c r="F64" s="40">
        <f>SUM(F16:F63)</f>
        <v>2804947.6817144742</v>
      </c>
      <c r="G64" s="42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 x14ac:dyDescent="0.2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 x14ac:dyDescent="0.2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 x14ac:dyDescent="0.2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 x14ac:dyDescent="0.2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 x14ac:dyDescent="0.2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 x14ac:dyDescent="0.2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 x14ac:dyDescent="0.2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 x14ac:dyDescent="0.2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 x14ac:dyDescent="0.2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 x14ac:dyDescent="0.2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 x14ac:dyDescent="0.2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 x14ac:dyDescent="0.2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 x14ac:dyDescent="0.2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 x14ac:dyDescent="0.2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 x14ac:dyDescent="0.2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 x14ac:dyDescent="0.2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 x14ac:dyDescent="0.2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 x14ac:dyDescent="0.2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 x14ac:dyDescent="0.2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 x14ac:dyDescent="0.2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 x14ac:dyDescent="0.2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 x14ac:dyDescent="0.2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 x14ac:dyDescent="0.2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 x14ac:dyDescent="0.2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 x14ac:dyDescent="0.2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 x14ac:dyDescent="0.2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 x14ac:dyDescent="0.2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 x14ac:dyDescent="0.2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 x14ac:dyDescent="0.2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 x14ac:dyDescent="0.2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 x14ac:dyDescent="0.2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 x14ac:dyDescent="0.2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 x14ac:dyDescent="0.2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 x14ac:dyDescent="0.2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 x14ac:dyDescent="0.2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 x14ac:dyDescent="0.2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 x14ac:dyDescent="0.2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 x14ac:dyDescent="0.2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 x14ac:dyDescent="0.2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 x14ac:dyDescent="0.2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 x14ac:dyDescent="0.2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 x14ac:dyDescent="0.2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 x14ac:dyDescent="0.2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 x14ac:dyDescent="0.2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 x14ac:dyDescent="0.2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 x14ac:dyDescent="0.2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 x14ac:dyDescent="0.2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 x14ac:dyDescent="0.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 x14ac:dyDescent="0.2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 x14ac:dyDescent="0.2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 x14ac:dyDescent="0.2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 x14ac:dyDescent="0.2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 x14ac:dyDescent="0.2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 x14ac:dyDescent="0.2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 x14ac:dyDescent="0.2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 x14ac:dyDescent="0.2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 x14ac:dyDescent="0.2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 x14ac:dyDescent="0.2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 x14ac:dyDescent="0.25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 x14ac:dyDescent="0.25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 x14ac:dyDescent="0.2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 x14ac:dyDescent="0.2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 x14ac:dyDescent="0.2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 x14ac:dyDescent="0.2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 x14ac:dyDescent="0.2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 x14ac:dyDescent="0.2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 x14ac:dyDescent="0.2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 x14ac:dyDescent="0.2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 x14ac:dyDescent="0.2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 x14ac:dyDescent="0.2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 x14ac:dyDescent="0.2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 x14ac:dyDescent="0.2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 x14ac:dyDescent="0.2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 x14ac:dyDescent="0.2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 x14ac:dyDescent="0.2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 x14ac:dyDescent="0.2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 x14ac:dyDescent="0.2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 x14ac:dyDescent="0.2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 x14ac:dyDescent="0.2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 x14ac:dyDescent="0.2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 x14ac:dyDescent="0.2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 x14ac:dyDescent="0.2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 x14ac:dyDescent="0.2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 x14ac:dyDescent="0.25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 x14ac:dyDescent="0.2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 x14ac:dyDescent="0.2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 x14ac:dyDescent="0.2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 x14ac:dyDescent="0.2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 x14ac:dyDescent="0.2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 x14ac:dyDescent="0.2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 x14ac:dyDescent="0.2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 x14ac:dyDescent="0.2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 x14ac:dyDescent="0.2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 x14ac:dyDescent="0.2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 x14ac:dyDescent="0.25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 x14ac:dyDescent="0.25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 x14ac:dyDescent="0.25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 x14ac:dyDescent="0.2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 x14ac:dyDescent="0.25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 x14ac:dyDescent="0.25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 x14ac:dyDescent="0.25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 x14ac:dyDescent="0.25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 x14ac:dyDescent="0.25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 x14ac:dyDescent="0.25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 x14ac:dyDescent="0.25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 x14ac:dyDescent="0.25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 x14ac:dyDescent="0.25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 x14ac:dyDescent="0.2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 x14ac:dyDescent="0.25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 x14ac:dyDescent="0.25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 x14ac:dyDescent="0.25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 x14ac:dyDescent="0.25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 x14ac:dyDescent="0.25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 x14ac:dyDescent="0.25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 x14ac:dyDescent="0.25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 x14ac:dyDescent="0.2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 x14ac:dyDescent="0.25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 x14ac:dyDescent="0.2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 x14ac:dyDescent="0.25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 x14ac:dyDescent="0.25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 x14ac:dyDescent="0.25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 x14ac:dyDescent="0.25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 x14ac:dyDescent="0.25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 x14ac:dyDescent="0.25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 x14ac:dyDescent="0.25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 x14ac:dyDescent="0.25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 x14ac:dyDescent="0.25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 x14ac:dyDescent="0.2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 x14ac:dyDescent="0.25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 x14ac:dyDescent="0.25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 x14ac:dyDescent="0.25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 x14ac:dyDescent="0.25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 x14ac:dyDescent="0.25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 x14ac:dyDescent="0.25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 x14ac:dyDescent="0.25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 x14ac:dyDescent="0.25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 x14ac:dyDescent="0.25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 x14ac:dyDescent="0.2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 x14ac:dyDescent="0.25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 x14ac:dyDescent="0.25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 x14ac:dyDescent="0.25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 x14ac:dyDescent="0.25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 x14ac:dyDescent="0.25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 x14ac:dyDescent="0.25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 x14ac:dyDescent="0.25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 x14ac:dyDescent="0.25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 x14ac:dyDescent="0.25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 x14ac:dyDescent="0.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 x14ac:dyDescent="0.25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 x14ac:dyDescent="0.25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 x14ac:dyDescent="0.25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 x14ac:dyDescent="0.25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 x14ac:dyDescent="0.25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 x14ac:dyDescent="0.25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 x14ac:dyDescent="0.25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 x14ac:dyDescent="0.25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 x14ac:dyDescent="0.25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 x14ac:dyDescent="0.2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 x14ac:dyDescent="0.25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 x14ac:dyDescent="0.25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 x14ac:dyDescent="0.25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 x14ac:dyDescent="0.25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 x14ac:dyDescent="0.25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 x14ac:dyDescent="0.25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 x14ac:dyDescent="0.25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 x14ac:dyDescent="0.25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 x14ac:dyDescent="0.25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 x14ac:dyDescent="0.2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 x14ac:dyDescent="0.25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 x14ac:dyDescent="0.25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 x14ac:dyDescent="0.25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 x14ac:dyDescent="0.25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 x14ac:dyDescent="0.25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 x14ac:dyDescent="0.25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 x14ac:dyDescent="0.25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 x14ac:dyDescent="0.25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 x14ac:dyDescent="0.25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 x14ac:dyDescent="0.2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 x14ac:dyDescent="0.25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 x14ac:dyDescent="0.25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 x14ac:dyDescent="0.25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 x14ac:dyDescent="0.25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 x14ac:dyDescent="0.25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 x14ac:dyDescent="0.25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 x14ac:dyDescent="0.25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 x14ac:dyDescent="0.25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 x14ac:dyDescent="0.25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 x14ac:dyDescent="0.2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 x14ac:dyDescent="0.25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 x14ac:dyDescent="0.25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 x14ac:dyDescent="0.25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 x14ac:dyDescent="0.25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 x14ac:dyDescent="0.25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 x14ac:dyDescent="0.25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 x14ac:dyDescent="0.25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 x14ac:dyDescent="0.25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 x14ac:dyDescent="0.25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 x14ac:dyDescent="0.2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 x14ac:dyDescent="0.25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 x14ac:dyDescent="0.25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 x14ac:dyDescent="0.25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 x14ac:dyDescent="0.25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 x14ac:dyDescent="0.25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 x14ac:dyDescent="0.25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 x14ac:dyDescent="0.25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 x14ac:dyDescent="0.25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 x14ac:dyDescent="0.25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 x14ac:dyDescent="0.2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 x14ac:dyDescent="0.25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 x14ac:dyDescent="0.25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 x14ac:dyDescent="0.25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 x14ac:dyDescent="0.25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 x14ac:dyDescent="0.2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 x14ac:dyDescent="0.25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 x14ac:dyDescent="0.25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 x14ac:dyDescent="0.25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 x14ac:dyDescent="0.25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 x14ac:dyDescent="0.2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 x14ac:dyDescent="0.25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 x14ac:dyDescent="0.25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 x14ac:dyDescent="0.25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 x14ac:dyDescent="0.25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 x14ac:dyDescent="0.25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 x14ac:dyDescent="0.25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 x14ac:dyDescent="0.25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 x14ac:dyDescent="0.25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 x14ac:dyDescent="0.25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 x14ac:dyDescent="0.2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 x14ac:dyDescent="0.25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 x14ac:dyDescent="0.25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 x14ac:dyDescent="0.25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 x14ac:dyDescent="0.25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 x14ac:dyDescent="0.25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 x14ac:dyDescent="0.25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 x14ac:dyDescent="0.25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 x14ac:dyDescent="0.25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 x14ac:dyDescent="0.25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 x14ac:dyDescent="0.2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 x14ac:dyDescent="0.25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 x14ac:dyDescent="0.25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 x14ac:dyDescent="0.25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 x14ac:dyDescent="0.25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 x14ac:dyDescent="0.25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 x14ac:dyDescent="0.25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 x14ac:dyDescent="0.25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 x14ac:dyDescent="0.25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 x14ac:dyDescent="0.25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 x14ac:dyDescent="0.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 x14ac:dyDescent="0.25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 x14ac:dyDescent="0.25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 x14ac:dyDescent="0.25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 x14ac:dyDescent="0.25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 x14ac:dyDescent="0.25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 x14ac:dyDescent="0.25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 x14ac:dyDescent="0.25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 x14ac:dyDescent="0.25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 x14ac:dyDescent="0.25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 x14ac:dyDescent="0.2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 x14ac:dyDescent="0.25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 x14ac:dyDescent="0.25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 x14ac:dyDescent="0.25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 x14ac:dyDescent="0.25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 x14ac:dyDescent="0.25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 x14ac:dyDescent="0.25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 x14ac:dyDescent="0.25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 x14ac:dyDescent="0.25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 x14ac:dyDescent="0.25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 x14ac:dyDescent="0.2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 x14ac:dyDescent="0.25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 x14ac:dyDescent="0.2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 x14ac:dyDescent="0.25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 x14ac:dyDescent="0.25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 x14ac:dyDescent="0.25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 x14ac:dyDescent="0.25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 x14ac:dyDescent="0.25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 x14ac:dyDescent="0.25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 x14ac:dyDescent="0.25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 x14ac:dyDescent="0.2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 x14ac:dyDescent="0.25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 x14ac:dyDescent="0.25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 x14ac:dyDescent="0.25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 x14ac:dyDescent="0.25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 x14ac:dyDescent="0.25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 x14ac:dyDescent="0.25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 x14ac:dyDescent="0.25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 x14ac:dyDescent="0.25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 x14ac:dyDescent="0.25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 x14ac:dyDescent="0.2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 x14ac:dyDescent="0.25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 x14ac:dyDescent="0.25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 x14ac:dyDescent="0.25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 x14ac:dyDescent="0.25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 x14ac:dyDescent="0.25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 x14ac:dyDescent="0.25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 x14ac:dyDescent="0.25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 x14ac:dyDescent="0.25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 x14ac:dyDescent="0.25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 x14ac:dyDescent="0.2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 x14ac:dyDescent="0.25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 x14ac:dyDescent="0.25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 x14ac:dyDescent="0.25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 x14ac:dyDescent="0.25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 x14ac:dyDescent="0.25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 x14ac:dyDescent="0.25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 x14ac:dyDescent="0.25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 x14ac:dyDescent="0.25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 x14ac:dyDescent="0.25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 x14ac:dyDescent="0.2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 x14ac:dyDescent="0.25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 x14ac:dyDescent="0.2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 x14ac:dyDescent="0.25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 x14ac:dyDescent="0.25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 x14ac:dyDescent="0.25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 x14ac:dyDescent="0.25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 x14ac:dyDescent="0.25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 x14ac:dyDescent="0.25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 x14ac:dyDescent="0.25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 x14ac:dyDescent="0.2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 x14ac:dyDescent="0.25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 x14ac:dyDescent="0.25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 x14ac:dyDescent="0.25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 x14ac:dyDescent="0.25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 x14ac:dyDescent="0.25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 x14ac:dyDescent="0.25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 x14ac:dyDescent="0.25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 x14ac:dyDescent="0.25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 x14ac:dyDescent="0.25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 x14ac:dyDescent="0.2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 x14ac:dyDescent="0.25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 x14ac:dyDescent="0.25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 x14ac:dyDescent="0.25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 x14ac:dyDescent="0.25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 x14ac:dyDescent="0.25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 x14ac:dyDescent="0.25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 x14ac:dyDescent="0.25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 x14ac:dyDescent="0.25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 x14ac:dyDescent="0.25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 x14ac:dyDescent="0.2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 x14ac:dyDescent="0.25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 x14ac:dyDescent="0.25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 x14ac:dyDescent="0.25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 x14ac:dyDescent="0.25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 x14ac:dyDescent="0.25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 x14ac:dyDescent="0.25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 x14ac:dyDescent="0.25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 x14ac:dyDescent="0.25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 x14ac:dyDescent="0.25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 x14ac:dyDescent="0.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 x14ac:dyDescent="0.25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 x14ac:dyDescent="0.25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 x14ac:dyDescent="0.25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 x14ac:dyDescent="0.25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 x14ac:dyDescent="0.25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 x14ac:dyDescent="0.25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 x14ac:dyDescent="0.25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 x14ac:dyDescent="0.25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 x14ac:dyDescent="0.25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 x14ac:dyDescent="0.2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 x14ac:dyDescent="0.25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 x14ac:dyDescent="0.25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 x14ac:dyDescent="0.25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 x14ac:dyDescent="0.25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 x14ac:dyDescent="0.25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 x14ac:dyDescent="0.25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 x14ac:dyDescent="0.25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 x14ac:dyDescent="0.25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 x14ac:dyDescent="0.25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 x14ac:dyDescent="0.2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 x14ac:dyDescent="0.25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 x14ac:dyDescent="0.25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 x14ac:dyDescent="0.25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 x14ac:dyDescent="0.25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 x14ac:dyDescent="0.25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 x14ac:dyDescent="0.25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 x14ac:dyDescent="0.25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 x14ac:dyDescent="0.25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 x14ac:dyDescent="0.25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 x14ac:dyDescent="0.2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 x14ac:dyDescent="0.25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 x14ac:dyDescent="0.25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 x14ac:dyDescent="0.25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 x14ac:dyDescent="0.25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 x14ac:dyDescent="0.25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 x14ac:dyDescent="0.25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 x14ac:dyDescent="0.25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 x14ac:dyDescent="0.25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 x14ac:dyDescent="0.25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 x14ac:dyDescent="0.2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 x14ac:dyDescent="0.25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 x14ac:dyDescent="0.25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 x14ac:dyDescent="0.25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 x14ac:dyDescent="0.25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 x14ac:dyDescent="0.25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 x14ac:dyDescent="0.25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 x14ac:dyDescent="0.25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 x14ac:dyDescent="0.25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 x14ac:dyDescent="0.25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 x14ac:dyDescent="0.2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 x14ac:dyDescent="0.25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 x14ac:dyDescent="0.25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 x14ac:dyDescent="0.25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 x14ac:dyDescent="0.25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 x14ac:dyDescent="0.25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 x14ac:dyDescent="0.25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 x14ac:dyDescent="0.25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 x14ac:dyDescent="0.25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 x14ac:dyDescent="0.2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 x14ac:dyDescent="0.2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 x14ac:dyDescent="0.25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 x14ac:dyDescent="0.25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 x14ac:dyDescent="0.25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 x14ac:dyDescent="0.25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 x14ac:dyDescent="0.25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 x14ac:dyDescent="0.25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 x14ac:dyDescent="0.25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 x14ac:dyDescent="0.25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 x14ac:dyDescent="0.25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 x14ac:dyDescent="0.2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 x14ac:dyDescent="0.25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 x14ac:dyDescent="0.25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 x14ac:dyDescent="0.25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 x14ac:dyDescent="0.25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 x14ac:dyDescent="0.25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 x14ac:dyDescent="0.25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 x14ac:dyDescent="0.25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 x14ac:dyDescent="0.25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 x14ac:dyDescent="0.25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 x14ac:dyDescent="0.2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 x14ac:dyDescent="0.25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 x14ac:dyDescent="0.25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 x14ac:dyDescent="0.25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 x14ac:dyDescent="0.25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 x14ac:dyDescent="0.25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 x14ac:dyDescent="0.25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 x14ac:dyDescent="0.25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 x14ac:dyDescent="0.25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 x14ac:dyDescent="0.25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 x14ac:dyDescent="0.2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 x14ac:dyDescent="0.25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 x14ac:dyDescent="0.25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 x14ac:dyDescent="0.25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 x14ac:dyDescent="0.25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 x14ac:dyDescent="0.25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 x14ac:dyDescent="0.25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 x14ac:dyDescent="0.25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 x14ac:dyDescent="0.25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 x14ac:dyDescent="0.25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 x14ac:dyDescent="0.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 x14ac:dyDescent="0.25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 x14ac:dyDescent="0.25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 x14ac:dyDescent="0.25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 x14ac:dyDescent="0.25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 x14ac:dyDescent="0.25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 x14ac:dyDescent="0.25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 x14ac:dyDescent="0.25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 x14ac:dyDescent="0.25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 x14ac:dyDescent="0.25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 x14ac:dyDescent="0.2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 x14ac:dyDescent="0.25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 x14ac:dyDescent="0.25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 x14ac:dyDescent="0.25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 x14ac:dyDescent="0.25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 x14ac:dyDescent="0.25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 x14ac:dyDescent="0.25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 x14ac:dyDescent="0.25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 x14ac:dyDescent="0.25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 x14ac:dyDescent="0.25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 x14ac:dyDescent="0.2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 x14ac:dyDescent="0.25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 x14ac:dyDescent="0.25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 x14ac:dyDescent="0.25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 x14ac:dyDescent="0.25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 x14ac:dyDescent="0.25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 x14ac:dyDescent="0.25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 x14ac:dyDescent="0.25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 x14ac:dyDescent="0.25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 x14ac:dyDescent="0.25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 x14ac:dyDescent="0.2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 x14ac:dyDescent="0.25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 x14ac:dyDescent="0.25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 x14ac:dyDescent="0.25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 x14ac:dyDescent="0.25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 x14ac:dyDescent="0.25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 x14ac:dyDescent="0.25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 x14ac:dyDescent="0.2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 x14ac:dyDescent="0.2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 x14ac:dyDescent="0.2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 x14ac:dyDescent="0.2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 x14ac:dyDescent="0.2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 x14ac:dyDescent="0.2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 x14ac:dyDescent="0.2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 x14ac:dyDescent="0.25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 x14ac:dyDescent="0.25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 x14ac:dyDescent="0.25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 x14ac:dyDescent="0.25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 x14ac:dyDescent="0.25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 x14ac:dyDescent="0.25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 x14ac:dyDescent="0.2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 x14ac:dyDescent="0.25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 x14ac:dyDescent="0.25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 x14ac:dyDescent="0.25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 x14ac:dyDescent="0.25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 x14ac:dyDescent="0.25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 x14ac:dyDescent="0.2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 x14ac:dyDescent="0.25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 x14ac:dyDescent="0.25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 x14ac:dyDescent="0.25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 x14ac:dyDescent="0.2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 x14ac:dyDescent="0.25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 x14ac:dyDescent="0.25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 x14ac:dyDescent="0.25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 x14ac:dyDescent="0.25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 x14ac:dyDescent="0.25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 x14ac:dyDescent="0.25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 x14ac:dyDescent="0.25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 x14ac:dyDescent="0.25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 x14ac:dyDescent="0.25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 x14ac:dyDescent="0.2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 x14ac:dyDescent="0.25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 x14ac:dyDescent="0.25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 x14ac:dyDescent="0.25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 x14ac:dyDescent="0.25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 x14ac:dyDescent="0.25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 x14ac:dyDescent="0.25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 x14ac:dyDescent="0.25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 x14ac:dyDescent="0.25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 x14ac:dyDescent="0.25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 x14ac:dyDescent="0.2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 x14ac:dyDescent="0.25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 x14ac:dyDescent="0.25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 x14ac:dyDescent="0.25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 x14ac:dyDescent="0.25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 x14ac:dyDescent="0.25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 x14ac:dyDescent="0.25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 x14ac:dyDescent="0.25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 x14ac:dyDescent="0.25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 x14ac:dyDescent="0.25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 x14ac:dyDescent="0.2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 x14ac:dyDescent="0.25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 x14ac:dyDescent="0.25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 x14ac:dyDescent="0.25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 x14ac:dyDescent="0.25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 x14ac:dyDescent="0.25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 x14ac:dyDescent="0.25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 x14ac:dyDescent="0.25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 x14ac:dyDescent="0.25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 x14ac:dyDescent="0.25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 x14ac:dyDescent="0.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 x14ac:dyDescent="0.25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 x14ac:dyDescent="0.25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 x14ac:dyDescent="0.25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 x14ac:dyDescent="0.25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 x14ac:dyDescent="0.25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 x14ac:dyDescent="0.25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 x14ac:dyDescent="0.25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 x14ac:dyDescent="0.25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 x14ac:dyDescent="0.25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 x14ac:dyDescent="0.2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 x14ac:dyDescent="0.25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 x14ac:dyDescent="0.25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 x14ac:dyDescent="0.25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 x14ac:dyDescent="0.25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 x14ac:dyDescent="0.25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 x14ac:dyDescent="0.25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 x14ac:dyDescent="0.25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 x14ac:dyDescent="0.25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 x14ac:dyDescent="0.25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 x14ac:dyDescent="0.2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 x14ac:dyDescent="0.25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 x14ac:dyDescent="0.25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 x14ac:dyDescent="0.25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 x14ac:dyDescent="0.25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 x14ac:dyDescent="0.25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 x14ac:dyDescent="0.25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 x14ac:dyDescent="0.25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 x14ac:dyDescent="0.25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 x14ac:dyDescent="0.25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 x14ac:dyDescent="0.2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 x14ac:dyDescent="0.25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 x14ac:dyDescent="0.25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 x14ac:dyDescent="0.25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 x14ac:dyDescent="0.25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 x14ac:dyDescent="0.25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 x14ac:dyDescent="0.25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 x14ac:dyDescent="0.25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 x14ac:dyDescent="0.25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 x14ac:dyDescent="0.25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 x14ac:dyDescent="0.2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 x14ac:dyDescent="0.25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 x14ac:dyDescent="0.25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 x14ac:dyDescent="0.25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 x14ac:dyDescent="0.25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 x14ac:dyDescent="0.25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 x14ac:dyDescent="0.25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 x14ac:dyDescent="0.25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 x14ac:dyDescent="0.25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 x14ac:dyDescent="0.25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 x14ac:dyDescent="0.2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 x14ac:dyDescent="0.25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 x14ac:dyDescent="0.25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 x14ac:dyDescent="0.25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 x14ac:dyDescent="0.25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 x14ac:dyDescent="0.25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 x14ac:dyDescent="0.25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 x14ac:dyDescent="0.25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 x14ac:dyDescent="0.25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 x14ac:dyDescent="0.25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 x14ac:dyDescent="0.2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 x14ac:dyDescent="0.25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 x14ac:dyDescent="0.25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 x14ac:dyDescent="0.25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 x14ac:dyDescent="0.25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 x14ac:dyDescent="0.25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 x14ac:dyDescent="0.25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 x14ac:dyDescent="0.25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 x14ac:dyDescent="0.25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 x14ac:dyDescent="0.25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 x14ac:dyDescent="0.2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 x14ac:dyDescent="0.25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 x14ac:dyDescent="0.25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 x14ac:dyDescent="0.25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 x14ac:dyDescent="0.25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 x14ac:dyDescent="0.25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 x14ac:dyDescent="0.25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 x14ac:dyDescent="0.25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 x14ac:dyDescent="0.25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 x14ac:dyDescent="0.25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 x14ac:dyDescent="0.2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 x14ac:dyDescent="0.25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 x14ac:dyDescent="0.25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 x14ac:dyDescent="0.25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 x14ac:dyDescent="0.25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 x14ac:dyDescent="0.25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 x14ac:dyDescent="0.25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 x14ac:dyDescent="0.25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 x14ac:dyDescent="0.25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 x14ac:dyDescent="0.25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 x14ac:dyDescent="0.2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 x14ac:dyDescent="0.25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 x14ac:dyDescent="0.25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 x14ac:dyDescent="0.25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 x14ac:dyDescent="0.25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 x14ac:dyDescent="0.25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 x14ac:dyDescent="0.25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 x14ac:dyDescent="0.25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 x14ac:dyDescent="0.25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 x14ac:dyDescent="0.25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 x14ac:dyDescent="0.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 x14ac:dyDescent="0.25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 x14ac:dyDescent="0.25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 x14ac:dyDescent="0.25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 x14ac:dyDescent="0.25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 x14ac:dyDescent="0.25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 x14ac:dyDescent="0.25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 x14ac:dyDescent="0.25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 x14ac:dyDescent="0.25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 x14ac:dyDescent="0.25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 x14ac:dyDescent="0.2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 x14ac:dyDescent="0.25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 x14ac:dyDescent="0.25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 x14ac:dyDescent="0.25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 x14ac:dyDescent="0.25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 x14ac:dyDescent="0.25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 x14ac:dyDescent="0.25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 x14ac:dyDescent="0.25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 x14ac:dyDescent="0.25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 x14ac:dyDescent="0.25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 x14ac:dyDescent="0.2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 x14ac:dyDescent="0.25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 x14ac:dyDescent="0.25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 x14ac:dyDescent="0.25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 x14ac:dyDescent="0.25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 x14ac:dyDescent="0.25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 x14ac:dyDescent="0.25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 x14ac:dyDescent="0.25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 x14ac:dyDescent="0.25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 x14ac:dyDescent="0.25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 x14ac:dyDescent="0.2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 x14ac:dyDescent="0.25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 x14ac:dyDescent="0.25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 x14ac:dyDescent="0.25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 x14ac:dyDescent="0.25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 x14ac:dyDescent="0.25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 x14ac:dyDescent="0.25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 x14ac:dyDescent="0.25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 x14ac:dyDescent="0.25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 x14ac:dyDescent="0.25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 x14ac:dyDescent="0.2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 x14ac:dyDescent="0.25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 x14ac:dyDescent="0.25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 x14ac:dyDescent="0.25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 x14ac:dyDescent="0.25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 x14ac:dyDescent="0.25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 x14ac:dyDescent="0.25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 x14ac:dyDescent="0.25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 x14ac:dyDescent="0.25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 x14ac:dyDescent="0.25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 x14ac:dyDescent="0.2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 x14ac:dyDescent="0.25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 x14ac:dyDescent="0.25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 x14ac:dyDescent="0.25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 x14ac:dyDescent="0.25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 x14ac:dyDescent="0.25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 x14ac:dyDescent="0.25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 x14ac:dyDescent="0.25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 x14ac:dyDescent="0.25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 x14ac:dyDescent="0.25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 x14ac:dyDescent="0.2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 x14ac:dyDescent="0.25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 x14ac:dyDescent="0.25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 x14ac:dyDescent="0.25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 x14ac:dyDescent="0.25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 x14ac:dyDescent="0.25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 x14ac:dyDescent="0.25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 x14ac:dyDescent="0.25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 x14ac:dyDescent="0.25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 x14ac:dyDescent="0.25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 x14ac:dyDescent="0.2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 x14ac:dyDescent="0.25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 x14ac:dyDescent="0.25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 x14ac:dyDescent="0.25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 x14ac:dyDescent="0.25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 x14ac:dyDescent="0.25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 x14ac:dyDescent="0.25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 x14ac:dyDescent="0.25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 x14ac:dyDescent="0.25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 x14ac:dyDescent="0.25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 x14ac:dyDescent="0.2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 x14ac:dyDescent="0.25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 x14ac:dyDescent="0.25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 x14ac:dyDescent="0.25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 x14ac:dyDescent="0.25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 x14ac:dyDescent="0.25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 x14ac:dyDescent="0.25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 x14ac:dyDescent="0.25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 x14ac:dyDescent="0.25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 x14ac:dyDescent="0.25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 x14ac:dyDescent="0.2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 x14ac:dyDescent="0.25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 x14ac:dyDescent="0.25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 x14ac:dyDescent="0.25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 x14ac:dyDescent="0.25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 x14ac:dyDescent="0.25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 x14ac:dyDescent="0.25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 x14ac:dyDescent="0.25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 x14ac:dyDescent="0.25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 x14ac:dyDescent="0.25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 x14ac:dyDescent="0.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 x14ac:dyDescent="0.25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 x14ac:dyDescent="0.25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 x14ac:dyDescent="0.25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 x14ac:dyDescent="0.25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 x14ac:dyDescent="0.25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 x14ac:dyDescent="0.25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 x14ac:dyDescent="0.25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 x14ac:dyDescent="0.25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 x14ac:dyDescent="0.25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 x14ac:dyDescent="0.2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 x14ac:dyDescent="0.25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 x14ac:dyDescent="0.25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 x14ac:dyDescent="0.25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 x14ac:dyDescent="0.25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 x14ac:dyDescent="0.25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 x14ac:dyDescent="0.25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 x14ac:dyDescent="0.25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 x14ac:dyDescent="0.25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 x14ac:dyDescent="0.25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 x14ac:dyDescent="0.2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 x14ac:dyDescent="0.25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 x14ac:dyDescent="0.25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 x14ac:dyDescent="0.25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 x14ac:dyDescent="0.25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 x14ac:dyDescent="0.25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 x14ac:dyDescent="0.25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 x14ac:dyDescent="0.25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 x14ac:dyDescent="0.25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 x14ac:dyDescent="0.25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 x14ac:dyDescent="0.2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 x14ac:dyDescent="0.25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 x14ac:dyDescent="0.25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 x14ac:dyDescent="0.25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 x14ac:dyDescent="0.25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 x14ac:dyDescent="0.25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 x14ac:dyDescent="0.25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 x14ac:dyDescent="0.25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 x14ac:dyDescent="0.25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 x14ac:dyDescent="0.25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 x14ac:dyDescent="0.2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 x14ac:dyDescent="0.25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 x14ac:dyDescent="0.25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 x14ac:dyDescent="0.25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 x14ac:dyDescent="0.25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 x14ac:dyDescent="0.25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 x14ac:dyDescent="0.25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 x14ac:dyDescent="0.25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 x14ac:dyDescent="0.25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 x14ac:dyDescent="0.25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 x14ac:dyDescent="0.2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 x14ac:dyDescent="0.25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 x14ac:dyDescent="0.25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 x14ac:dyDescent="0.25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 x14ac:dyDescent="0.25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 x14ac:dyDescent="0.25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 x14ac:dyDescent="0.25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 x14ac:dyDescent="0.25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 x14ac:dyDescent="0.25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 x14ac:dyDescent="0.25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 x14ac:dyDescent="0.2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 x14ac:dyDescent="0.25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 x14ac:dyDescent="0.25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 x14ac:dyDescent="0.25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 x14ac:dyDescent="0.25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 x14ac:dyDescent="0.25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 x14ac:dyDescent="0.25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 x14ac:dyDescent="0.25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 x14ac:dyDescent="0.25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 x14ac:dyDescent="0.25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 x14ac:dyDescent="0.2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 x14ac:dyDescent="0.25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 x14ac:dyDescent="0.25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 x14ac:dyDescent="0.25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 x14ac:dyDescent="0.25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 x14ac:dyDescent="0.25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 x14ac:dyDescent="0.25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 x14ac:dyDescent="0.25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 x14ac:dyDescent="0.25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 x14ac:dyDescent="0.25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 x14ac:dyDescent="0.2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 x14ac:dyDescent="0.25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 x14ac:dyDescent="0.25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 x14ac:dyDescent="0.25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 x14ac:dyDescent="0.25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 x14ac:dyDescent="0.25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 x14ac:dyDescent="0.25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 x14ac:dyDescent="0.25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 x14ac:dyDescent="0.25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 x14ac:dyDescent="0.25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 x14ac:dyDescent="0.2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 x14ac:dyDescent="0.25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 x14ac:dyDescent="0.25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 x14ac:dyDescent="0.25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 x14ac:dyDescent="0.25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 x14ac:dyDescent="0.25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 x14ac:dyDescent="0.25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 x14ac:dyDescent="0.25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 x14ac:dyDescent="0.25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 x14ac:dyDescent="0.25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 x14ac:dyDescent="0.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 x14ac:dyDescent="0.25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 x14ac:dyDescent="0.25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 x14ac:dyDescent="0.25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 x14ac:dyDescent="0.25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 x14ac:dyDescent="0.25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 x14ac:dyDescent="0.25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 x14ac:dyDescent="0.25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 x14ac:dyDescent="0.25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 x14ac:dyDescent="0.25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 x14ac:dyDescent="0.2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 x14ac:dyDescent="0.25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 x14ac:dyDescent="0.25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 x14ac:dyDescent="0.25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 x14ac:dyDescent="0.25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 x14ac:dyDescent="0.25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 x14ac:dyDescent="0.25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 x14ac:dyDescent="0.25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 x14ac:dyDescent="0.25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 x14ac:dyDescent="0.25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 x14ac:dyDescent="0.2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 x14ac:dyDescent="0.25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 x14ac:dyDescent="0.25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 x14ac:dyDescent="0.25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 x14ac:dyDescent="0.25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 x14ac:dyDescent="0.25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 x14ac:dyDescent="0.25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 x14ac:dyDescent="0.25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 x14ac:dyDescent="0.25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 x14ac:dyDescent="0.25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 x14ac:dyDescent="0.2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 x14ac:dyDescent="0.25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 x14ac:dyDescent="0.25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 x14ac:dyDescent="0.25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 x14ac:dyDescent="0.25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 x14ac:dyDescent="0.25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 x14ac:dyDescent="0.25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 x14ac:dyDescent="0.25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 x14ac:dyDescent="0.25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 x14ac:dyDescent="0.25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 x14ac:dyDescent="0.2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 x14ac:dyDescent="0.25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 x14ac:dyDescent="0.25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 x14ac:dyDescent="0.25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 x14ac:dyDescent="0.25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 x14ac:dyDescent="0.25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 x14ac:dyDescent="0.25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 x14ac:dyDescent="0.25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 x14ac:dyDescent="0.25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 x14ac:dyDescent="0.25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 x14ac:dyDescent="0.2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 x14ac:dyDescent="0.25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 x14ac:dyDescent="0.25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 x14ac:dyDescent="0.25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 x14ac:dyDescent="0.25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 x14ac:dyDescent="0.25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 x14ac:dyDescent="0.25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 x14ac:dyDescent="0.25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 x14ac:dyDescent="0.25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 x14ac:dyDescent="0.25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 x14ac:dyDescent="0.2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 x14ac:dyDescent="0.25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 x14ac:dyDescent="0.25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 x14ac:dyDescent="0.25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 x14ac:dyDescent="0.25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 x14ac:dyDescent="0.25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 x14ac:dyDescent="0.25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 x14ac:dyDescent="0.25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 x14ac:dyDescent="0.25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 x14ac:dyDescent="0.25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 x14ac:dyDescent="0.2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 x14ac:dyDescent="0.25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 x14ac:dyDescent="0.25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 x14ac:dyDescent="0.25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 x14ac:dyDescent="0.25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 x14ac:dyDescent="0.25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  <row r="1001" spans="1:26" ht="15.75" customHeight="1" x14ac:dyDescent="0.25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</row>
    <row r="1002" spans="1:26" ht="15.75" customHeight="1" x14ac:dyDescent="0.25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</row>
    <row r="1003" spans="1:26" ht="15.75" customHeight="1" x14ac:dyDescent="0.25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</row>
    <row r="1004" spans="1:26" ht="15.75" customHeight="1" x14ac:dyDescent="0.25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</row>
    <row r="1005" spans="1:26" ht="15.75" customHeight="1" x14ac:dyDescent="0.25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</row>
    <row r="1006" spans="1:26" ht="15.75" customHeight="1" x14ac:dyDescent="0.25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</row>
    <row r="1007" spans="1:26" ht="15.75" customHeight="1" x14ac:dyDescent="0.25">
      <c r="A1007" s="28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</row>
    <row r="1008" spans="1:26" ht="15.75" customHeight="1" x14ac:dyDescent="0.25">
      <c r="A1008" s="28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</row>
    <row r="1009" spans="1:26" ht="15.75" customHeight="1" x14ac:dyDescent="0.25">
      <c r="A1009" s="28"/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</row>
    <row r="1010" spans="1:26" ht="15.75" customHeight="1" x14ac:dyDescent="0.25">
      <c r="A1010" s="28"/>
      <c r="B1010" s="28"/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</row>
    <row r="1011" spans="1:26" ht="15.75" customHeight="1" x14ac:dyDescent="0.25">
      <c r="A1011" s="28"/>
      <c r="B1011" s="28"/>
      <c r="C1011" s="28"/>
      <c r="D1011" s="28"/>
      <c r="E1011" s="28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</row>
    <row r="1012" spans="1:26" ht="15.75" customHeight="1" x14ac:dyDescent="0.25">
      <c r="A1012" s="28"/>
      <c r="B1012" s="28"/>
      <c r="C1012" s="28"/>
      <c r="D1012" s="28"/>
      <c r="E1012" s="28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BE28-EBBE-4BB2-96FE-C48A2E596D08}">
  <dimension ref="B2:R73"/>
  <sheetViews>
    <sheetView tabSelected="1" zoomScale="98" zoomScaleNormal="98" workbookViewId="0">
      <selection activeCell="J48" sqref="J48"/>
    </sheetView>
  </sheetViews>
  <sheetFormatPr baseColWidth="10" defaultRowHeight="14.25" x14ac:dyDescent="0.2"/>
  <cols>
    <col min="1" max="1" width="11.42578125" style="55"/>
    <col min="2" max="2" width="23.85546875" style="55" bestFit="1" customWidth="1"/>
    <col min="3" max="3" width="11.5703125" style="55" bestFit="1" customWidth="1"/>
    <col min="4" max="4" width="18.7109375" style="55" bestFit="1" customWidth="1"/>
    <col min="5" max="6" width="19.140625" style="55" bestFit="1" customWidth="1"/>
    <col min="7" max="9" width="13" style="55" bestFit="1" customWidth="1"/>
    <col min="10" max="11" width="11.42578125" style="55"/>
    <col min="12" max="12" width="35.28515625" style="55" bestFit="1" customWidth="1"/>
    <col min="13" max="13" width="14.28515625" style="55" bestFit="1" customWidth="1"/>
    <col min="14" max="14" width="13" style="55" bestFit="1" customWidth="1"/>
    <col min="15" max="16" width="14.28515625" style="55" bestFit="1" customWidth="1"/>
    <col min="17" max="18" width="11.5703125" style="55" bestFit="1" customWidth="1"/>
    <col min="19" max="16384" width="11.42578125" style="55"/>
  </cols>
  <sheetData>
    <row r="2" spans="2:8" x14ac:dyDescent="0.2">
      <c r="B2" s="55" t="s">
        <v>1</v>
      </c>
    </row>
    <row r="3" spans="2:8" x14ac:dyDescent="0.2">
      <c r="B3" s="55" t="s">
        <v>2</v>
      </c>
    </row>
    <row r="5" spans="2:8" x14ac:dyDescent="0.2">
      <c r="B5" s="55" t="s">
        <v>3</v>
      </c>
      <c r="D5" s="55">
        <v>5000000</v>
      </c>
    </row>
    <row r="6" spans="2:8" x14ac:dyDescent="0.2">
      <c r="B6" s="55" t="s">
        <v>4</v>
      </c>
      <c r="D6" s="55">
        <v>5</v>
      </c>
      <c r="E6" s="55" t="s">
        <v>0</v>
      </c>
    </row>
    <row r="7" spans="2:8" x14ac:dyDescent="0.2">
      <c r="B7" s="55" t="s">
        <v>5</v>
      </c>
      <c r="D7" s="55">
        <v>6000000</v>
      </c>
    </row>
    <row r="8" spans="2:8" x14ac:dyDescent="0.2">
      <c r="B8" s="55" t="s">
        <v>6</v>
      </c>
      <c r="D8" s="56">
        <v>0.02</v>
      </c>
    </row>
    <row r="9" spans="2:8" x14ac:dyDescent="0.2">
      <c r="B9" s="55" t="s">
        <v>7</v>
      </c>
      <c r="D9" s="55">
        <v>2000000</v>
      </c>
    </row>
    <row r="10" spans="2:8" x14ac:dyDescent="0.2">
      <c r="B10" s="55" t="s">
        <v>8</v>
      </c>
      <c r="D10" s="55">
        <v>1</v>
      </c>
    </row>
    <row r="11" spans="2:8" x14ac:dyDescent="0.2">
      <c r="B11" s="55" t="s">
        <v>9</v>
      </c>
      <c r="D11" s="55">
        <v>2</v>
      </c>
    </row>
    <row r="12" spans="2:8" x14ac:dyDescent="0.2">
      <c r="B12" s="55" t="s">
        <v>10</v>
      </c>
      <c r="D12" s="57">
        <v>2.8000000000000001E-2</v>
      </c>
    </row>
    <row r="13" spans="2:8" x14ac:dyDescent="0.2">
      <c r="B13" s="55" t="s">
        <v>11</v>
      </c>
      <c r="D13" s="56">
        <v>0.3</v>
      </c>
    </row>
    <row r="14" spans="2:8" x14ac:dyDescent="0.2">
      <c r="B14" s="55" t="s">
        <v>23</v>
      </c>
      <c r="D14" s="56">
        <v>0.18</v>
      </c>
    </row>
    <row r="15" spans="2:8" x14ac:dyDescent="0.2">
      <c r="B15" s="55" t="s">
        <v>37</v>
      </c>
      <c r="D15" s="56">
        <v>0.25</v>
      </c>
    </row>
    <row r="16" spans="2:8" x14ac:dyDescent="0.2">
      <c r="B16" s="99" t="s">
        <v>22</v>
      </c>
      <c r="C16" s="99"/>
      <c r="D16" s="99"/>
      <c r="E16" s="99"/>
      <c r="F16" s="99"/>
      <c r="G16" s="99"/>
      <c r="H16" s="99"/>
    </row>
    <row r="17" spans="2:18" ht="15" thickBot="1" x14ac:dyDescent="0.25"/>
    <row r="18" spans="2:18" ht="15" thickBot="1" x14ac:dyDescent="0.25">
      <c r="B18" s="104" t="s">
        <v>12</v>
      </c>
      <c r="C18" s="105"/>
      <c r="D18" s="1">
        <v>1</v>
      </c>
      <c r="E18" s="1">
        <f>D18+1</f>
        <v>2</v>
      </c>
      <c r="F18" s="1">
        <f>E18+1</f>
        <v>3</v>
      </c>
      <c r="G18" s="1">
        <f>F18+1</f>
        <v>4</v>
      </c>
      <c r="H18" s="2">
        <f>G18+1</f>
        <v>5</v>
      </c>
    </row>
    <row r="19" spans="2:18" x14ac:dyDescent="0.2">
      <c r="B19" s="106" t="s">
        <v>13</v>
      </c>
      <c r="C19" s="107"/>
      <c r="D19" s="3">
        <f>D20*D21</f>
        <v>12000000</v>
      </c>
      <c r="E19" s="3">
        <f>E20*E21</f>
        <v>12240000</v>
      </c>
      <c r="F19" s="3">
        <f>F20*F21</f>
        <v>12484800</v>
      </c>
      <c r="G19" s="3">
        <f>G20*G21</f>
        <v>12734496</v>
      </c>
      <c r="H19" s="4">
        <f>H20*H21</f>
        <v>12989185.92</v>
      </c>
    </row>
    <row r="20" spans="2:18" x14ac:dyDescent="0.2">
      <c r="B20" s="108" t="s">
        <v>14</v>
      </c>
      <c r="C20" s="109"/>
      <c r="D20" s="58">
        <f>D7</f>
        <v>6000000</v>
      </c>
      <c r="E20" s="58">
        <f>D20*(1+$D$8)</f>
        <v>6120000</v>
      </c>
      <c r="F20" s="58">
        <f>E20*(1+$D$8)</f>
        <v>6242400</v>
      </c>
      <c r="G20" s="58">
        <f>F20*(1+$D$8)</f>
        <v>6367248</v>
      </c>
      <c r="H20" s="58">
        <f>G20*(1+$D$8)</f>
        <v>6494592.96</v>
      </c>
    </row>
    <row r="21" spans="2:18" x14ac:dyDescent="0.2">
      <c r="B21" s="108" t="s">
        <v>15</v>
      </c>
      <c r="C21" s="109"/>
      <c r="D21" s="59">
        <f>D11</f>
        <v>2</v>
      </c>
      <c r="E21" s="59">
        <f>Tasa</f>
        <v>2</v>
      </c>
      <c r="F21" s="59">
        <f>Tasa</f>
        <v>2</v>
      </c>
      <c r="G21" s="59">
        <f>Tasa</f>
        <v>2</v>
      </c>
      <c r="H21" s="59">
        <f>Tasa</f>
        <v>2</v>
      </c>
    </row>
    <row r="22" spans="2:18" x14ac:dyDescent="0.2">
      <c r="B22" s="60" t="s">
        <v>16</v>
      </c>
      <c r="C22" s="59"/>
      <c r="D22" s="59">
        <f>D20*$D$10</f>
        <v>6000000</v>
      </c>
      <c r="E22" s="59">
        <f>E20*$D$10</f>
        <v>6120000</v>
      </c>
      <c r="F22" s="59">
        <f>F20*$D$10</f>
        <v>6242400</v>
      </c>
      <c r="G22" s="59">
        <f>G20*$D$10</f>
        <v>6367248</v>
      </c>
      <c r="H22" s="59">
        <f>H20*$D$10</f>
        <v>6494592.96</v>
      </c>
    </row>
    <row r="23" spans="2:18" x14ac:dyDescent="0.2">
      <c r="B23" s="60" t="s">
        <v>17</v>
      </c>
      <c r="C23" s="59"/>
      <c r="D23" s="59">
        <f>D9</f>
        <v>2000000</v>
      </c>
      <c r="E23" s="59">
        <f>D23</f>
        <v>2000000</v>
      </c>
      <c r="F23" s="59">
        <f t="shared" ref="F23:H23" si="0">E23</f>
        <v>2000000</v>
      </c>
      <c r="G23" s="59">
        <f t="shared" si="0"/>
        <v>2000000</v>
      </c>
      <c r="H23" s="59">
        <f t="shared" si="0"/>
        <v>2000000</v>
      </c>
    </row>
    <row r="24" spans="2:18" x14ac:dyDescent="0.2">
      <c r="B24" s="5" t="s">
        <v>18</v>
      </c>
      <c r="C24" s="59"/>
      <c r="D24" s="59">
        <f>$D$5/$D$6</f>
        <v>1000000</v>
      </c>
      <c r="E24" s="59">
        <f>$D$5/$D$6</f>
        <v>1000000</v>
      </c>
      <c r="F24" s="59">
        <f>$D$5/$D$6</f>
        <v>1000000</v>
      </c>
      <c r="G24" s="59">
        <f>$D$5/$D$6</f>
        <v>1000000</v>
      </c>
      <c r="H24" s="59">
        <f>$D$5/$D$6</f>
        <v>1000000</v>
      </c>
    </row>
    <row r="25" spans="2:18" x14ac:dyDescent="0.2">
      <c r="B25" s="6" t="s">
        <v>19</v>
      </c>
      <c r="C25" s="7"/>
      <c r="D25" s="7">
        <f>D19-D22-D23-D24</f>
        <v>3000000</v>
      </c>
      <c r="E25" s="7">
        <f>E19-E22-E23-E24</f>
        <v>3120000</v>
      </c>
      <c r="F25" s="7">
        <f>F19-F22-F23-F24</f>
        <v>3242400</v>
      </c>
      <c r="G25" s="7">
        <f>G19-G22-G23-G24</f>
        <v>3367248</v>
      </c>
      <c r="H25" s="8">
        <f>H19-H22-H23-H24</f>
        <v>3494592.96</v>
      </c>
    </row>
    <row r="26" spans="2:18" x14ac:dyDescent="0.2">
      <c r="B26" s="110" t="s">
        <v>20</v>
      </c>
      <c r="C26" s="111"/>
      <c r="D26" s="59">
        <f>D25*$D$13</f>
        <v>900000</v>
      </c>
      <c r="E26" s="59">
        <f>E25*$D$13</f>
        <v>936000</v>
      </c>
      <c r="F26" s="59">
        <f>F25*$D$13</f>
        <v>972720</v>
      </c>
      <c r="G26" s="59">
        <f>G25*$D$13</f>
        <v>1010174.3999999999</v>
      </c>
      <c r="H26" s="59">
        <f>H25*$D$13</f>
        <v>1048377.8879999999</v>
      </c>
    </row>
    <row r="27" spans="2:18" ht="15" thickBot="1" x14ac:dyDescent="0.25">
      <c r="B27" s="112" t="s">
        <v>21</v>
      </c>
      <c r="C27" s="113"/>
      <c r="D27" s="9">
        <f>D25-D26</f>
        <v>2100000</v>
      </c>
      <c r="E27" s="9">
        <f>E25-E26</f>
        <v>2184000</v>
      </c>
      <c r="F27" s="9">
        <f>F25-F26</f>
        <v>2269680</v>
      </c>
      <c r="G27" s="9">
        <f>G25-G26</f>
        <v>2357073.6</v>
      </c>
      <c r="H27" s="10">
        <f>H25-H26</f>
        <v>2446215.0720000002</v>
      </c>
    </row>
    <row r="28" spans="2:18" ht="15" thickBot="1" x14ac:dyDescent="0.25"/>
    <row r="29" spans="2:18" ht="15" thickBot="1" x14ac:dyDescent="0.25">
      <c r="B29" s="100" t="s">
        <v>24</v>
      </c>
      <c r="C29" s="100"/>
      <c r="D29" s="100"/>
      <c r="E29" s="100"/>
      <c r="F29" s="100"/>
      <c r="G29" s="100"/>
      <c r="H29" s="100"/>
      <c r="I29" s="100"/>
      <c r="K29" s="61"/>
      <c r="L29" s="95" t="s">
        <v>70</v>
      </c>
      <c r="M29" s="96"/>
      <c r="N29" s="11"/>
      <c r="O29" s="11"/>
      <c r="P29" s="11"/>
      <c r="Q29" s="11"/>
      <c r="R29" s="11"/>
    </row>
    <row r="30" spans="2:18" ht="15" thickBot="1" x14ac:dyDescent="0.25">
      <c r="K30" s="61"/>
      <c r="L30" s="62"/>
      <c r="M30" s="62"/>
      <c r="N30" s="62"/>
      <c r="O30" s="62"/>
      <c r="P30" s="62"/>
      <c r="Q30" s="62"/>
      <c r="R30" s="62"/>
    </row>
    <row r="31" spans="2:18" ht="15" thickBot="1" x14ac:dyDescent="0.25">
      <c r="B31" s="95" t="s">
        <v>12</v>
      </c>
      <c r="C31" s="96"/>
      <c r="D31" s="11">
        <v>0</v>
      </c>
      <c r="E31" s="11">
        <f>D31+1</f>
        <v>1</v>
      </c>
      <c r="F31" s="11">
        <f>E31+1</f>
        <v>2</v>
      </c>
      <c r="G31" s="11">
        <f>F31+1</f>
        <v>3</v>
      </c>
      <c r="H31" s="11">
        <f>G31+1</f>
        <v>4</v>
      </c>
      <c r="I31" s="12">
        <f>H31+1</f>
        <v>5</v>
      </c>
      <c r="K31" s="61"/>
      <c r="L31" s="95" t="s">
        <v>71</v>
      </c>
      <c r="M31" s="96" t="s">
        <v>72</v>
      </c>
      <c r="N31" s="95" t="s">
        <v>73</v>
      </c>
      <c r="O31" s="96" t="s">
        <v>74</v>
      </c>
      <c r="P31" s="95" t="s">
        <v>75</v>
      </c>
      <c r="Q31" s="96" t="s">
        <v>76</v>
      </c>
      <c r="R31" s="43" t="s">
        <v>77</v>
      </c>
    </row>
    <row r="32" spans="2:18" ht="15" x14ac:dyDescent="0.2">
      <c r="B32" s="101" t="s">
        <v>25</v>
      </c>
      <c r="C32" s="102"/>
      <c r="D32" s="63">
        <f>D33+D34</f>
        <v>0</v>
      </c>
      <c r="E32" s="13">
        <f>E33+E34</f>
        <v>12000000</v>
      </c>
      <c r="F32" s="13">
        <f t="shared" ref="F32:I32" si="1">F33+F34</f>
        <v>12240000</v>
      </c>
      <c r="G32" s="13">
        <f t="shared" si="1"/>
        <v>12484800</v>
      </c>
      <c r="H32" s="13">
        <f t="shared" si="1"/>
        <v>12734496</v>
      </c>
      <c r="I32" s="14">
        <f t="shared" si="1"/>
        <v>12989185.92</v>
      </c>
      <c r="K32" s="61"/>
      <c r="L32" s="64" t="s">
        <v>78</v>
      </c>
      <c r="M32" s="65">
        <f>'Flujo deuda'!D2</f>
        <v>2000000</v>
      </c>
      <c r="N32" s="66"/>
      <c r="O32" s="66"/>
      <c r="P32" s="66"/>
      <c r="Q32" s="66"/>
      <c r="R32" s="66"/>
    </row>
    <row r="33" spans="2:18" ht="15" x14ac:dyDescent="0.2">
      <c r="B33" s="103" t="s">
        <v>26</v>
      </c>
      <c r="C33" s="94"/>
      <c r="D33" s="67"/>
      <c r="E33" s="67">
        <f>D19</f>
        <v>12000000</v>
      </c>
      <c r="F33" s="67">
        <f>E19</f>
        <v>12240000</v>
      </c>
      <c r="G33" s="67">
        <f>F19</f>
        <v>12484800</v>
      </c>
      <c r="H33" s="67">
        <f>G19</f>
        <v>12734496</v>
      </c>
      <c r="I33" s="68">
        <f>H19</f>
        <v>12989185.92</v>
      </c>
      <c r="K33" s="61" t="s">
        <v>79</v>
      </c>
      <c r="L33" s="64" t="s">
        <v>80</v>
      </c>
      <c r="M33" s="66"/>
      <c r="N33" s="65">
        <f>'Flujo deuda'!F3</f>
        <v>849084.45380474697</v>
      </c>
      <c r="O33" s="65">
        <f>'Flujo deuda'!G3</f>
        <v>750519.43155399465</v>
      </c>
      <c r="P33" s="65">
        <f>'Flujo deuda'!H3</f>
        <v>651954.40930324257</v>
      </c>
      <c r="Q33" s="65">
        <f>'Flujo deuda'!I3</f>
        <v>553389.38705249049</v>
      </c>
      <c r="R33" s="66"/>
    </row>
    <row r="34" spans="2:18" ht="15" x14ac:dyDescent="0.2">
      <c r="B34" s="93" t="s">
        <v>27</v>
      </c>
      <c r="C34" s="94"/>
      <c r="D34" s="69"/>
      <c r="E34" s="69"/>
      <c r="F34" s="69"/>
      <c r="G34" s="69"/>
      <c r="H34" s="69"/>
      <c r="I34" s="70">
        <f>D4</f>
        <v>0</v>
      </c>
      <c r="K34" s="61" t="s">
        <v>79</v>
      </c>
      <c r="L34" s="64" t="s">
        <v>81</v>
      </c>
      <c r="M34" s="66"/>
      <c r="N34" s="65">
        <f>'Flujo deuda'!F4</f>
        <v>349084.45380474709</v>
      </c>
      <c r="O34" s="65">
        <f>'Flujo deuda'!G4</f>
        <v>250519.43155399477</v>
      </c>
      <c r="P34" s="65">
        <f>'Flujo deuda'!H4</f>
        <v>151954.40930324263</v>
      </c>
      <c r="Q34" s="65">
        <f>'Flujo deuda'!I4</f>
        <v>53389.387052490492</v>
      </c>
      <c r="R34" s="66"/>
    </row>
    <row r="35" spans="2:18" ht="15" thickBot="1" x14ac:dyDescent="0.25">
      <c r="B35" s="114" t="s">
        <v>28</v>
      </c>
      <c r="C35" s="115"/>
      <c r="D35" s="67">
        <f>SUM(D36:D39)</f>
        <v>-5000000</v>
      </c>
      <c r="E35" s="67">
        <f>SUM(E36:E39)</f>
        <v>-8900000</v>
      </c>
      <c r="F35" s="67">
        <f>SUM(F36:F39)</f>
        <v>-9056000</v>
      </c>
      <c r="G35" s="67">
        <f t="shared" ref="G35:I35" si="2">SUM(G36:G39)</f>
        <v>-9215120</v>
      </c>
      <c r="H35" s="67">
        <f t="shared" si="2"/>
        <v>-9377422.4000000004</v>
      </c>
      <c r="I35" s="68">
        <f t="shared" si="2"/>
        <v>-9542970.8480000012</v>
      </c>
      <c r="K35" s="61" t="s">
        <v>82</v>
      </c>
      <c r="L35" s="64" t="s">
        <v>83</v>
      </c>
      <c r="M35" s="66"/>
      <c r="N35" s="66">
        <f>(N33+N34)*$D$13</f>
        <v>359450.67228284816</v>
      </c>
      <c r="O35" s="66">
        <f t="shared" ref="O35:Q35" si="3">(O33+O34)*$D$13</f>
        <v>300311.65893239679</v>
      </c>
      <c r="P35" s="66">
        <f t="shared" si="3"/>
        <v>241172.64558194554</v>
      </c>
      <c r="Q35" s="66">
        <f t="shared" si="3"/>
        <v>182033.6322314943</v>
      </c>
      <c r="R35" s="66"/>
    </row>
    <row r="36" spans="2:18" ht="15" thickBot="1" x14ac:dyDescent="0.25">
      <c r="B36" s="93" t="s">
        <v>29</v>
      </c>
      <c r="C36" s="94"/>
      <c r="D36" s="67">
        <f>-D5</f>
        <v>-5000000</v>
      </c>
      <c r="E36" s="69"/>
      <c r="F36" s="69"/>
      <c r="G36" s="69"/>
      <c r="H36" s="69"/>
      <c r="I36" s="71"/>
      <c r="K36" s="61"/>
      <c r="L36" s="95" t="s">
        <v>84</v>
      </c>
      <c r="M36" s="96">
        <f t="shared" ref="M36:R36" si="4">SUM(M32:M35)</f>
        <v>2000000</v>
      </c>
      <c r="N36" s="95">
        <f t="shared" si="4"/>
        <v>1557619.579892342</v>
      </c>
      <c r="O36" s="96">
        <f t="shared" si="4"/>
        <v>1301350.5220403862</v>
      </c>
      <c r="P36" s="95">
        <f t="shared" si="4"/>
        <v>1045081.4641884307</v>
      </c>
      <c r="Q36" s="96">
        <f t="shared" si="4"/>
        <v>788812.40633647528</v>
      </c>
      <c r="R36" s="43">
        <f t="shared" si="4"/>
        <v>0</v>
      </c>
    </row>
    <row r="37" spans="2:18" x14ac:dyDescent="0.2">
      <c r="B37" s="93" t="s">
        <v>16</v>
      </c>
      <c r="C37" s="94"/>
      <c r="D37" s="69"/>
      <c r="E37" s="67">
        <f>-D22</f>
        <v>-6000000</v>
      </c>
      <c r="F37" s="67">
        <f>-E22</f>
        <v>-6120000</v>
      </c>
      <c r="G37" s="67">
        <f>-F22</f>
        <v>-6242400</v>
      </c>
      <c r="H37" s="67">
        <f>-G22</f>
        <v>-6367248</v>
      </c>
      <c r="I37" s="68">
        <f>-H22</f>
        <v>-6494592.96</v>
      </c>
    </row>
    <row r="38" spans="2:18" x14ac:dyDescent="0.2">
      <c r="B38" s="93" t="s">
        <v>17</v>
      </c>
      <c r="C38" s="94"/>
      <c r="D38" s="69"/>
      <c r="E38" s="67">
        <f>-D23</f>
        <v>-2000000</v>
      </c>
      <c r="F38" s="67">
        <f>-E23</f>
        <v>-2000000</v>
      </c>
      <c r="G38" s="67">
        <f t="shared" ref="G38:I38" si="5">-F23</f>
        <v>-2000000</v>
      </c>
      <c r="H38" s="67">
        <f t="shared" si="5"/>
        <v>-2000000</v>
      </c>
      <c r="I38" s="68">
        <f t="shared" si="5"/>
        <v>-2000000</v>
      </c>
    </row>
    <row r="39" spans="2:18" ht="15" thickBot="1" x14ac:dyDescent="0.25">
      <c r="B39" s="97" t="s">
        <v>20</v>
      </c>
      <c r="C39" s="98"/>
      <c r="D39" s="72"/>
      <c r="E39" s="73">
        <f>-D26</f>
        <v>-900000</v>
      </c>
      <c r="F39" s="73">
        <f>-E26</f>
        <v>-936000</v>
      </c>
      <c r="G39" s="73">
        <f>-F26</f>
        <v>-972720</v>
      </c>
      <c r="H39" s="73">
        <f>-G26</f>
        <v>-1010174.3999999999</v>
      </c>
      <c r="I39" s="74">
        <f>-H26</f>
        <v>-1048377.8879999999</v>
      </c>
    </row>
    <row r="40" spans="2:18" ht="15" thickBot="1" x14ac:dyDescent="0.25">
      <c r="B40" s="95" t="s">
        <v>30</v>
      </c>
      <c r="C40" s="96"/>
      <c r="D40" s="15">
        <f>D32+D35</f>
        <v>-5000000</v>
      </c>
      <c r="E40" s="15">
        <f>E32+E35</f>
        <v>3100000</v>
      </c>
      <c r="F40" s="15">
        <f t="shared" ref="F40:I40" si="6">F32+F35</f>
        <v>3184000</v>
      </c>
      <c r="G40" s="15">
        <f t="shared" si="6"/>
        <v>3269680</v>
      </c>
      <c r="H40" s="15">
        <f t="shared" si="6"/>
        <v>3357073.5999999996</v>
      </c>
      <c r="I40" s="16">
        <f t="shared" si="6"/>
        <v>3446215.0719999988</v>
      </c>
    </row>
    <row r="42" spans="2:18" x14ac:dyDescent="0.2">
      <c r="B42" s="17" t="s">
        <v>31</v>
      </c>
      <c r="C42" s="18">
        <f>IRR(D40:I40)</f>
        <v>0.57354574443828121</v>
      </c>
      <c r="D42" s="19" t="s">
        <v>32</v>
      </c>
    </row>
    <row r="43" spans="2:18" x14ac:dyDescent="0.2">
      <c r="B43" s="17" t="s">
        <v>33</v>
      </c>
      <c r="C43" s="20">
        <f>NPV(D14,E40:I40)+D40</f>
        <v>5141759.6452404261</v>
      </c>
      <c r="D43" s="19" t="s">
        <v>34</v>
      </c>
    </row>
    <row r="44" spans="2:18" x14ac:dyDescent="0.2">
      <c r="B44" s="17" t="s">
        <v>35</v>
      </c>
      <c r="C44" s="17">
        <f>D9/(D11-D10)</f>
        <v>2000000</v>
      </c>
      <c r="D44" s="19" t="s">
        <v>36</v>
      </c>
    </row>
    <row r="45" spans="2:18" ht="15" thickBot="1" x14ac:dyDescent="0.25"/>
    <row r="46" spans="2:18" ht="15" thickBot="1" x14ac:dyDescent="0.25">
      <c r="B46" s="21" t="s">
        <v>38</v>
      </c>
      <c r="C46" s="22"/>
    </row>
    <row r="47" spans="2:18" x14ac:dyDescent="0.2">
      <c r="B47" s="23" t="s">
        <v>39</v>
      </c>
    </row>
    <row r="48" spans="2:18" x14ac:dyDescent="0.2">
      <c r="C48" s="24" t="s">
        <v>40</v>
      </c>
    </row>
    <row r="49" spans="2:7" x14ac:dyDescent="0.2">
      <c r="C49" s="24"/>
    </row>
    <row r="50" spans="2:7" x14ac:dyDescent="0.2">
      <c r="C50" s="25" t="s">
        <v>41</v>
      </c>
      <c r="D50" s="25" t="s">
        <v>42</v>
      </c>
      <c r="E50" s="25" t="s">
        <v>43</v>
      </c>
      <c r="F50" s="25" t="s">
        <v>44</v>
      </c>
      <c r="G50" s="26" t="s">
        <v>45</v>
      </c>
    </row>
    <row r="51" spans="2:7" x14ac:dyDescent="0.2">
      <c r="C51" s="75" t="s">
        <v>46</v>
      </c>
      <c r="D51" s="69">
        <f>D11</f>
        <v>2</v>
      </c>
      <c r="E51" s="76">
        <v>1.62141856916284</v>
      </c>
      <c r="F51" s="27">
        <f>(E51-D51)/D51</f>
        <v>-0.18929071541858</v>
      </c>
      <c r="G51" s="77">
        <v>1</v>
      </c>
    </row>
    <row r="52" spans="2:7" x14ac:dyDescent="0.2">
      <c r="C52" s="69" t="s">
        <v>47</v>
      </c>
      <c r="D52" s="78">
        <f>D8</f>
        <v>0.02</v>
      </c>
      <c r="E52" s="79">
        <v>4.4999999999999998E-2</v>
      </c>
      <c r="F52" s="27">
        <f>(E52-D52)/D52</f>
        <v>1.2499999999999998</v>
      </c>
      <c r="G52" s="77">
        <v>4</v>
      </c>
    </row>
    <row r="53" spans="2:7" x14ac:dyDescent="0.2">
      <c r="C53" s="69" t="s">
        <v>85</v>
      </c>
      <c r="D53" s="69">
        <f>D7</f>
        <v>6000000</v>
      </c>
      <c r="E53" s="80">
        <v>3728511.4149770499</v>
      </c>
      <c r="F53" s="27">
        <f>(E53-D53)/D53</f>
        <v>-0.37858143083715834</v>
      </c>
      <c r="G53" s="77">
        <v>2</v>
      </c>
    </row>
    <row r="54" spans="2:7" x14ac:dyDescent="0.2">
      <c r="C54" s="75" t="s">
        <v>48</v>
      </c>
      <c r="D54" s="69">
        <f>D9</f>
        <v>2000000</v>
      </c>
      <c r="E54" s="80">
        <v>4348886.8605464501</v>
      </c>
      <c r="F54" s="27">
        <f>(E54-D54)/D54</f>
        <v>1.1744434302732252</v>
      </c>
      <c r="G54" s="77">
        <v>3</v>
      </c>
    </row>
    <row r="56" spans="2:7" x14ac:dyDescent="0.2">
      <c r="B56" s="44"/>
    </row>
    <row r="57" spans="2:7" x14ac:dyDescent="0.2">
      <c r="B57" s="45" t="s">
        <v>87</v>
      </c>
      <c r="C57" s="45"/>
    </row>
    <row r="58" spans="2:7" x14ac:dyDescent="0.2">
      <c r="B58" s="46" t="s">
        <v>86</v>
      </c>
      <c r="C58" s="81"/>
      <c r="E58" s="46" t="s">
        <v>88</v>
      </c>
      <c r="F58" s="46"/>
      <c r="G58" s="46"/>
    </row>
    <row r="59" spans="2:7" x14ac:dyDescent="0.2">
      <c r="B59" s="46"/>
      <c r="C59" s="81"/>
      <c r="E59" s="46"/>
      <c r="F59" s="46"/>
      <c r="G59" s="46"/>
    </row>
    <row r="60" spans="2:7" x14ac:dyDescent="0.2">
      <c r="B60" s="19"/>
      <c r="C60" s="82"/>
      <c r="D60" s="83"/>
      <c r="E60" s="53"/>
      <c r="F60" s="53"/>
      <c r="G60" s="53"/>
    </row>
    <row r="61" spans="2:7" x14ac:dyDescent="0.2">
      <c r="B61" s="90">
        <f>C43</f>
        <v>5141759.6452404261</v>
      </c>
      <c r="C61" s="91">
        <f>E51</f>
        <v>1.62141856916284</v>
      </c>
      <c r="D61" s="47">
        <v>1.7</v>
      </c>
      <c r="E61" s="47">
        <v>1.8</v>
      </c>
      <c r="F61" s="47">
        <v>2</v>
      </c>
      <c r="G61" s="47">
        <v>2.1</v>
      </c>
    </row>
    <row r="62" spans="2:7" x14ac:dyDescent="0.2">
      <c r="B62" s="92">
        <f>E53</f>
        <v>3728511.4149770499</v>
      </c>
      <c r="C62" s="54">
        <f t="dataTable" ref="C62:G66" dt2D="1" dtr="1" r1="D11" r2="D7"/>
        <v>-3195184.9217245504</v>
      </c>
      <c r="D62" s="47">
        <v>-2531966.4369108211</v>
      </c>
      <c r="E62" s="48">
        <v>-1687977.6246072124</v>
      </c>
      <c r="F62" s="49">
        <v>0</v>
      </c>
      <c r="G62" s="50">
        <v>843988.81230361573</v>
      </c>
    </row>
    <row r="63" spans="2:7" x14ac:dyDescent="0.2">
      <c r="B63" s="55">
        <v>4928511.4149770504</v>
      </c>
      <c r="C63" s="84">
        <v>-1507207.2971173353</v>
      </c>
      <c r="D63" s="85">
        <v>-630535.74935210962</v>
      </c>
      <c r="E63" s="86">
        <v>485086.01831703261</v>
      </c>
      <c r="F63" s="87">
        <v>2716329.5536553115</v>
      </c>
      <c r="G63" s="51">
        <v>3831951.3213244509</v>
      </c>
    </row>
    <row r="64" spans="2:7" x14ac:dyDescent="0.2">
      <c r="B64" s="55">
        <f>INVERSIÓN</f>
        <v>6000000</v>
      </c>
      <c r="C64" s="84">
        <v>-1507207.2971173353</v>
      </c>
      <c r="D64" s="88">
        <v>-630535.74935210962</v>
      </c>
      <c r="E64" s="86">
        <v>485086.01831703261</v>
      </c>
      <c r="F64" s="87">
        <v>2716329.5536553115</v>
      </c>
      <c r="G64" s="89">
        <v>3831951.3213244509</v>
      </c>
    </row>
    <row r="65" spans="2:7" x14ac:dyDescent="0.2">
      <c r="B65" s="55">
        <v>6228511.4149770504</v>
      </c>
      <c r="C65" s="84">
        <v>321435.12954047881</v>
      </c>
      <c r="D65" s="85">
        <v>1429347.4955031602</v>
      </c>
      <c r="E65" s="86">
        <v>2839238.2981516263</v>
      </c>
      <c r="F65" s="87">
        <v>5659019.9034485538</v>
      </c>
      <c r="G65" s="89">
        <v>7068910.7060970217</v>
      </c>
    </row>
    <row r="66" spans="2:7" x14ac:dyDescent="0.2">
      <c r="B66" s="55">
        <v>6428511.4149770504</v>
      </c>
      <c r="C66" s="84">
        <v>602764.73364168126</v>
      </c>
      <c r="D66" s="52">
        <v>1746252.6100962833</v>
      </c>
      <c r="E66" s="86">
        <v>3201415.5719723366</v>
      </c>
      <c r="F66" s="87">
        <v>6111741.4957244378</v>
      </c>
      <c r="G66" s="89">
        <v>7566904.457600493</v>
      </c>
    </row>
    <row r="67" spans="2:7" x14ac:dyDescent="0.2">
      <c r="C67" s="84"/>
      <c r="D67" s="88"/>
      <c r="E67" s="86"/>
      <c r="F67" s="87"/>
      <c r="G67" s="89"/>
    </row>
    <row r="68" spans="2:7" x14ac:dyDescent="0.2">
      <c r="C68" s="84"/>
      <c r="D68" s="88"/>
      <c r="E68" s="86"/>
      <c r="F68" s="87"/>
      <c r="G68" s="89"/>
    </row>
    <row r="69" spans="2:7" x14ac:dyDescent="0.2">
      <c r="C69" s="84"/>
      <c r="D69" s="85"/>
      <c r="E69" s="86"/>
      <c r="F69" s="87"/>
      <c r="G69" s="89"/>
    </row>
    <row r="70" spans="2:7" x14ac:dyDescent="0.2">
      <c r="B70" s="45"/>
    </row>
    <row r="71" spans="2:7" x14ac:dyDescent="0.2">
      <c r="B71" s="19"/>
    </row>
    <row r="72" spans="2:7" x14ac:dyDescent="0.2">
      <c r="B72" s="19"/>
    </row>
    <row r="73" spans="2:7" x14ac:dyDescent="0.2">
      <c r="B73" s="19"/>
    </row>
  </sheetData>
  <mergeCells count="25">
    <mergeCell ref="B39:C39"/>
    <mergeCell ref="B40:C40"/>
    <mergeCell ref="B16:H16"/>
    <mergeCell ref="B29:I29"/>
    <mergeCell ref="B31:C31"/>
    <mergeCell ref="B32:C32"/>
    <mergeCell ref="B33:C33"/>
    <mergeCell ref="B34:C34"/>
    <mergeCell ref="B18:C18"/>
    <mergeCell ref="B19:C19"/>
    <mergeCell ref="B20:C20"/>
    <mergeCell ref="B21:C21"/>
    <mergeCell ref="B26:C26"/>
    <mergeCell ref="B27:C27"/>
    <mergeCell ref="B35:C35"/>
    <mergeCell ref="B36:C36"/>
    <mergeCell ref="B37:C37"/>
    <mergeCell ref="B38:C38"/>
    <mergeCell ref="P31:Q31"/>
    <mergeCell ref="P36:Q36"/>
    <mergeCell ref="L29:M29"/>
    <mergeCell ref="L31:M31"/>
    <mergeCell ref="N31:O31"/>
    <mergeCell ref="L36:M36"/>
    <mergeCell ref="N36:O36"/>
  </mergeCells>
  <conditionalFormatting sqref="F51:F54">
    <cfRule type="cellIs" dxfId="5" priority="3" stopIfTrue="1" operator="lessThan">
      <formula>0</formula>
    </cfRule>
    <cfRule type="cellIs" dxfId="4" priority="4" stopIfTrue="1" operator="greaterThan">
      <formula>0</formula>
    </cfRule>
  </conditionalFormatting>
  <conditionalFormatting sqref="D51:F54">
    <cfRule type="cellIs" dxfId="3" priority="6" stopIfTrue="1" operator="lessThan">
      <formula>0</formula>
    </cfRule>
  </conditionalFormatting>
  <conditionalFormatting sqref="F51:F54">
    <cfRule type="cellIs" dxfId="2" priority="5" stopIfTrue="1" operator="greaterThan">
      <formula>0</formula>
    </cfRule>
  </conditionalFormatting>
  <conditionalFormatting sqref="C62:G66">
    <cfRule type="cellIs" dxfId="1" priority="2" operator="greaterThan">
      <formula>0</formula>
    </cfRule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Flujo deuda</vt:lpstr>
      <vt:lpstr>Analisis</vt:lpstr>
      <vt:lpstr>Costo_Fijo</vt:lpstr>
      <vt:lpstr>INVERSIÓN</vt:lpstr>
      <vt:lpstr>Materia_Prima</vt:lpstr>
      <vt:lpstr>Precio</vt:lpstr>
      <vt:lpstr>Tasa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ACHALMA</cp:lastModifiedBy>
  <dcterms:created xsi:type="dcterms:W3CDTF">2015-06-05T18:17:20Z</dcterms:created>
  <dcterms:modified xsi:type="dcterms:W3CDTF">2021-08-11T15:39:26Z</dcterms:modified>
</cp:coreProperties>
</file>