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5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Ratings/Examen Sustitutorio/"/>
    </mc:Choice>
  </mc:AlternateContent>
  <xr:revisionPtr revIDLastSave="417" documentId="11_F25DC773A252ABDACC1048EF099C75345BDE58E5" xr6:coauthVersionLast="47" xr6:coauthVersionMax="47" xr10:uidLastSave="{112AEC72-18CA-48BD-B775-E1D5401765F4}"/>
  <bookViews>
    <workbookView xWindow="-120" yWindow="-120" windowWidth="29040" windowHeight="15720" xr2:uid="{00000000-000D-0000-FFFF-FFFF00000000}"/>
  </bookViews>
  <sheets>
    <sheet name="Hoja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9" i="2" l="1"/>
  <c r="C122" i="2"/>
  <c r="C119" i="2"/>
  <c r="C102" i="2"/>
  <c r="D101" i="2"/>
  <c r="C101" i="2"/>
  <c r="G100" i="2"/>
  <c r="F100" i="2"/>
  <c r="E100" i="2"/>
  <c r="D100" i="2"/>
  <c r="C100" i="2"/>
  <c r="C130" i="2"/>
  <c r="C124" i="2"/>
  <c r="C120" i="2"/>
  <c r="D116" i="2"/>
  <c r="D117" i="2" s="1"/>
  <c r="D112" i="2"/>
  <c r="C72" i="2" l="1"/>
  <c r="C73" i="2" s="1"/>
  <c r="D38" i="2"/>
  <c r="D37" i="2"/>
  <c r="D51" i="2" s="1"/>
  <c r="D35" i="2"/>
  <c r="D36" i="2" s="1"/>
  <c r="C39" i="2"/>
  <c r="D48" i="2" l="1"/>
  <c r="D50" i="2"/>
  <c r="D39" i="2"/>
  <c r="D40" i="2" l="1"/>
  <c r="D52" i="2" s="1"/>
  <c r="D41" i="2" l="1"/>
  <c r="C80" i="2" l="1"/>
  <c r="D68" i="2"/>
  <c r="D69" i="2" s="1"/>
  <c r="H63" i="2"/>
  <c r="I63" i="2" s="1"/>
  <c r="E63" i="2"/>
  <c r="F63" i="2" s="1"/>
  <c r="D11" i="2"/>
  <c r="D70" i="2" s="1"/>
  <c r="G68" i="2"/>
  <c r="G84" i="2" s="1"/>
  <c r="F68" i="2"/>
  <c r="F69" i="2" s="1"/>
  <c r="F85" i="2" s="1"/>
  <c r="E68" i="2"/>
  <c r="E69" i="2" s="1"/>
  <c r="E85" i="2" s="1"/>
  <c r="E38" i="2"/>
  <c r="F38" i="2"/>
  <c r="G38" i="2"/>
  <c r="C10" i="2"/>
  <c r="D10" i="2" s="1"/>
  <c r="D99" i="2"/>
  <c r="E99" i="2" s="1"/>
  <c r="F99" i="2" s="1"/>
  <c r="G99" i="2" s="1"/>
  <c r="C84" i="2"/>
  <c r="C85" i="2" s="1"/>
  <c r="C86" i="2" s="1"/>
  <c r="C87" i="2" s="1"/>
  <c r="C48" i="2"/>
  <c r="C50" i="2" s="1"/>
  <c r="C51" i="2" s="1"/>
  <c r="C52" i="2" s="1"/>
  <c r="C40" i="2"/>
  <c r="C41" i="2" s="1"/>
  <c r="G37" i="2"/>
  <c r="F37" i="2"/>
  <c r="E37" i="2"/>
  <c r="G71" i="2" l="1"/>
  <c r="F71" i="2"/>
  <c r="E71" i="2"/>
  <c r="D71" i="2"/>
  <c r="G51" i="2"/>
  <c r="E35" i="2"/>
  <c r="E36" i="2" s="1"/>
  <c r="D85" i="2"/>
  <c r="E70" i="2"/>
  <c r="E86" i="2" s="1"/>
  <c r="F70" i="2"/>
  <c r="F86" i="2" s="1"/>
  <c r="G70" i="2"/>
  <c r="G86" i="2" s="1"/>
  <c r="C74" i="2"/>
  <c r="D86" i="2"/>
  <c r="E84" i="2"/>
  <c r="G69" i="2"/>
  <c r="G85" i="2" s="1"/>
  <c r="E51" i="2"/>
  <c r="F51" i="2"/>
  <c r="F84" i="2"/>
  <c r="D84" i="2"/>
  <c r="E50" i="2" l="1"/>
  <c r="F35" i="2"/>
  <c r="G35" i="2" s="1"/>
  <c r="E48" i="2"/>
  <c r="C81" i="2"/>
  <c r="G82" i="2" s="1"/>
  <c r="E72" i="2"/>
  <c r="E73" i="2" s="1"/>
  <c r="E87" i="2" s="1"/>
  <c r="E88" i="2" s="1"/>
  <c r="D53" i="2"/>
  <c r="F72" i="2"/>
  <c r="F73" i="2" s="1"/>
  <c r="F87" i="2" s="1"/>
  <c r="F88" i="2" s="1"/>
  <c r="E39" i="2"/>
  <c r="E40" i="2" s="1"/>
  <c r="E52" i="2" s="1"/>
  <c r="D72" i="2"/>
  <c r="D73" i="2" s="1"/>
  <c r="G72" i="2"/>
  <c r="G73" i="2" s="1"/>
  <c r="F36" i="2" l="1"/>
  <c r="C88" i="2"/>
  <c r="F39" i="2"/>
  <c r="E53" i="2"/>
  <c r="E101" i="2" s="1"/>
  <c r="E102" i="2" s="1"/>
  <c r="F48" i="2"/>
  <c r="D87" i="2"/>
  <c r="D88" i="2" s="1"/>
  <c r="D102" i="2" s="1"/>
  <c r="F74" i="2"/>
  <c r="G36" i="2"/>
  <c r="G48" i="2"/>
  <c r="F50" i="2"/>
  <c r="E41" i="2"/>
  <c r="G87" i="2"/>
  <c r="G88" i="2" s="1"/>
  <c r="G74" i="2"/>
  <c r="F40" i="2"/>
  <c r="F52" i="2" s="1"/>
  <c r="D74" i="2"/>
  <c r="E74" i="2"/>
  <c r="G39" i="2" l="1"/>
  <c r="G40" i="2" s="1"/>
  <c r="G52" i="2" s="1"/>
  <c r="F53" i="2"/>
  <c r="F101" i="2" s="1"/>
  <c r="F102" i="2" s="1"/>
  <c r="G50" i="2"/>
  <c r="C92" i="2"/>
  <c r="F41" i="2"/>
  <c r="G53" i="2" l="1"/>
  <c r="G41" i="2"/>
  <c r="G101" i="2"/>
  <c r="G102" i="2" s="1"/>
  <c r="C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tc={56984B93-8104-498D-A799-F806415FB093}</author>
  </authors>
  <commentList>
    <comment ref="C55" authorId="0" shapeId="0" xr:uid="{56984B93-8104-498D-A799-F806415FB0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de descuento</t>
      </text>
    </comment>
  </commentList>
</comments>
</file>

<file path=xl/sharedStrings.xml><?xml version="1.0" encoding="utf-8"?>
<sst xmlns="http://schemas.openxmlformats.org/spreadsheetml/2006/main" count="103" uniqueCount="79">
  <si>
    <t>DATOS</t>
  </si>
  <si>
    <t>RUBRO</t>
  </si>
  <si>
    <t>MAQUINA</t>
  </si>
  <si>
    <t>Inversion inicial de la maquina</t>
  </si>
  <si>
    <t>Años de vida util desde la compra</t>
  </si>
  <si>
    <t>Costos de operaciones anuales</t>
  </si>
  <si>
    <t xml:space="preserve">       Costo fijo total</t>
  </si>
  <si>
    <t>Metodo de depreciacion usado</t>
  </si>
  <si>
    <t>Lineal</t>
  </si>
  <si>
    <t>Tasa de impuesto a la renta</t>
  </si>
  <si>
    <t>Ventas anuales</t>
  </si>
  <si>
    <t xml:space="preserve">Costos Fijos </t>
  </si>
  <si>
    <t>Depreciaciones (*)</t>
  </si>
  <si>
    <t>Utilidad antes de impuestos</t>
  </si>
  <si>
    <t>Impuestos</t>
  </si>
  <si>
    <t>Utilidad Neta</t>
  </si>
  <si>
    <t>Se obtiene el ER y el FC de la primera opcion ( maquina actual) y</t>
  </si>
  <si>
    <t>de la segunda opcion ( maquina nueva,</t>
  </si>
  <si>
    <t>OPCIONES:</t>
  </si>
  <si>
    <t>Alternativa A: Trabajar con la maquina actual</t>
  </si>
  <si>
    <t>Alternativa B: Trabajar con la maquina nueva</t>
  </si>
  <si>
    <t>Horizonte de evaluacion: 4 años</t>
  </si>
  <si>
    <t>Metodo de evaluacion: VAN de ambas alternativas</t>
  </si>
  <si>
    <t>Decision: Escoger la aternativa de mayor VAN</t>
  </si>
  <si>
    <t>FNC</t>
  </si>
  <si>
    <t>SI COK =</t>
  </si>
  <si>
    <t>VAN =</t>
  </si>
  <si>
    <t>Compra de maquina nueva</t>
  </si>
  <si>
    <t>AFN</t>
  </si>
  <si>
    <t>Flujo de Caja Incremental ( B-A)</t>
  </si>
  <si>
    <t>FC con proyecto (B)</t>
  </si>
  <si>
    <t>FC sin Proyecto (A)</t>
  </si>
  <si>
    <t>Flujo de Caja Incremental</t>
  </si>
  <si>
    <t xml:space="preserve">Ventas netas </t>
  </si>
  <si>
    <t xml:space="preserve">Costos Variable </t>
  </si>
  <si>
    <t>Costos Variable (60%)</t>
  </si>
  <si>
    <t xml:space="preserve">       Costo variable (60%)</t>
  </si>
  <si>
    <t>DEPRECIACIÓN DE ACTIVOS</t>
  </si>
  <si>
    <t>Inversión Inicial</t>
  </si>
  <si>
    <t>Monto</t>
  </si>
  <si>
    <t>Vida util</t>
  </si>
  <si>
    <t>tasa de Deprec</t>
  </si>
  <si>
    <t>Depreci Anual</t>
  </si>
  <si>
    <t>Valor  Residual</t>
  </si>
  <si>
    <t>Valor Mercado</t>
  </si>
  <si>
    <t>Utilidad</t>
  </si>
  <si>
    <t>Equipos electrodomesticos</t>
  </si>
  <si>
    <t>Inversion y liquidacion</t>
  </si>
  <si>
    <t>Flujo de incersiones</t>
  </si>
  <si>
    <t>Capital de trabajo</t>
  </si>
  <si>
    <t>Recupero de capital de trabajo</t>
  </si>
  <si>
    <t>Ingresos</t>
  </si>
  <si>
    <t>Egresos</t>
  </si>
  <si>
    <t>Costos Variable</t>
  </si>
  <si>
    <t>SIN PROYECTO</t>
  </si>
  <si>
    <t>CON PROYECTO</t>
  </si>
  <si>
    <t>ESTADO DE RESULTADOS</t>
  </si>
  <si>
    <t>FLUJO DE CAJA ECONOMICO SIN PROYECTO</t>
  </si>
  <si>
    <t>FLUJO DE CAJA ECONOMICO CON PROYECTO</t>
  </si>
  <si>
    <t>METODO</t>
  </si>
  <si>
    <t>ACHALMA MENOZA, ELMER EDISON</t>
  </si>
  <si>
    <t>FLUJO DE CAJA ECONOMICO  INCREMENTAL</t>
  </si>
  <si>
    <t>EVALUACIÓN  INCREMENTAL:</t>
  </si>
  <si>
    <t>Ku real</t>
  </si>
  <si>
    <t>kd  real</t>
  </si>
  <si>
    <t xml:space="preserve">VANE INCREMENTAL </t>
  </si>
  <si>
    <t xml:space="preserve">TIRE INCREMENTAL </t>
  </si>
  <si>
    <t>VANE</t>
  </si>
  <si>
    <t>TIRE</t>
  </si>
  <si>
    <t>COK DESAPALANCADO</t>
  </si>
  <si>
    <t>Rf</t>
  </si>
  <si>
    <t>Rm</t>
  </si>
  <si>
    <t>Rm-Rf</t>
  </si>
  <si>
    <t>Rp</t>
  </si>
  <si>
    <t>Beta Desapalancado</t>
  </si>
  <si>
    <t xml:space="preserve">RU peru </t>
  </si>
  <si>
    <t>Inflacion</t>
  </si>
  <si>
    <t xml:space="preserve">Ru </t>
  </si>
  <si>
    <t>EVALUACION ECONOMICA CON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</si>
</sst>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&quot;$&quot;\ #,##0.00;[Red]&quot;$&quot;\ \-#,##0.00"/>
    <numFmt numFmtId="166" formatCode="0.0%"/>
    <numFmt numFmtId="167" formatCode="_ * #,##0.0_ ;_ * \-#,##0.0_ ;_ * &quot;-&quot;??_ ;_ @_ "/>
    <numFmt numFmtId="168" formatCode="#,##0_ ;[Red]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8"/>
      <name val="Arial"/>
      <family val="2"/>
    </font>
    <font>
      <sz val="18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9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4" fillId="0" borderId="5" xfId="3" applyBorder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5" fillId="0" borderId="0" xfId="0" applyNumberFormat="1" applyFont="1" applyAlignment="1">
      <alignment vertical="center"/>
    </xf>
    <xf numFmtId="8" fontId="3" fillId="4" borderId="0" xfId="1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0" fontId="10" fillId="6" borderId="5" xfId="3" applyFont="1" applyFill="1" applyBorder="1" applyAlignment="1">
      <alignment horizontal="center" vertical="center"/>
    </xf>
    <xf numFmtId="0" fontId="10" fillId="6" borderId="5" xfId="3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164" fontId="4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2" borderId="8" xfId="0" applyNumberFormat="1" applyFont="1" applyFill="1" applyBorder="1" applyAlignment="1">
      <alignment vertical="center"/>
    </xf>
    <xf numFmtId="9" fontId="7" fillId="0" borderId="0" xfId="0" applyNumberFormat="1" applyFont="1" applyAlignment="1">
      <alignment vertical="center"/>
    </xf>
    <xf numFmtId="43" fontId="3" fillId="4" borderId="0" xfId="1" applyFont="1" applyFill="1" applyAlignment="1">
      <alignment vertical="center"/>
    </xf>
    <xf numFmtId="0" fontId="4" fillId="0" borderId="1" xfId="0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8" fillId="0" borderId="0" xfId="0" applyFont="1"/>
    <xf numFmtId="10" fontId="9" fillId="0" borderId="0" xfId="2" applyNumberFormat="1" applyFont="1"/>
    <xf numFmtId="10" fontId="9" fillId="0" borderId="0" xfId="0" applyNumberFormat="1" applyFont="1"/>
    <xf numFmtId="0" fontId="9" fillId="8" borderId="5" xfId="0" applyFont="1" applyFill="1" applyBorder="1"/>
    <xf numFmtId="167" fontId="3" fillId="9" borderId="5" xfId="3" applyNumberFormat="1" applyFont="1" applyFill="1" applyBorder="1"/>
    <xf numFmtId="10" fontId="9" fillId="10" borderId="5" xfId="0" applyNumberFormat="1" applyFont="1" applyFill="1" applyBorder="1"/>
    <xf numFmtId="168" fontId="8" fillId="4" borderId="0" xfId="0" applyNumberFormat="1" applyFont="1" applyFill="1"/>
    <xf numFmtId="10" fontId="8" fillId="0" borderId="0" xfId="0" applyNumberFormat="1" applyFont="1"/>
    <xf numFmtId="9" fontId="0" fillId="0" borderId="0" xfId="0" applyNumberFormat="1"/>
    <xf numFmtId="4" fontId="14" fillId="0" borderId="5" xfId="0" applyNumberFormat="1" applyFont="1" applyBorder="1"/>
    <xf numFmtId="4" fontId="15" fillId="0" borderId="5" xfId="0" applyNumberFormat="1" applyFont="1" applyBorder="1"/>
    <xf numFmtId="10" fontId="15" fillId="0" borderId="5" xfId="2" applyNumberFormat="1" applyFont="1" applyFill="1" applyBorder="1"/>
    <xf numFmtId="10" fontId="15" fillId="0" borderId="5" xfId="2" applyNumberFormat="1" applyFont="1" applyBorder="1"/>
    <xf numFmtId="43" fontId="15" fillId="0" borderId="5" xfId="1" applyFont="1" applyFill="1" applyBorder="1"/>
    <xf numFmtId="4" fontId="14" fillId="11" borderId="5" xfId="0" applyNumberFormat="1" applyFont="1" applyFill="1" applyBorder="1"/>
    <xf numFmtId="4" fontId="15" fillId="11" borderId="5" xfId="0" applyNumberFormat="1" applyFont="1" applyFill="1" applyBorder="1"/>
    <xf numFmtId="10" fontId="14" fillId="11" borderId="5" xfId="2" applyNumberFormat="1" applyFont="1" applyFill="1" applyBorder="1"/>
    <xf numFmtId="4" fontId="15" fillId="0" borderId="0" xfId="0" applyNumberFormat="1" applyFont="1"/>
    <xf numFmtId="10" fontId="14" fillId="0" borderId="0" xfId="2" applyNumberFormat="1" applyFont="1"/>
    <xf numFmtId="164" fontId="0" fillId="0" borderId="14" xfId="0" applyNumberForma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6" borderId="16" xfId="3" applyFont="1" applyFill="1" applyBorder="1" applyAlignment="1">
      <alignment horizontal="center" vertical="center"/>
    </xf>
    <xf numFmtId="0" fontId="10" fillId="6" borderId="17" xfId="3" applyFont="1" applyFill="1" applyBorder="1" applyAlignment="1">
      <alignment horizontal="center" vertical="center"/>
    </xf>
    <xf numFmtId="0" fontId="10" fillId="6" borderId="18" xfId="3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F294E010-DBC2-4F2B-B951-8C26902D30E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ecd61295a042a9/Documentos/Classroom/Evaluaci&#243;n%20Privada%20de%20Proyectos/Collaboration%20Space/Shared%20Resources/13%20EJERCICIOS%20Y%20CASOS%20DE%20CLASES/CASO%20PANIFICADORA%20ESMERA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 Sin Py"/>
      <sheetName val="COSTO DE CAPITAL"/>
      <sheetName val="Alter Con py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DISON ACHALMA" id="{A2CE1B74-F95E-4C5A-B9C8-8190FE25F10E}" userId="b1ecd61295a042a9" providerId="Windows Live"/>
</personList>
</file>

<file path=xl/theme/theme1.xml><?xml version="1.0" encoding="utf-8"?>
<a:theme xmlns:a="http://schemas.openxmlformats.org/drawingml/2006/main" name="Office Them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5" dT="2021-08-11T17:33:41.08" personId="{A2CE1B74-F95E-4C5A-B9C8-8190FE25F10E}" id="{56984B93-8104-498D-A799-F806415FB093}">
    <text>Tasa de descuento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C1C9-0A42-454E-BC0A-9B28B15CA196}">
  <dimension ref="B2:I130"/>
  <sheetViews>
    <sheetView showGridLines="0" tabSelected="1" workbookViewId="0">
      <selection activeCell="I34" sqref="I34"/>
    </sheetView>
  </sheetViews>
  <sheetFormatPr baseColWidth="10" defaultRowHeight="15" x14ac:dyDescent="0.25"/>
  <cols>
    <col min="1" max="1" width="11.42578125" style="3"/>
    <col min="2" max="2" width="39.85546875" style="3" customWidth="1"/>
    <col min="3" max="3" width="14.85546875" style="3" bestFit="1" customWidth="1"/>
    <col min="4" max="4" width="15.7109375" style="3" bestFit="1" customWidth="1"/>
    <col min="5" max="5" width="12.42578125" style="3" bestFit="1" customWidth="1"/>
    <col min="6" max="6" width="12.7109375" style="3" bestFit="1" customWidth="1"/>
    <col min="7" max="7" width="12.42578125" style="3" bestFit="1" customWidth="1"/>
    <col min="8" max="9" width="12.7109375" style="3" bestFit="1" customWidth="1"/>
    <col min="10" max="16384" width="11.42578125" style="3"/>
  </cols>
  <sheetData>
    <row r="2" spans="2:4" ht="23.25" x14ac:dyDescent="0.25">
      <c r="B2" s="69" t="s">
        <v>60</v>
      </c>
    </row>
    <row r="3" spans="2:4" x14ac:dyDescent="0.25">
      <c r="B3" s="97"/>
      <c r="C3" s="97"/>
      <c r="D3" s="97"/>
    </row>
    <row r="4" spans="2:4" x14ac:dyDescent="0.25">
      <c r="B4" s="4" t="s">
        <v>0</v>
      </c>
    </row>
    <row r="5" spans="2:4" x14ac:dyDescent="0.25">
      <c r="B5" s="98" t="s">
        <v>1</v>
      </c>
      <c r="C5" s="98" t="s">
        <v>2</v>
      </c>
      <c r="D5" s="98"/>
    </row>
    <row r="6" spans="2:4" x14ac:dyDescent="0.25">
      <c r="B6" s="98"/>
      <c r="C6" s="5" t="s">
        <v>54</v>
      </c>
      <c r="D6" s="5" t="s">
        <v>55</v>
      </c>
    </row>
    <row r="7" spans="2:4" x14ac:dyDescent="0.25">
      <c r="B7" s="6" t="s">
        <v>3</v>
      </c>
      <c r="C7" s="7">
        <v>0</v>
      </c>
      <c r="D7" s="7">
        <v>10000000</v>
      </c>
    </row>
    <row r="8" spans="2:4" x14ac:dyDescent="0.25">
      <c r="B8" s="6" t="s">
        <v>4</v>
      </c>
      <c r="C8" s="9">
        <v>6</v>
      </c>
      <c r="D8" s="9">
        <v>4</v>
      </c>
    </row>
    <row r="9" spans="2:4" x14ac:dyDescent="0.25">
      <c r="B9" s="10" t="s">
        <v>5</v>
      </c>
      <c r="C9" s="8"/>
      <c r="D9" s="8"/>
    </row>
    <row r="10" spans="2:4" x14ac:dyDescent="0.25">
      <c r="B10" s="8" t="s">
        <v>36</v>
      </c>
      <c r="C10" s="8">
        <f>C14*60%</f>
        <v>15000000</v>
      </c>
      <c r="D10" s="8">
        <f>C10</f>
        <v>15000000</v>
      </c>
    </row>
    <row r="11" spans="2:4" x14ac:dyDescent="0.25">
      <c r="B11" s="8" t="s">
        <v>6</v>
      </c>
      <c r="C11" s="7">
        <v>1300000</v>
      </c>
      <c r="D11" s="7">
        <f>C11</f>
        <v>1300000</v>
      </c>
    </row>
    <row r="12" spans="2:4" x14ac:dyDescent="0.25">
      <c r="B12" s="8" t="s">
        <v>7</v>
      </c>
      <c r="C12" s="9" t="s">
        <v>8</v>
      </c>
      <c r="D12" s="9" t="s">
        <v>8</v>
      </c>
    </row>
    <row r="13" spans="2:4" x14ac:dyDescent="0.25">
      <c r="B13" s="8" t="s">
        <v>9</v>
      </c>
      <c r="C13" s="11">
        <v>0.29499999999999998</v>
      </c>
      <c r="D13" s="11">
        <v>0.29499999999999998</v>
      </c>
    </row>
    <row r="14" spans="2:4" x14ac:dyDescent="0.25">
      <c r="B14" s="12" t="s">
        <v>10</v>
      </c>
      <c r="C14" s="8">
        <v>25000000</v>
      </c>
      <c r="D14" s="8">
        <v>45000000</v>
      </c>
    </row>
    <row r="16" spans="2:4" x14ac:dyDescent="0.25">
      <c r="B16" s="4" t="s">
        <v>18</v>
      </c>
    </row>
    <row r="17" spans="2:7" x14ac:dyDescent="0.25">
      <c r="B17" s="13" t="s">
        <v>19</v>
      </c>
    </row>
    <row r="18" spans="2:7" x14ac:dyDescent="0.25">
      <c r="B18" s="13" t="s">
        <v>20</v>
      </c>
    </row>
    <row r="20" spans="2:7" x14ac:dyDescent="0.25">
      <c r="B20" s="13" t="s">
        <v>21</v>
      </c>
    </row>
    <row r="22" spans="2:7" x14ac:dyDescent="0.25">
      <c r="B22" s="13" t="s">
        <v>22</v>
      </c>
    </row>
    <row r="24" spans="2:7" x14ac:dyDescent="0.25">
      <c r="B24" s="13" t="s">
        <v>23</v>
      </c>
    </row>
    <row r="26" spans="2:7" x14ac:dyDescent="0.25">
      <c r="B26" s="4" t="s">
        <v>59</v>
      </c>
    </row>
    <row r="27" spans="2:7" x14ac:dyDescent="0.25">
      <c r="B27" s="13" t="s">
        <v>16</v>
      </c>
    </row>
    <row r="28" spans="2:7" x14ac:dyDescent="0.25">
      <c r="B28" s="13" t="s">
        <v>17</v>
      </c>
    </row>
    <row r="30" spans="2:7" ht="23.25" x14ac:dyDescent="0.25">
      <c r="B30" s="68" t="s">
        <v>54</v>
      </c>
    </row>
    <row r="32" spans="2:7" x14ac:dyDescent="0.25">
      <c r="B32" s="97" t="s">
        <v>56</v>
      </c>
      <c r="C32" s="97"/>
      <c r="D32" s="97"/>
      <c r="E32" s="97"/>
      <c r="F32" s="97"/>
      <c r="G32" s="97"/>
    </row>
    <row r="34" spans="2:7" x14ac:dyDescent="0.25">
      <c r="B34" s="5" t="s">
        <v>1</v>
      </c>
      <c r="C34" s="5">
        <v>0</v>
      </c>
      <c r="D34" s="5">
        <v>1</v>
      </c>
      <c r="E34" s="5">
        <v>2</v>
      </c>
      <c r="F34" s="5">
        <v>3</v>
      </c>
      <c r="G34" s="5">
        <v>4</v>
      </c>
    </row>
    <row r="35" spans="2:7" x14ac:dyDescent="0.25">
      <c r="B35" s="6" t="s">
        <v>33</v>
      </c>
      <c r="C35" s="9"/>
      <c r="D35" s="64">
        <f>C14</f>
        <v>25000000</v>
      </c>
      <c r="E35" s="64">
        <f>D35</f>
        <v>25000000</v>
      </c>
      <c r="F35" s="64">
        <f t="shared" ref="F35:G35" si="0">E35</f>
        <v>25000000</v>
      </c>
      <c r="G35" s="64">
        <f t="shared" si="0"/>
        <v>25000000</v>
      </c>
    </row>
    <row r="36" spans="2:7" x14ac:dyDescent="0.25">
      <c r="B36" s="6" t="s">
        <v>35</v>
      </c>
      <c r="C36" s="9"/>
      <c r="D36" s="64">
        <f>-D35*60%</f>
        <v>-15000000</v>
      </c>
      <c r="E36" s="64">
        <f t="shared" ref="E36:G36" si="1">-E35*60%</f>
        <v>-15000000</v>
      </c>
      <c r="F36" s="64">
        <f t="shared" si="1"/>
        <v>-15000000</v>
      </c>
      <c r="G36" s="64">
        <f t="shared" si="1"/>
        <v>-15000000</v>
      </c>
    </row>
    <row r="37" spans="2:7" x14ac:dyDescent="0.25">
      <c r="B37" s="6" t="s">
        <v>11</v>
      </c>
      <c r="C37" s="9"/>
      <c r="D37" s="64">
        <f>-$C$11</f>
        <v>-1300000</v>
      </c>
      <c r="E37" s="64">
        <f>-$C$11</f>
        <v>-1300000</v>
      </c>
      <c r="F37" s="64">
        <f>-$C$11</f>
        <v>-1300000</v>
      </c>
      <c r="G37" s="64">
        <f>-$C$11</f>
        <v>-1300000</v>
      </c>
    </row>
    <row r="38" spans="2:7" x14ac:dyDescent="0.25">
      <c r="B38" s="6" t="s">
        <v>12</v>
      </c>
      <c r="C38" s="9"/>
      <c r="D38" s="64">
        <f>-1000000</f>
        <v>-1000000</v>
      </c>
      <c r="E38" s="64">
        <f t="shared" ref="E38:G38" si="2">-1000000</f>
        <v>-1000000</v>
      </c>
      <c r="F38" s="64">
        <f t="shared" si="2"/>
        <v>-1000000</v>
      </c>
      <c r="G38" s="64">
        <f t="shared" si="2"/>
        <v>-1000000</v>
      </c>
    </row>
    <row r="39" spans="2:7" x14ac:dyDescent="0.25">
      <c r="B39" s="65" t="s">
        <v>13</v>
      </c>
      <c r="C39" s="9">
        <f>SUM(C35:C38)</f>
        <v>0</v>
      </c>
      <c r="D39" s="64">
        <f>SUM(D35:D38)</f>
        <v>7700000</v>
      </c>
      <c r="E39" s="64">
        <f>SUM(E35:E38)</f>
        <v>7700000</v>
      </c>
      <c r="F39" s="9">
        <f>SUM(F35:F38)</f>
        <v>7700000</v>
      </c>
      <c r="G39" s="9">
        <f>SUM(G35:G38)</f>
        <v>7700000</v>
      </c>
    </row>
    <row r="40" spans="2:7" x14ac:dyDescent="0.25">
      <c r="B40" s="6" t="s">
        <v>14</v>
      </c>
      <c r="C40" s="9">
        <f>-C39*$C$13</f>
        <v>0</v>
      </c>
      <c r="D40" s="9">
        <f>-D39*$C$13</f>
        <v>-2271500</v>
      </c>
      <c r="E40" s="9">
        <f>-E39*$C$13</f>
        <v>-2271500</v>
      </c>
      <c r="F40" s="9">
        <f>-F39*$C$13</f>
        <v>-2271500</v>
      </c>
      <c r="G40" s="9">
        <f>-G39*$C$13</f>
        <v>-2271500</v>
      </c>
    </row>
    <row r="41" spans="2:7" x14ac:dyDescent="0.25">
      <c r="B41" s="66" t="s">
        <v>15</v>
      </c>
      <c r="C41" s="66">
        <f>C39+C40</f>
        <v>0</v>
      </c>
      <c r="D41" s="67">
        <f>D39+D40</f>
        <v>5428500</v>
      </c>
      <c r="E41" s="66">
        <f>E39+E40</f>
        <v>5428500</v>
      </c>
      <c r="F41" s="66">
        <f>F39+F40</f>
        <v>5428500</v>
      </c>
      <c r="G41" s="66">
        <f>G39+G40</f>
        <v>5428500</v>
      </c>
    </row>
    <row r="42" spans="2:7" x14ac:dyDescent="0.25">
      <c r="B42" s="13"/>
      <c r="C42" s="24"/>
    </row>
    <row r="44" spans="2:7" x14ac:dyDescent="0.25">
      <c r="B44" s="97" t="s">
        <v>57</v>
      </c>
      <c r="C44" s="97"/>
      <c r="D44" s="97"/>
      <c r="E44" s="97"/>
      <c r="F44" s="97"/>
      <c r="G44" s="97"/>
    </row>
    <row r="45" spans="2:7" ht="15.75" thickBot="1" x14ac:dyDescent="0.3"/>
    <row r="46" spans="2:7" ht="15.75" thickBot="1" x14ac:dyDescent="0.3">
      <c r="B46" s="14" t="s">
        <v>1</v>
      </c>
      <c r="C46" s="15">
        <v>0</v>
      </c>
      <c r="D46" s="15">
        <v>1</v>
      </c>
      <c r="E46" s="15">
        <v>2</v>
      </c>
      <c r="F46" s="15">
        <v>3</v>
      </c>
      <c r="G46" s="16">
        <v>4</v>
      </c>
    </row>
    <row r="47" spans="2:7" x14ac:dyDescent="0.25">
      <c r="B47" s="25" t="s">
        <v>51</v>
      </c>
      <c r="C47" s="26"/>
      <c r="D47" s="26"/>
      <c r="E47" s="26"/>
      <c r="F47" s="26"/>
      <c r="G47" s="27"/>
    </row>
    <row r="48" spans="2:7" x14ac:dyDescent="0.25">
      <c r="B48" s="17" t="s">
        <v>33</v>
      </c>
      <c r="C48" s="28">
        <f>SUM(C46)</f>
        <v>0</v>
      </c>
      <c r="D48" s="29">
        <f>D35</f>
        <v>25000000</v>
      </c>
      <c r="E48" s="29">
        <f t="shared" ref="E48:G48" si="3">E35</f>
        <v>25000000</v>
      </c>
      <c r="F48" s="29">
        <f t="shared" si="3"/>
        <v>25000000</v>
      </c>
      <c r="G48" s="29">
        <f t="shared" si="3"/>
        <v>25000000</v>
      </c>
    </row>
    <row r="49" spans="2:9" x14ac:dyDescent="0.25">
      <c r="B49" s="25" t="s">
        <v>52</v>
      </c>
      <c r="C49" s="26"/>
      <c r="D49" s="26"/>
      <c r="E49" s="26"/>
      <c r="F49" s="26"/>
      <c r="G49" s="27"/>
    </row>
    <row r="50" spans="2:9" x14ac:dyDescent="0.25">
      <c r="B50" s="18" t="s">
        <v>53</v>
      </c>
      <c r="C50" s="30">
        <f>SUM(C48)</f>
        <v>0</v>
      </c>
      <c r="D50" s="31">
        <f t="shared" ref="D50:G51" si="4">D36</f>
        <v>-15000000</v>
      </c>
      <c r="E50" s="31">
        <f t="shared" si="4"/>
        <v>-15000000</v>
      </c>
      <c r="F50" s="31">
        <f t="shared" si="4"/>
        <v>-15000000</v>
      </c>
      <c r="G50" s="31">
        <f t="shared" si="4"/>
        <v>-15000000</v>
      </c>
    </row>
    <row r="51" spans="2:9" x14ac:dyDescent="0.25">
      <c r="B51" s="18" t="s">
        <v>11</v>
      </c>
      <c r="C51" s="30">
        <f>SUM(C50)</f>
        <v>0</v>
      </c>
      <c r="D51" s="31">
        <f t="shared" si="4"/>
        <v>-1300000</v>
      </c>
      <c r="E51" s="31">
        <f t="shared" si="4"/>
        <v>-1300000</v>
      </c>
      <c r="F51" s="31">
        <f t="shared" si="4"/>
        <v>-1300000</v>
      </c>
      <c r="G51" s="31">
        <f t="shared" si="4"/>
        <v>-1300000</v>
      </c>
    </row>
    <row r="52" spans="2:9" ht="15.75" thickBot="1" x14ac:dyDescent="0.3">
      <c r="B52" s="18" t="s">
        <v>14</v>
      </c>
      <c r="C52" s="30">
        <f>SUM(C51)</f>
        <v>0</v>
      </c>
      <c r="D52" s="30">
        <f>D40</f>
        <v>-2271500</v>
      </c>
      <c r="E52" s="30">
        <f>E40</f>
        <v>-2271500</v>
      </c>
      <c r="F52" s="30">
        <f>F40</f>
        <v>-2271500</v>
      </c>
      <c r="G52" s="30">
        <f>G40</f>
        <v>-2271500</v>
      </c>
    </row>
    <row r="53" spans="2:9" ht="15.75" thickBot="1" x14ac:dyDescent="0.3">
      <c r="B53" s="21" t="s">
        <v>24</v>
      </c>
      <c r="C53" s="33">
        <v>0</v>
      </c>
      <c r="D53" s="34">
        <f>SUM(D48:D52)</f>
        <v>6428500</v>
      </c>
      <c r="E53" s="34">
        <f>SUM(E48:E52)</f>
        <v>6428500</v>
      </c>
      <c r="F53" s="34">
        <f>SUM(F48:F52)</f>
        <v>6428500</v>
      </c>
      <c r="G53" s="34">
        <f>SUM(G48:G52)</f>
        <v>6428500</v>
      </c>
    </row>
    <row r="55" spans="2:9" x14ac:dyDescent="0.25">
      <c r="B55" s="13" t="s">
        <v>25</v>
      </c>
      <c r="C55" s="35">
        <v>0.15</v>
      </c>
    </row>
    <row r="57" spans="2:9" x14ac:dyDescent="0.25">
      <c r="B57" s="4" t="s">
        <v>26</v>
      </c>
      <c r="C57" s="36">
        <f>NPV(C55,D53:G53)+C53</f>
        <v>18353228.404701244</v>
      </c>
      <c r="D57" s="37"/>
    </row>
    <row r="59" spans="2:9" ht="23.25" x14ac:dyDescent="0.25">
      <c r="B59" s="68" t="s">
        <v>55</v>
      </c>
    </row>
    <row r="60" spans="2:9" x14ac:dyDescent="0.25">
      <c r="B60" s="4"/>
    </row>
    <row r="61" spans="2:9" x14ac:dyDescent="0.25">
      <c r="B61" s="94" t="s">
        <v>37</v>
      </c>
      <c r="C61" s="95"/>
      <c r="D61" s="95"/>
      <c r="E61" s="95"/>
      <c r="F61" s="95"/>
      <c r="G61" s="95"/>
      <c r="H61" s="95"/>
      <c r="I61" s="96"/>
    </row>
    <row r="62" spans="2:9" ht="25.5" x14ac:dyDescent="0.25">
      <c r="B62" s="38" t="s">
        <v>38</v>
      </c>
      <c r="C62" s="38" t="s">
        <v>39</v>
      </c>
      <c r="D62" s="39" t="s">
        <v>40</v>
      </c>
      <c r="E62" s="40" t="s">
        <v>41</v>
      </c>
      <c r="F62" s="40" t="s">
        <v>42</v>
      </c>
      <c r="G62" s="40" t="s">
        <v>43</v>
      </c>
      <c r="H62" s="40" t="s">
        <v>44</v>
      </c>
      <c r="I62" s="40" t="s">
        <v>45</v>
      </c>
    </row>
    <row r="63" spans="2:9" x14ac:dyDescent="0.25">
      <c r="B63" s="1" t="s">
        <v>46</v>
      </c>
      <c r="C63" s="29">
        <v>10000000</v>
      </c>
      <c r="D63" s="29">
        <v>4</v>
      </c>
      <c r="E63" s="41">
        <f>1/D63</f>
        <v>0.25</v>
      </c>
      <c r="F63" s="29">
        <f>+C63*E63</f>
        <v>2500000</v>
      </c>
      <c r="G63" s="29">
        <v>0</v>
      </c>
      <c r="H63" s="29">
        <f>0.2*(C63)</f>
        <v>2000000</v>
      </c>
      <c r="I63" s="29">
        <f>+H63</f>
        <v>2000000</v>
      </c>
    </row>
    <row r="64" spans="2:9" x14ac:dyDescent="0.25">
      <c r="B64" s="42"/>
      <c r="C64" s="42"/>
      <c r="D64" s="42"/>
      <c r="E64" s="42"/>
      <c r="F64" s="42"/>
      <c r="G64" s="42"/>
      <c r="H64" s="42"/>
      <c r="I64" s="42"/>
    </row>
    <row r="65" spans="2:7" ht="15.75" x14ac:dyDescent="0.25">
      <c r="B65" s="99" t="s">
        <v>56</v>
      </c>
      <c r="C65" s="99"/>
      <c r="D65" s="99"/>
      <c r="E65" s="99"/>
      <c r="F65" s="99"/>
      <c r="G65" s="99"/>
    </row>
    <row r="66" spans="2:7" ht="15.75" thickBot="1" x14ac:dyDescent="0.3"/>
    <row r="67" spans="2:7" ht="15.75" thickBot="1" x14ac:dyDescent="0.3">
      <c r="B67" s="14" t="s">
        <v>1</v>
      </c>
      <c r="C67" s="15">
        <v>0</v>
      </c>
      <c r="D67" s="15">
        <v>1</v>
      </c>
      <c r="E67" s="15">
        <v>2</v>
      </c>
      <c r="F67" s="15">
        <v>3</v>
      </c>
      <c r="G67" s="16">
        <v>4</v>
      </c>
    </row>
    <row r="68" spans="2:7" x14ac:dyDescent="0.25">
      <c r="B68" s="17" t="s">
        <v>33</v>
      </c>
      <c r="C68" s="28"/>
      <c r="D68" s="29">
        <f>D14</f>
        <v>45000000</v>
      </c>
      <c r="E68" s="29">
        <f>D14</f>
        <v>45000000</v>
      </c>
      <c r="F68" s="29">
        <f>D14</f>
        <v>45000000</v>
      </c>
      <c r="G68" s="43">
        <f>D14</f>
        <v>45000000</v>
      </c>
    </row>
    <row r="69" spans="2:7" x14ac:dyDescent="0.25">
      <c r="B69" s="18" t="s">
        <v>35</v>
      </c>
      <c r="C69" s="30"/>
      <c r="D69" s="31">
        <f>-D68*60%</f>
        <v>-27000000</v>
      </c>
      <c r="E69" s="31">
        <f t="shared" ref="E69:G69" si="5">-E68*60%</f>
        <v>-27000000</v>
      </c>
      <c r="F69" s="31">
        <f t="shared" si="5"/>
        <v>-27000000</v>
      </c>
      <c r="G69" s="31">
        <f t="shared" si="5"/>
        <v>-27000000</v>
      </c>
    </row>
    <row r="70" spans="2:7" x14ac:dyDescent="0.25">
      <c r="B70" s="18" t="s">
        <v>11</v>
      </c>
      <c r="C70" s="30"/>
      <c r="D70" s="31">
        <f>-$D$11</f>
        <v>-1300000</v>
      </c>
      <c r="E70" s="31">
        <f>-$D$11</f>
        <v>-1300000</v>
      </c>
      <c r="F70" s="31">
        <f>-$D$11</f>
        <v>-1300000</v>
      </c>
      <c r="G70" s="31">
        <f>-$D$11</f>
        <v>-1300000</v>
      </c>
    </row>
    <row r="71" spans="2:7" x14ac:dyDescent="0.25">
      <c r="B71" s="18" t="s">
        <v>12</v>
      </c>
      <c r="C71" s="30"/>
      <c r="D71" s="31">
        <f>F63</f>
        <v>2500000</v>
      </c>
      <c r="E71" s="31">
        <f>F63</f>
        <v>2500000</v>
      </c>
      <c r="F71" s="31">
        <f>F63</f>
        <v>2500000</v>
      </c>
      <c r="G71" s="31">
        <f>F63</f>
        <v>2500000</v>
      </c>
    </row>
    <row r="72" spans="2:7" x14ac:dyDescent="0.25">
      <c r="B72" s="19" t="s">
        <v>13</v>
      </c>
      <c r="C72" s="70">
        <f>SUM(C68:C71)</f>
        <v>0</v>
      </c>
      <c r="D72" s="70">
        <f>SUM(D68:D71)</f>
        <v>19200000</v>
      </c>
      <c r="E72" s="70">
        <f>SUM(E68:E71)</f>
        <v>19200000</v>
      </c>
      <c r="F72" s="70">
        <f>SUM(F68:F71)</f>
        <v>19200000</v>
      </c>
      <c r="G72" s="70">
        <f>SUM(G68:G71)</f>
        <v>19200000</v>
      </c>
    </row>
    <row r="73" spans="2:7" ht="15.75" thickBot="1" x14ac:dyDescent="0.3">
      <c r="B73" s="20" t="s">
        <v>14</v>
      </c>
      <c r="C73" s="31">
        <f>-C72*D13</f>
        <v>0</v>
      </c>
      <c r="D73" s="31">
        <f>-D72*$C$13</f>
        <v>-5664000</v>
      </c>
      <c r="E73" s="31">
        <f>-E72*$C$13</f>
        <v>-5664000</v>
      </c>
      <c r="F73" s="31">
        <f>-F72*$C$13</f>
        <v>-5664000</v>
      </c>
      <c r="G73" s="31">
        <f>-G72*$C$13</f>
        <v>-5664000</v>
      </c>
    </row>
    <row r="74" spans="2:7" ht="15.75" thickBot="1" x14ac:dyDescent="0.3">
      <c r="B74" s="21" t="s">
        <v>15</v>
      </c>
      <c r="C74" s="21">
        <f>C72+C73</f>
        <v>0</v>
      </c>
      <c r="D74" s="21">
        <f>D72+D73</f>
        <v>13536000</v>
      </c>
      <c r="E74" s="21">
        <f>E72+E73</f>
        <v>13536000</v>
      </c>
      <c r="F74" s="21">
        <f>F72+F73</f>
        <v>13536000</v>
      </c>
      <c r="G74" s="21">
        <f>G72+G73</f>
        <v>13536000</v>
      </c>
    </row>
    <row r="76" spans="2:7" ht="15.75" x14ac:dyDescent="0.25">
      <c r="B76" s="99" t="s">
        <v>58</v>
      </c>
      <c r="C76" s="99"/>
      <c r="D76" s="99"/>
      <c r="E76" s="99"/>
      <c r="F76" s="99"/>
      <c r="G76" s="99"/>
    </row>
    <row r="77" spans="2:7" ht="15.75" thickBot="1" x14ac:dyDescent="0.3"/>
    <row r="78" spans="2:7" ht="15.75" thickBot="1" x14ac:dyDescent="0.3">
      <c r="B78" s="14" t="s">
        <v>1</v>
      </c>
      <c r="C78" s="15">
        <v>0</v>
      </c>
      <c r="D78" s="15">
        <v>1</v>
      </c>
      <c r="E78" s="15">
        <v>2</v>
      </c>
      <c r="F78" s="15">
        <v>3</v>
      </c>
      <c r="G78" s="16">
        <v>4</v>
      </c>
    </row>
    <row r="79" spans="2:7" x14ac:dyDescent="0.25">
      <c r="B79" s="25" t="s">
        <v>47</v>
      </c>
      <c r="C79" s="26"/>
      <c r="D79" s="26"/>
      <c r="E79" s="26"/>
      <c r="F79" s="26"/>
      <c r="G79" s="27"/>
    </row>
    <row r="80" spans="2:7" x14ac:dyDescent="0.25">
      <c r="B80" s="47" t="s">
        <v>27</v>
      </c>
      <c r="C80" s="48">
        <f>-D7</f>
        <v>-10000000</v>
      </c>
      <c r="D80" s="49"/>
      <c r="E80" s="49"/>
      <c r="F80" s="49"/>
      <c r="G80" s="50"/>
    </row>
    <row r="81" spans="2:7" x14ac:dyDescent="0.25">
      <c r="B81" s="51" t="s">
        <v>49</v>
      </c>
      <c r="C81" s="52">
        <f>-(D84-D48)*10%</f>
        <v>-2000000</v>
      </c>
      <c r="D81" s="53"/>
      <c r="E81" s="53"/>
      <c r="F81" s="53"/>
      <c r="G81" s="54"/>
    </row>
    <row r="82" spans="2:7" x14ac:dyDescent="0.25">
      <c r="B82" s="51" t="s">
        <v>50</v>
      </c>
      <c r="C82" s="52"/>
      <c r="D82" s="53"/>
      <c r="E82" s="53"/>
      <c r="F82" s="53"/>
      <c r="G82" s="55">
        <f>-C81</f>
        <v>2000000</v>
      </c>
    </row>
    <row r="83" spans="2:7" x14ac:dyDescent="0.25">
      <c r="B83" s="25" t="s">
        <v>48</v>
      </c>
      <c r="C83" s="26"/>
      <c r="D83" s="26"/>
      <c r="E83" s="26"/>
      <c r="F83" s="26"/>
      <c r="G83" s="27"/>
    </row>
    <row r="84" spans="2:7" x14ac:dyDescent="0.25">
      <c r="B84" s="18" t="s">
        <v>33</v>
      </c>
      <c r="C84" s="30">
        <f>SUM(C78)</f>
        <v>0</v>
      </c>
      <c r="D84" s="31">
        <f t="shared" ref="D84:G86" si="6">D68</f>
        <v>45000000</v>
      </c>
      <c r="E84" s="31">
        <f t="shared" si="6"/>
        <v>45000000</v>
      </c>
      <c r="F84" s="31">
        <f t="shared" si="6"/>
        <v>45000000</v>
      </c>
      <c r="G84" s="32">
        <f t="shared" si="6"/>
        <v>45000000</v>
      </c>
    </row>
    <row r="85" spans="2:7" x14ac:dyDescent="0.25">
      <c r="B85" s="18" t="s">
        <v>34</v>
      </c>
      <c r="C85" s="30">
        <f>SUM(C84)</f>
        <v>0</v>
      </c>
      <c r="D85" s="31">
        <f t="shared" si="6"/>
        <v>-27000000</v>
      </c>
      <c r="E85" s="31">
        <f t="shared" si="6"/>
        <v>-27000000</v>
      </c>
      <c r="F85" s="31">
        <f t="shared" si="6"/>
        <v>-27000000</v>
      </c>
      <c r="G85" s="32">
        <f t="shared" si="6"/>
        <v>-27000000</v>
      </c>
    </row>
    <row r="86" spans="2:7" x14ac:dyDescent="0.25">
      <c r="B86" s="18" t="s">
        <v>11</v>
      </c>
      <c r="C86" s="30">
        <f>SUM(C85)</f>
        <v>0</v>
      </c>
      <c r="D86" s="31">
        <f t="shared" si="6"/>
        <v>-1300000</v>
      </c>
      <c r="E86" s="31">
        <f t="shared" si="6"/>
        <v>-1300000</v>
      </c>
      <c r="F86" s="31">
        <f t="shared" si="6"/>
        <v>-1300000</v>
      </c>
      <c r="G86" s="32">
        <f t="shared" si="6"/>
        <v>-1300000</v>
      </c>
    </row>
    <row r="87" spans="2:7" ht="15.75" thickBot="1" x14ac:dyDescent="0.3">
      <c r="B87" s="18" t="s">
        <v>14</v>
      </c>
      <c r="C87" s="30">
        <f>SUM(C86)</f>
        <v>0</v>
      </c>
      <c r="D87" s="30">
        <f>D73</f>
        <v>-5664000</v>
      </c>
      <c r="E87" s="30">
        <f>E73</f>
        <v>-5664000</v>
      </c>
      <c r="F87" s="30">
        <f>F73</f>
        <v>-5664000</v>
      </c>
      <c r="G87" s="44">
        <f>G73</f>
        <v>-5664000</v>
      </c>
    </row>
    <row r="88" spans="2:7" ht="15.75" thickBot="1" x14ac:dyDescent="0.3">
      <c r="B88" s="21" t="s">
        <v>28</v>
      </c>
      <c r="C88" s="56">
        <f>SUM(C80:C87)</f>
        <v>-12000000</v>
      </c>
      <c r="D88" s="56">
        <f>SUM(D80:D87)</f>
        <v>11036000</v>
      </c>
      <c r="E88" s="56">
        <f>SUM(E80:E87)</f>
        <v>11036000</v>
      </c>
      <c r="F88" s="56">
        <f>SUM(F80:F87)</f>
        <v>11036000</v>
      </c>
      <c r="G88" s="56">
        <f>SUM(G80:G87)</f>
        <v>13036000</v>
      </c>
    </row>
    <row r="90" spans="2:7" x14ac:dyDescent="0.25">
      <c r="B90" s="13" t="s">
        <v>25</v>
      </c>
      <c r="C90" s="57">
        <v>0.15</v>
      </c>
    </row>
    <row r="92" spans="2:7" x14ac:dyDescent="0.25">
      <c r="B92" s="4" t="s">
        <v>26</v>
      </c>
      <c r="C92" s="58">
        <f>NPV(C90,D88:G88)+C88</f>
        <v>20651047.702087983</v>
      </c>
    </row>
    <row r="95" spans="2:7" ht="18" x14ac:dyDescent="0.25">
      <c r="B95" s="91" t="s">
        <v>61</v>
      </c>
      <c r="C95" s="91"/>
      <c r="D95" s="91"/>
      <c r="E95" s="91"/>
      <c r="F95" s="91"/>
      <c r="G95" s="91"/>
    </row>
    <row r="97" spans="2:7" x14ac:dyDescent="0.25">
      <c r="B97" s="13" t="s">
        <v>29</v>
      </c>
    </row>
    <row r="98" spans="2:7" ht="15.75" thickBot="1" x14ac:dyDescent="0.3">
      <c r="B98" s="13"/>
    </row>
    <row r="99" spans="2:7" ht="15.75" thickBot="1" x14ac:dyDescent="0.3">
      <c r="B99" s="21" t="s">
        <v>1</v>
      </c>
      <c r="C99" s="22">
        <v>0</v>
      </c>
      <c r="D99" s="22">
        <f>C99+1</f>
        <v>1</v>
      </c>
      <c r="E99" s="22">
        <f>D99+1</f>
        <v>2</v>
      </c>
      <c r="F99" s="22">
        <f>E99+1</f>
        <v>3</v>
      </c>
      <c r="G99" s="23">
        <f>F99+1</f>
        <v>4</v>
      </c>
    </row>
    <row r="100" spans="2:7" x14ac:dyDescent="0.25">
      <c r="B100" s="59" t="s">
        <v>30</v>
      </c>
      <c r="C100" s="60">
        <f>C88</f>
        <v>-12000000</v>
      </c>
      <c r="D100" s="60">
        <f>D88</f>
        <v>11036000</v>
      </c>
      <c r="E100" s="60">
        <f>E88</f>
        <v>11036000</v>
      </c>
      <c r="F100" s="60">
        <f>F88</f>
        <v>11036000</v>
      </c>
      <c r="G100" s="61">
        <f>G88</f>
        <v>13036000</v>
      </c>
    </row>
    <row r="101" spans="2:7" ht="15.75" thickBot="1" x14ac:dyDescent="0.3">
      <c r="B101" s="20" t="s">
        <v>31</v>
      </c>
      <c r="C101" s="45">
        <f>C53</f>
        <v>0</v>
      </c>
      <c r="D101" s="90">
        <f>D53</f>
        <v>6428500</v>
      </c>
      <c r="E101" s="45">
        <f>E53</f>
        <v>6428500</v>
      </c>
      <c r="F101" s="45">
        <f>F53</f>
        <v>6428500</v>
      </c>
      <c r="G101" s="46">
        <f>G53</f>
        <v>6428500</v>
      </c>
    </row>
    <row r="102" spans="2:7" ht="15.75" thickBot="1" x14ac:dyDescent="0.3">
      <c r="B102" s="62" t="s">
        <v>32</v>
      </c>
      <c r="C102" s="56">
        <f>C100-C101</f>
        <v>-12000000</v>
      </c>
      <c r="D102" s="56">
        <f>D100-D101</f>
        <v>4607500</v>
      </c>
      <c r="E102" s="56">
        <f>E100-E101</f>
        <v>4607500</v>
      </c>
      <c r="F102" s="56">
        <f>F100-F101</f>
        <v>4607500</v>
      </c>
      <c r="G102" s="63">
        <f>G100-G101</f>
        <v>6607500</v>
      </c>
    </row>
    <row r="105" spans="2:7" x14ac:dyDescent="0.2">
      <c r="B105" s="92" t="s">
        <v>62</v>
      </c>
      <c r="C105" s="92"/>
      <c r="D105" s="92"/>
    </row>
    <row r="106" spans="2:7" x14ac:dyDescent="0.2">
      <c r="B106" s="71"/>
      <c r="C106" s="2"/>
      <c r="D106" s="2"/>
    </row>
    <row r="107" spans="2:7" x14ac:dyDescent="0.25">
      <c r="B107"/>
      <c r="C107" t="s">
        <v>76</v>
      </c>
      <c r="D107" s="79">
        <v>0.03</v>
      </c>
    </row>
    <row r="108" spans="2:7" x14ac:dyDescent="0.25">
      <c r="B108"/>
      <c r="C108"/>
      <c r="D108"/>
    </row>
    <row r="109" spans="2:7" hidden="1" x14ac:dyDescent="0.25">
      <c r="B109"/>
      <c r="C109"/>
      <c r="D109"/>
    </row>
    <row r="110" spans="2:7" hidden="1" x14ac:dyDescent="0.2">
      <c r="B110" s="80" t="s">
        <v>69</v>
      </c>
      <c r="C110" s="81"/>
      <c r="D110" s="81"/>
    </row>
    <row r="111" spans="2:7" hidden="1" x14ac:dyDescent="0.2">
      <c r="B111" s="81" t="s">
        <v>70</v>
      </c>
      <c r="C111" s="81"/>
      <c r="D111" s="82">
        <v>5.1799999999999999E-2</v>
      </c>
    </row>
    <row r="112" spans="2:7" hidden="1" x14ac:dyDescent="0.2">
      <c r="B112" s="81" t="s">
        <v>71</v>
      </c>
      <c r="C112" s="81"/>
      <c r="D112" s="82">
        <f>D113+D111</f>
        <v>0.1142</v>
      </c>
    </row>
    <row r="113" spans="2:4" hidden="1" x14ac:dyDescent="0.2">
      <c r="B113" s="81" t="s">
        <v>72</v>
      </c>
      <c r="C113" s="81"/>
      <c r="D113" s="83">
        <v>6.2399999999999997E-2</v>
      </c>
    </row>
    <row r="114" spans="2:4" hidden="1" x14ac:dyDescent="0.2">
      <c r="B114" s="81" t="s">
        <v>73</v>
      </c>
      <c r="C114" s="81"/>
      <c r="D114" s="82">
        <v>1.2E-2</v>
      </c>
    </row>
    <row r="115" spans="2:4" hidden="1" x14ac:dyDescent="0.2">
      <c r="B115" s="81" t="s">
        <v>74</v>
      </c>
      <c r="C115" s="81"/>
      <c r="D115" s="84">
        <v>0.61</v>
      </c>
    </row>
    <row r="116" spans="2:4" hidden="1" x14ac:dyDescent="0.2">
      <c r="B116" s="85" t="s">
        <v>77</v>
      </c>
      <c r="C116" s="86"/>
      <c r="D116" s="87">
        <f>D111+D115*(D113)+D114</f>
        <v>0.101864</v>
      </c>
    </row>
    <row r="117" spans="2:4" hidden="1" x14ac:dyDescent="0.2">
      <c r="B117" s="88" t="s">
        <v>75</v>
      </c>
      <c r="C117" s="88"/>
      <c r="D117" s="89">
        <f>D116*((1+0)/(1+D107))</f>
        <v>9.889708737864078E-2</v>
      </c>
    </row>
    <row r="118" spans="2:4" x14ac:dyDescent="0.2">
      <c r="B118" s="2"/>
      <c r="C118" s="2"/>
      <c r="D118" s="2"/>
    </row>
    <row r="119" spans="2:4" x14ac:dyDescent="0.2">
      <c r="B119" s="71" t="s">
        <v>63</v>
      </c>
      <c r="C119" s="72">
        <f>((1+D116)/(1+D107))-1</f>
        <v>6.9770873786407783E-2</v>
      </c>
      <c r="D119" s="2"/>
    </row>
    <row r="120" spans="2:4" x14ac:dyDescent="0.2">
      <c r="B120" s="71" t="s">
        <v>64</v>
      </c>
      <c r="C120" s="73">
        <f>'[1]COSTO DE CAPITAL'!M82</f>
        <v>0</v>
      </c>
      <c r="D120" s="2"/>
    </row>
    <row r="121" spans="2:4" x14ac:dyDescent="0.2">
      <c r="B121" s="2"/>
      <c r="C121" s="2"/>
      <c r="D121" s="2"/>
    </row>
    <row r="122" spans="2:4" x14ac:dyDescent="0.2">
      <c r="B122" s="74" t="s">
        <v>65</v>
      </c>
      <c r="C122" s="75">
        <f>+NPV(C119,D102:G102)+C102</f>
        <v>5141749.8743305393</v>
      </c>
      <c r="D122" s="2"/>
    </row>
    <row r="123" spans="2:4" x14ac:dyDescent="0.2">
      <c r="B123" s="2"/>
      <c r="C123" s="2"/>
      <c r="D123" s="2"/>
    </row>
    <row r="124" spans="2:4" x14ac:dyDescent="0.2">
      <c r="B124" s="74" t="s">
        <v>66</v>
      </c>
      <c r="C124" s="76">
        <f>IRR(C102:G102)</f>
        <v>0.23665321481201551</v>
      </c>
      <c r="D124" s="2"/>
    </row>
    <row r="125" spans="2:4" x14ac:dyDescent="0.2">
      <c r="B125" s="2"/>
      <c r="C125" s="2"/>
      <c r="D125" s="2"/>
    </row>
    <row r="126" spans="2:4" x14ac:dyDescent="0.2">
      <c r="B126" s="2"/>
      <c r="C126" s="2"/>
      <c r="D126" s="2"/>
    </row>
    <row r="127" spans="2:4" x14ac:dyDescent="0.2">
      <c r="B127" s="93" t="s">
        <v>78</v>
      </c>
      <c r="C127" s="93"/>
      <c r="D127" s="93"/>
    </row>
    <row r="128" spans="2:4" x14ac:dyDescent="0.2">
      <c r="B128" s="2"/>
      <c r="C128" s="2"/>
      <c r="D128" s="2"/>
    </row>
    <row r="129" spans="2:4" x14ac:dyDescent="0.2">
      <c r="B129" s="71" t="s">
        <v>67</v>
      </c>
      <c r="C129" s="77">
        <f>NPV(C119,D88:G88)+C88</f>
        <v>26927705.240913324</v>
      </c>
      <c r="D129" s="2"/>
    </row>
    <row r="130" spans="2:4" x14ac:dyDescent="0.2">
      <c r="B130" s="2" t="s">
        <v>68</v>
      </c>
      <c r="C130" s="78">
        <f>IRR(C88:G88)</f>
        <v>0.85385233275809247</v>
      </c>
      <c r="D130" s="2"/>
    </row>
  </sheetData>
  <mergeCells count="11">
    <mergeCell ref="B95:G95"/>
    <mergeCell ref="B105:D105"/>
    <mergeCell ref="B127:D127"/>
    <mergeCell ref="B61:I61"/>
    <mergeCell ref="B3:D3"/>
    <mergeCell ref="B5:B6"/>
    <mergeCell ref="C5:D5"/>
    <mergeCell ref="B32:G32"/>
    <mergeCell ref="B65:G65"/>
    <mergeCell ref="B76:G76"/>
    <mergeCell ref="B44:G4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 ACHALMA</cp:lastModifiedBy>
  <dcterms:created xsi:type="dcterms:W3CDTF">2015-06-05T18:17:20Z</dcterms:created>
  <dcterms:modified xsi:type="dcterms:W3CDTF">2021-08-12T15:36:26Z</dcterms:modified>
</cp:coreProperties>
</file>