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valuación Privada de Proyectos/Collaboration Space/Shared Resources/1. CASO MERMELADA DE ROCOTO I/"/>
    </mc:Choice>
  </mc:AlternateContent>
  <xr:revisionPtr revIDLastSave="0" documentId="8_{150E6E4E-BCCC-4465-A023-0792DB903669}" xr6:coauthVersionLast="47" xr6:coauthVersionMax="47" xr10:uidLastSave="{00000000-0000-0000-0000-000000000000}"/>
  <bookViews>
    <workbookView xWindow="-120" yWindow="-16320" windowWidth="29040" windowHeight="15720" tabRatio="806" activeTab="5"/>
  </bookViews>
  <sheets>
    <sheet name="Ventas_Unidades" sheetId="16" r:id="rId1"/>
    <sheet name="Presupuesto_Ventas" sheetId="1" r:id="rId2"/>
    <sheet name="Inversión_Inicial" sheetId="2" r:id="rId3"/>
    <sheet name="Depreciación_VR" sheetId="4" r:id="rId4"/>
    <sheet name="Costos_Producción" sheetId="23" r:id="rId5"/>
    <sheet name="KW_Año 1" sheetId="15" r:id="rId6"/>
    <sheet name="Sueldos" sheetId="21" r:id="rId7"/>
    <sheet name="Gastos_Operativos" sheetId="8" r:id="rId8"/>
    <sheet name="Costos_Unitarios" sheetId="5" r:id="rId9"/>
  </sheets>
  <externalReferences>
    <externalReference r:id="rId10"/>
  </externalReferences>
  <definedNames>
    <definedName name="MANO_DE_OBRA_M">[1]Resumen!$H$13</definedName>
    <definedName name="PRECIO_DE_VENTA_M">[1]Resumen!$H$12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0" i="15" l="1"/>
  <c r="H14" i="15"/>
  <c r="G26" i="15"/>
  <c r="F26" i="15"/>
  <c r="E26" i="15"/>
  <c r="D26" i="15"/>
  <c r="D14" i="15"/>
  <c r="P14" i="15"/>
  <c r="L36" i="2"/>
  <c r="L37" i="2"/>
  <c r="L38" i="2"/>
  <c r="M26" i="15"/>
  <c r="M14" i="15"/>
  <c r="L14" i="15"/>
  <c r="J14" i="15"/>
  <c r="J26" i="15"/>
  <c r="H26" i="15"/>
  <c r="G25" i="15"/>
  <c r="F25" i="15"/>
  <c r="E25" i="15"/>
  <c r="C26" i="15"/>
  <c r="D25" i="15"/>
  <c r="D8" i="1"/>
  <c r="P8" i="1"/>
  <c r="O7" i="16"/>
  <c r="O11" i="15"/>
  <c r="L11" i="15"/>
  <c r="K11" i="15"/>
  <c r="J11" i="15"/>
  <c r="L13" i="15"/>
  <c r="K14" i="15"/>
  <c r="G14" i="15"/>
  <c r="F14" i="15"/>
  <c r="E14" i="15"/>
  <c r="C14" i="15"/>
  <c r="O13" i="15"/>
  <c r="G11" i="15"/>
  <c r="F11" i="15"/>
  <c r="E11" i="15"/>
  <c r="D11" i="15"/>
  <c r="D13" i="15"/>
  <c r="H9" i="4"/>
  <c r="F9" i="4"/>
  <c r="H5" i="4"/>
  <c r="G5" i="4"/>
  <c r="G8" i="4"/>
  <c r="G6" i="4"/>
  <c r="G7" i="4"/>
  <c r="P26" i="15"/>
  <c r="E24" i="15"/>
  <c r="D9" i="15"/>
  <c r="L34" i="2"/>
  <c r="L24" i="2"/>
  <c r="L14" i="2"/>
  <c r="L10" i="2"/>
  <c r="K12" i="21"/>
  <c r="F14" i="23"/>
  <c r="F13" i="23"/>
  <c r="C13" i="5"/>
  <c r="F12" i="23"/>
  <c r="F11" i="23"/>
  <c r="C12" i="5"/>
  <c r="F10" i="23"/>
  <c r="F9" i="23"/>
  <c r="F8" i="23"/>
  <c r="F6" i="23"/>
  <c r="F7" i="23"/>
  <c r="F6" i="8"/>
  <c r="H6" i="21"/>
  <c r="H5" i="21"/>
  <c r="H7" i="21"/>
  <c r="L33" i="2"/>
  <c r="L32" i="2"/>
  <c r="L31" i="2"/>
  <c r="L28" i="2"/>
  <c r="L27" i="2"/>
  <c r="L26" i="2"/>
  <c r="L25" i="2"/>
  <c r="L23" i="2"/>
  <c r="L22" i="2"/>
  <c r="L21" i="2"/>
  <c r="L20" i="2"/>
  <c r="L19" i="2"/>
  <c r="L18" i="2"/>
  <c r="L17" i="2"/>
  <c r="L16" i="2"/>
  <c r="L15" i="2"/>
  <c r="L13" i="2"/>
  <c r="L12" i="2"/>
  <c r="L11" i="2"/>
  <c r="L9" i="2"/>
  <c r="L8" i="2"/>
  <c r="L7" i="2"/>
  <c r="F12" i="8"/>
  <c r="G5" i="21"/>
  <c r="I5" i="21"/>
  <c r="D6" i="21"/>
  <c r="G6" i="21"/>
  <c r="I6" i="21"/>
  <c r="D5" i="21"/>
  <c r="E7" i="4"/>
  <c r="E9" i="15"/>
  <c r="F9" i="15"/>
  <c r="F22" i="15"/>
  <c r="G9" i="15"/>
  <c r="H9" i="15"/>
  <c r="I9" i="15"/>
  <c r="I22" i="15"/>
  <c r="J9" i="15"/>
  <c r="J22" i="15"/>
  <c r="K9" i="15"/>
  <c r="K22" i="15"/>
  <c r="L9" i="15"/>
  <c r="L22" i="15"/>
  <c r="M9" i="15"/>
  <c r="M22" i="15"/>
  <c r="N9" i="15"/>
  <c r="N22" i="15"/>
  <c r="O9" i="15"/>
  <c r="O22" i="15"/>
  <c r="O11" i="16"/>
  <c r="O10" i="16"/>
  <c r="O9" i="16"/>
  <c r="O8" i="16"/>
  <c r="N9" i="1"/>
  <c r="J10" i="1"/>
  <c r="J11" i="1"/>
  <c r="N12" i="1"/>
  <c r="G12" i="1"/>
  <c r="I8" i="1"/>
  <c r="F14" i="8"/>
  <c r="F13" i="8"/>
  <c r="F11" i="8"/>
  <c r="C8" i="5"/>
  <c r="F10" i="8"/>
  <c r="F9" i="8"/>
  <c r="F8" i="8"/>
  <c r="F7" i="8"/>
  <c r="E6" i="4"/>
  <c r="E8" i="4"/>
  <c r="E5" i="4"/>
  <c r="F5" i="4"/>
  <c r="F23" i="2"/>
  <c r="F22" i="2"/>
  <c r="F8" i="2"/>
  <c r="F9" i="2"/>
  <c r="F20" i="2"/>
  <c r="F32" i="2"/>
  <c r="F33" i="2"/>
  <c r="F26" i="2"/>
  <c r="F24" i="2"/>
  <c r="F27" i="2"/>
  <c r="F28" i="2"/>
  <c r="F16" i="2"/>
  <c r="F17" i="2"/>
  <c r="F18" i="2"/>
  <c r="F19" i="2"/>
  <c r="F21" i="2"/>
  <c r="F12" i="2"/>
  <c r="F13" i="2"/>
  <c r="F31" i="2"/>
  <c r="F34" i="2"/>
  <c r="C7" i="5"/>
  <c r="F11" i="2"/>
  <c r="F10" i="2"/>
  <c r="C6" i="4"/>
  <c r="F15" i="2"/>
  <c r="F14" i="2"/>
  <c r="C7" i="4"/>
  <c r="F25" i="2"/>
  <c r="F7" i="2"/>
  <c r="F6" i="2"/>
  <c r="C5" i="4"/>
  <c r="G11" i="1"/>
  <c r="L11" i="1"/>
  <c r="P11" i="1"/>
  <c r="F11" i="1"/>
  <c r="M11" i="1"/>
  <c r="K11" i="1"/>
  <c r="K9" i="1"/>
  <c r="N10" i="1"/>
  <c r="E8" i="1"/>
  <c r="G8" i="1"/>
  <c r="F8" i="1"/>
  <c r="H8" i="1"/>
  <c r="L10" i="1"/>
  <c r="J8" i="1"/>
  <c r="D10" i="1"/>
  <c r="P10" i="1"/>
  <c r="N8" i="1"/>
  <c r="E11" i="1"/>
  <c r="N11" i="1"/>
  <c r="D11" i="1"/>
  <c r="H11" i="1"/>
  <c r="O11" i="1"/>
  <c r="I11" i="1"/>
  <c r="O10" i="1"/>
  <c r="K10" i="1"/>
  <c r="M10" i="1"/>
  <c r="H10" i="1"/>
  <c r="G10" i="1"/>
  <c r="F10" i="1"/>
  <c r="K12" i="1"/>
  <c r="F9" i="1"/>
  <c r="O9" i="1"/>
  <c r="M8" i="1"/>
  <c r="J9" i="1"/>
  <c r="K8" i="1"/>
  <c r="H9" i="1"/>
  <c r="M9" i="1"/>
  <c r="I9" i="1"/>
  <c r="O8" i="1"/>
  <c r="L8" i="1"/>
  <c r="M12" i="1"/>
  <c r="L9" i="1"/>
  <c r="E9" i="1"/>
  <c r="D9" i="1"/>
  <c r="P9" i="1"/>
  <c r="E12" i="1"/>
  <c r="H12" i="1"/>
  <c r="O12" i="1"/>
  <c r="G9" i="1"/>
  <c r="I10" i="1"/>
  <c r="J12" i="1"/>
  <c r="L12" i="1"/>
  <c r="E10" i="1"/>
  <c r="D12" i="1"/>
  <c r="P12" i="1"/>
  <c r="F12" i="1"/>
  <c r="I12" i="1"/>
  <c r="F5" i="8"/>
  <c r="F4" i="8"/>
  <c r="L6" i="2"/>
  <c r="G22" i="15"/>
  <c r="E22" i="15"/>
  <c r="F7" i="4"/>
  <c r="H7" i="4"/>
  <c r="F6" i="4"/>
  <c r="H6" i="4"/>
  <c r="F15" i="23"/>
  <c r="C11" i="5"/>
  <c r="C14" i="5"/>
  <c r="C18" i="5"/>
  <c r="I7" i="21"/>
  <c r="F29" i="2"/>
  <c r="F4" i="2"/>
  <c r="C8" i="4"/>
  <c r="L29" i="2"/>
  <c r="L4" i="2"/>
  <c r="C5" i="5"/>
  <c r="F15" i="8"/>
  <c r="D22" i="15"/>
  <c r="H22" i="15"/>
  <c r="F8" i="4"/>
  <c r="H8" i="4"/>
  <c r="J23" i="15"/>
  <c r="J24" i="15"/>
  <c r="J25" i="15"/>
  <c r="J10" i="15"/>
  <c r="O10" i="15"/>
  <c r="H23" i="15"/>
  <c r="H24" i="15"/>
  <c r="H25" i="15"/>
  <c r="L23" i="15"/>
  <c r="L24" i="15"/>
  <c r="L25" i="15"/>
  <c r="K23" i="15"/>
  <c r="K24" i="15"/>
  <c r="K25" i="15"/>
  <c r="K26" i="15"/>
  <c r="F10" i="15"/>
  <c r="N23" i="15"/>
  <c r="N24" i="15"/>
  <c r="N25" i="15"/>
  <c r="M10" i="15"/>
  <c r="M11" i="15"/>
  <c r="G23" i="15"/>
  <c r="G24" i="15"/>
  <c r="O23" i="15"/>
  <c r="O24" i="15"/>
  <c r="O25" i="15"/>
  <c r="O26" i="15"/>
  <c r="F23" i="15"/>
  <c r="F24" i="15"/>
  <c r="L10" i="15"/>
  <c r="I23" i="15"/>
  <c r="I24" i="15"/>
  <c r="I25" i="15"/>
  <c r="E23" i="15"/>
  <c r="D23" i="15"/>
  <c r="D24" i="15"/>
  <c r="H10" i="15"/>
  <c r="H11" i="15"/>
  <c r="H13" i="15"/>
  <c r="D10" i="15"/>
  <c r="M23" i="15"/>
  <c r="M24" i="15"/>
  <c r="M25" i="15"/>
  <c r="K10" i="15"/>
  <c r="E10" i="15"/>
  <c r="I10" i="15"/>
  <c r="I11" i="15"/>
  <c r="I13" i="15"/>
  <c r="G10" i="15"/>
  <c r="G13" i="15"/>
  <c r="N10" i="15"/>
  <c r="N11" i="15"/>
  <c r="G12" i="15"/>
  <c r="M12" i="15"/>
  <c r="L12" i="15"/>
  <c r="I12" i="15"/>
  <c r="E12" i="15"/>
  <c r="K12" i="15"/>
  <c r="O12" i="15"/>
  <c r="N12" i="15"/>
  <c r="D12" i="15"/>
  <c r="F12" i="15"/>
  <c r="J12" i="15"/>
  <c r="H12" i="15"/>
  <c r="C9" i="4"/>
  <c r="J13" i="15"/>
  <c r="I14" i="15"/>
  <c r="C6" i="5"/>
  <c r="C9" i="5"/>
  <c r="C17" i="5"/>
  <c r="C19" i="5"/>
  <c r="N13" i="15"/>
  <c r="M13" i="15"/>
  <c r="N26" i="15"/>
  <c r="F13" i="15"/>
  <c r="E13" i="15"/>
  <c r="I26" i="15"/>
  <c r="K13" i="15"/>
  <c r="L26" i="15"/>
  <c r="F36" i="2"/>
  <c r="F37" i="2"/>
  <c r="F38" i="2"/>
  <c r="N14" i="15"/>
</calcChain>
</file>

<file path=xl/sharedStrings.xml><?xml version="1.0" encoding="utf-8"?>
<sst xmlns="http://schemas.openxmlformats.org/spreadsheetml/2006/main" count="276" uniqueCount="147">
  <si>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</si>
  <si>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</si>
  <si>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</si>
  <si>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</si>
  <si>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</si>
  <si>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</si>
  <si>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</si>
  <si>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</si>
  <si>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</si>
  <si>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</si>
  <si>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</si>
  <si>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</si>
  <si>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</si>
  <si>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Proyeccion de ventas en unidades</t>
  </si>
  <si>
    <t>P. U.</t>
  </si>
  <si>
    <t>RUBRO</t>
  </si>
  <si>
    <t>VALOR UNITARIO</t>
  </si>
  <si>
    <t>UNIDAD REQUERIDA</t>
  </si>
  <si>
    <t>COSTO TOTAL</t>
  </si>
  <si>
    <t>maquinaria y/o equipos</t>
  </si>
  <si>
    <t>Herramientas</t>
  </si>
  <si>
    <t>Muebles y enseres</t>
  </si>
  <si>
    <t>Mesa de trabajo</t>
  </si>
  <si>
    <t>Estantes</t>
  </si>
  <si>
    <t>Mano de obra</t>
  </si>
  <si>
    <t>Gastos Administrativos</t>
  </si>
  <si>
    <t>Unidad</t>
  </si>
  <si>
    <t>Balanza</t>
  </si>
  <si>
    <t>Escritorio</t>
  </si>
  <si>
    <t>Carnet sanitario</t>
  </si>
  <si>
    <t>Gas</t>
  </si>
  <si>
    <t>Utiles de oficina</t>
  </si>
  <si>
    <t>Transporte</t>
  </si>
  <si>
    <t>Infraestructura</t>
  </si>
  <si>
    <t>Construcción de local</t>
  </si>
  <si>
    <t>Instalación eléctrica</t>
  </si>
  <si>
    <t>Instación de agua y desague</t>
  </si>
  <si>
    <t>Termómetro</t>
  </si>
  <si>
    <t>Cocina semi industrial</t>
  </si>
  <si>
    <t>Cuchillos</t>
  </si>
  <si>
    <t>Jarra de 2 litros</t>
  </si>
  <si>
    <t>Coladores</t>
  </si>
  <si>
    <t>cucharones de madera</t>
  </si>
  <si>
    <t>Ollas medianas</t>
  </si>
  <si>
    <t>Tazones</t>
  </si>
  <si>
    <t>Cucharas</t>
  </si>
  <si>
    <t>tablas para picar</t>
  </si>
  <si>
    <t>peladores</t>
  </si>
  <si>
    <t>Sillas</t>
  </si>
  <si>
    <t>Rocoto</t>
  </si>
  <si>
    <t>Especias</t>
  </si>
  <si>
    <t>Azúcar blanca</t>
  </si>
  <si>
    <t>Frascos</t>
  </si>
  <si>
    <t>Cocineros</t>
  </si>
  <si>
    <t>Mantenimiento de local</t>
  </si>
  <si>
    <t>ACTIVO FIJO</t>
  </si>
  <si>
    <t>Valor de compra</t>
  </si>
  <si>
    <t>Maquinaria y Equipo</t>
  </si>
  <si>
    <t>Total</t>
  </si>
  <si>
    <t>Vida útil (años)</t>
  </si>
  <si>
    <t>Depreciación anual</t>
  </si>
  <si>
    <t>Depreciación acumulada</t>
  </si>
  <si>
    <t>Costo variable</t>
  </si>
  <si>
    <t>Gastos administrativos</t>
  </si>
  <si>
    <t>Amortización de intangibles</t>
  </si>
  <si>
    <t>Gastos de ventas</t>
  </si>
  <si>
    <t>Materia prima e insumos</t>
  </si>
  <si>
    <t>Total Costo Variable</t>
  </si>
  <si>
    <t>Costo variable unitario</t>
  </si>
  <si>
    <t>Costo total unitario</t>
  </si>
  <si>
    <t>Año</t>
  </si>
  <si>
    <t>TOTAL INVERSION FIJA INTANGIBLE</t>
  </si>
  <si>
    <t>I.- INVERSION FIJA</t>
  </si>
  <si>
    <t>1.1.  ACTIVO FIJO TANGIBLE</t>
  </si>
  <si>
    <t>Balon</t>
  </si>
  <si>
    <t>TOTAL CAPITAL DE TRABAJO</t>
  </si>
  <si>
    <t>TOTAL INVERSION INICIAL</t>
  </si>
  <si>
    <t>Unidades</t>
  </si>
  <si>
    <t>TOTAL ACTIVO FIJO TANGIBLE</t>
  </si>
  <si>
    <t>Gastos de constitución y formalizacion</t>
  </si>
  <si>
    <t>Licencia de Funcionamiento y avisos</t>
  </si>
  <si>
    <t>Luz, agua y telefono</t>
  </si>
  <si>
    <t>Volantes</t>
  </si>
  <si>
    <t>Llaveros</t>
  </si>
  <si>
    <t>TOTAL COSTOS OPERATIVOS</t>
  </si>
  <si>
    <t>Tasa de Deprec.</t>
  </si>
  <si>
    <t>Total Costo Fijo</t>
  </si>
  <si>
    <t>soles</t>
  </si>
  <si>
    <t>Nº de frascos de 250 grs.</t>
  </si>
  <si>
    <t>COSTO UNITARIO: LOTE DE 100 FRASCOS</t>
  </si>
  <si>
    <t>UNIDAD DE MEDIDA</t>
  </si>
  <si>
    <t>Global</t>
  </si>
  <si>
    <t>Documento</t>
  </si>
  <si>
    <t>Kgrs.</t>
  </si>
  <si>
    <t>Persona</t>
  </si>
  <si>
    <t>Ciento</t>
  </si>
  <si>
    <t xml:space="preserve">Costo fijo </t>
  </si>
  <si>
    <t>Depreciación activo fijo</t>
  </si>
  <si>
    <t>Costo fijo unitario (100% )</t>
  </si>
  <si>
    <t>1.2. INVERSION INTANGIBLE</t>
  </si>
  <si>
    <t>MES</t>
  </si>
  <si>
    <t>Variacion KW</t>
  </si>
  <si>
    <t>CV Unitario</t>
  </si>
  <si>
    <t>Valor de Recupero</t>
  </si>
  <si>
    <t>Utensilios</t>
  </si>
  <si>
    <t>Cargo</t>
  </si>
  <si>
    <t>Personal Administratico</t>
  </si>
  <si>
    <t>Personal de Ventas</t>
  </si>
  <si>
    <t>Administrativo</t>
  </si>
  <si>
    <t>Vendedor</t>
  </si>
  <si>
    <t>Sub Total</t>
  </si>
  <si>
    <t>Gratificación(*)</t>
  </si>
  <si>
    <t>CTS (**)</t>
  </si>
  <si>
    <t>Anual</t>
  </si>
  <si>
    <t>Básico mes</t>
  </si>
  <si>
    <t>Proyeccion de ventas netas en nuevos soles</t>
  </si>
  <si>
    <t>PRESUPUESTO DE INVERSION INICIAL EN NUEVOS SOLES - MERMELADA DE ROCOTO</t>
  </si>
  <si>
    <t>CALCULO DE DEPRECIACION Y VALOR DE RECUPERO</t>
  </si>
  <si>
    <t>CV Total</t>
  </si>
  <si>
    <t>KW Total</t>
  </si>
  <si>
    <t>REGIMEN LABORAL MICRO EMPRESA</t>
  </si>
  <si>
    <t>CIS</t>
  </si>
  <si>
    <t>CIS (***)</t>
  </si>
  <si>
    <t>(***) 15 soles mensuales por trabajador</t>
  </si>
  <si>
    <t>(*) No tiene gratificaciones</t>
  </si>
  <si>
    <t>(**) No tiene CTS</t>
  </si>
  <si>
    <t>Costos Indirectos de Fabricación</t>
  </si>
  <si>
    <t>Materia Prima Directa</t>
  </si>
  <si>
    <t>Mano de obra Directa</t>
  </si>
  <si>
    <t>Valor Unitario</t>
  </si>
  <si>
    <t>Unidad Requerida</t>
  </si>
  <si>
    <t>Unidad de Medida</t>
  </si>
  <si>
    <t>COSTOS DE PRODUCCIÓN (100 unidades)</t>
  </si>
  <si>
    <t xml:space="preserve">COSTOS OPERATIVOS MENSUALES EN NUEVOS SOLES </t>
  </si>
  <si>
    <t>Costos indirectos de fabricación</t>
  </si>
  <si>
    <t>UIT</t>
  </si>
  <si>
    <t>Micro empresa</t>
  </si>
  <si>
    <t>VARIACION DE CAPITAL DE TRABAJO AÑO 1:  CV + CF</t>
  </si>
  <si>
    <t>VARIACION DE CAPITAL DE TRABAJO AÑO 1:  SOLO CV</t>
  </si>
  <si>
    <t>II. CAPITAL DE TRABAJO (CV+CF)</t>
  </si>
  <si>
    <t>II. CAPITAL DE TRABAJO  (CV)</t>
  </si>
  <si>
    <t>Costos de producción + GO</t>
  </si>
  <si>
    <t>Nota = Se requiere capital de trabajo solo para cubrir los costos de producción de S/. 8,877 para el primer año en total</t>
  </si>
  <si>
    <t>Nota: Se requiere capital de trabajo para cubrir todos los  CF y CV  de 10,535 para todo el primer año</t>
  </si>
  <si>
    <t xml:space="preserve">Costos de Producción </t>
  </si>
  <si>
    <t>ñ</t>
  </si>
  <si>
    <t>CF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</si>
</sst>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3" xfId="0" applyNumberForma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3" fontId="0" fillId="0" borderId="3" xfId="0" applyNumberFormat="1" applyBorder="1" applyAlignment="1">
      <alignment horizontal="center" vertical="center" wrapText="1"/>
    </xf>
    <xf numFmtId="0" fontId="5" fillId="0" borderId="0" xfId="0" applyFont="1"/>
    <xf numFmtId="0" fontId="5" fillId="0" borderId="3" xfId="0" applyFont="1" applyBorder="1"/>
    <xf numFmtId="2" fontId="2" fillId="0" borderId="0" xfId="0" applyNumberFormat="1" applyFont="1"/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2" fontId="2" fillId="2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2" fontId="0" fillId="0" borderId="8" xfId="0" applyNumberFormat="1" applyBorder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2" fontId="0" fillId="0" borderId="2" xfId="0" applyNumberFormat="1" applyBorder="1" applyAlignment="1">
      <alignment horizontal="center"/>
    </xf>
    <xf numFmtId="0" fontId="4" fillId="0" borderId="6" xfId="0" applyFont="1" applyFill="1" applyBorder="1" applyAlignment="1">
      <alignment horizontal="left" vertical="center" wrapText="1"/>
    </xf>
    <xf numFmtId="2" fontId="2" fillId="0" borderId="2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2" xfId="0" applyBorder="1"/>
    <xf numFmtId="0" fontId="5" fillId="0" borderId="1" xfId="0" applyFont="1" applyBorder="1"/>
    <xf numFmtId="0" fontId="5" fillId="0" borderId="7" xfId="0" applyFont="1" applyBorder="1"/>
    <xf numFmtId="0" fontId="3" fillId="0" borderId="0" xfId="0" applyFont="1" applyFill="1" applyBorder="1" applyAlignment="1">
      <alignment horizontal="left" vertical="center" wrapText="1"/>
    </xf>
    <xf numFmtId="2" fontId="0" fillId="0" borderId="8" xfId="0" applyNumberForma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2" xfId="0" applyNumberFormat="1" applyBorder="1"/>
    <xf numFmtId="2" fontId="0" fillId="0" borderId="12" xfId="0" applyNumberFormat="1" applyBorder="1"/>
    <xf numFmtId="0" fontId="5" fillId="0" borderId="12" xfId="0" applyFont="1" applyBorder="1"/>
    <xf numFmtId="2" fontId="0" fillId="0" borderId="13" xfId="0" applyNumberFormat="1" applyBorder="1"/>
    <xf numFmtId="0" fontId="4" fillId="4" borderId="14" xfId="0" applyFont="1" applyFill="1" applyBorder="1" applyAlignment="1">
      <alignment horizontal="center" vertical="center" wrapText="1"/>
    </xf>
    <xf numFmtId="0" fontId="5" fillId="0" borderId="15" xfId="0" applyFont="1" applyBorder="1"/>
    <xf numFmtId="1" fontId="0" fillId="0" borderId="3" xfId="0" applyNumberForma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right"/>
    </xf>
    <xf numFmtId="0" fontId="5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6" xfId="0" applyFont="1" applyBorder="1"/>
    <xf numFmtId="0" fontId="0" fillId="0" borderId="17" xfId="0" applyBorder="1"/>
    <xf numFmtId="0" fontId="4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right"/>
    </xf>
    <xf numFmtId="0" fontId="0" fillId="3" borderId="22" xfId="0" applyFill="1" applyBorder="1" applyAlignment="1">
      <alignment horizontal="center"/>
    </xf>
    <xf numFmtId="2" fontId="2" fillId="3" borderId="23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/>
    </xf>
    <xf numFmtId="0" fontId="5" fillId="0" borderId="24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 wrapText="1"/>
    </xf>
    <xf numFmtId="2" fontId="5" fillId="0" borderId="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2" fontId="0" fillId="0" borderId="25" xfId="0" applyNumberFormat="1" applyBorder="1" applyAlignment="1">
      <alignment horizontal="right"/>
    </xf>
    <xf numFmtId="0" fontId="0" fillId="0" borderId="25" xfId="0" applyBorder="1" applyAlignment="1">
      <alignment horizontal="center"/>
    </xf>
    <xf numFmtId="0" fontId="5" fillId="0" borderId="25" xfId="0" applyFon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2" fontId="2" fillId="0" borderId="28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left" vertical="center" wrapText="1"/>
    </xf>
    <xf numFmtId="2" fontId="0" fillId="6" borderId="22" xfId="0" applyNumberFormat="1" applyFill="1" applyBorder="1" applyAlignment="1">
      <alignment horizontal="right"/>
    </xf>
    <xf numFmtId="0" fontId="0" fillId="6" borderId="22" xfId="0" applyFill="1" applyBorder="1" applyAlignment="1">
      <alignment horizontal="center"/>
    </xf>
    <xf numFmtId="2" fontId="2" fillId="6" borderId="23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0" fillId="0" borderId="25" xfId="0" applyBorder="1" applyAlignment="1">
      <alignment horizontal="right"/>
    </xf>
    <xf numFmtId="2" fontId="0" fillId="0" borderId="29" xfId="0" applyNumberFormat="1" applyBorder="1" applyAlignment="1">
      <alignment horizont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2" fontId="5" fillId="0" borderId="3" xfId="0" applyNumberFormat="1" applyFont="1" applyFill="1" applyBorder="1" applyAlignment="1"/>
    <xf numFmtId="0" fontId="5" fillId="0" borderId="3" xfId="0" applyFont="1" applyFill="1" applyBorder="1" applyAlignment="1"/>
    <xf numFmtId="2" fontId="2" fillId="0" borderId="8" xfId="0" applyNumberFormat="1" applyFont="1" applyFill="1" applyBorder="1" applyAlignment="1"/>
    <xf numFmtId="2" fontId="5" fillId="0" borderId="3" xfId="0" applyNumberFormat="1" applyFont="1" applyBorder="1" applyAlignment="1"/>
    <xf numFmtId="0" fontId="5" fillId="0" borderId="3" xfId="0" applyFont="1" applyBorder="1" applyAlignment="1"/>
    <xf numFmtId="2" fontId="5" fillId="0" borderId="8" xfId="0" applyNumberFormat="1" applyFont="1" applyBorder="1" applyAlignment="1"/>
    <xf numFmtId="2" fontId="5" fillId="0" borderId="25" xfId="0" applyNumberFormat="1" applyFont="1" applyBorder="1" applyAlignment="1"/>
    <xf numFmtId="0" fontId="5" fillId="0" borderId="25" xfId="0" applyFont="1" applyBorder="1" applyAlignment="1"/>
    <xf numFmtId="2" fontId="5" fillId="0" borderId="26" xfId="0" applyNumberFormat="1" applyFont="1" applyBorder="1" applyAlignment="1"/>
    <xf numFmtId="0" fontId="2" fillId="0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2" fillId="5" borderId="30" xfId="0" applyFont="1" applyFill="1" applyBorder="1" applyAlignment="1">
      <alignment wrapText="1"/>
    </xf>
    <xf numFmtId="0" fontId="2" fillId="5" borderId="31" xfId="0" applyFont="1" applyFill="1" applyBorder="1" applyAlignment="1"/>
    <xf numFmtId="2" fontId="2" fillId="5" borderId="29" xfId="0" applyNumberFormat="1" applyFont="1" applyFill="1" applyBorder="1" applyAlignment="1"/>
    <xf numFmtId="2" fontId="2" fillId="5" borderId="10" xfId="0" applyNumberFormat="1" applyFont="1" applyFill="1" applyBorder="1"/>
    <xf numFmtId="0" fontId="2" fillId="5" borderId="10" xfId="0" applyFont="1" applyFill="1" applyBorder="1"/>
    <xf numFmtId="2" fontId="2" fillId="5" borderId="11" xfId="0" applyNumberFormat="1" applyFont="1" applyFill="1" applyBorder="1"/>
    <xf numFmtId="0" fontId="5" fillId="0" borderId="6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2" fontId="0" fillId="5" borderId="10" xfId="0" applyNumberFormat="1" applyFill="1" applyBorder="1" applyAlignment="1">
      <alignment horizontal="right"/>
    </xf>
    <xf numFmtId="0" fontId="0" fillId="5" borderId="10" xfId="0" applyFill="1" applyBorder="1" applyAlignment="1">
      <alignment horizontal="center"/>
    </xf>
    <xf numFmtId="2" fontId="2" fillId="5" borderId="11" xfId="0" applyNumberFormat="1" applyFont="1" applyFill="1" applyBorder="1" applyAlignment="1">
      <alignment horizontal="center"/>
    </xf>
    <xf numFmtId="0" fontId="5" fillId="0" borderId="8" xfId="0" applyFont="1" applyBorder="1"/>
    <xf numFmtId="2" fontId="5" fillId="0" borderId="26" xfId="0" applyNumberFormat="1" applyFont="1" applyBorder="1"/>
    <xf numFmtId="3" fontId="0" fillId="0" borderId="8" xfId="0" applyNumberFormat="1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 wrapText="1"/>
    </xf>
    <xf numFmtId="3" fontId="0" fillId="0" borderId="26" xfId="0" applyNumberFormat="1" applyBorder="1" applyAlignment="1">
      <alignment horizontal="center" vertical="center" wrapText="1"/>
    </xf>
    <xf numFmtId="0" fontId="2" fillId="5" borderId="16" xfId="0" applyFont="1" applyFill="1" applyBorder="1"/>
    <xf numFmtId="2" fontId="2" fillId="5" borderId="17" xfId="0" applyNumberFormat="1" applyFont="1" applyFill="1" applyBorder="1" applyAlignment="1">
      <alignment horizontal="center"/>
    </xf>
    <xf numFmtId="0" fontId="2" fillId="4" borderId="7" xfId="0" applyFont="1" applyFill="1" applyBorder="1"/>
    <xf numFmtId="2" fontId="2" fillId="4" borderId="8" xfId="0" applyNumberFormat="1" applyFont="1" applyFill="1" applyBorder="1"/>
    <xf numFmtId="0" fontId="2" fillId="5" borderId="7" xfId="0" applyFont="1" applyFill="1" applyBorder="1"/>
    <xf numFmtId="2" fontId="2" fillId="5" borderId="8" xfId="0" applyNumberFormat="1" applyFont="1" applyFill="1" applyBorder="1" applyAlignment="1">
      <alignment horizontal="center"/>
    </xf>
    <xf numFmtId="0" fontId="2" fillId="4" borderId="15" xfId="0" applyFont="1" applyFill="1" applyBorder="1"/>
    <xf numFmtId="2" fontId="2" fillId="4" borderId="26" xfId="0" applyNumberFormat="1" applyFont="1" applyFill="1" applyBorder="1"/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1" fontId="0" fillId="0" borderId="0" xfId="0" applyNumberFormat="1"/>
    <xf numFmtId="3" fontId="5" fillId="0" borderId="3" xfId="0" applyNumberFormat="1" applyFont="1" applyBorder="1"/>
    <xf numFmtId="1" fontId="5" fillId="0" borderId="3" xfId="0" applyNumberFormat="1" applyFont="1" applyBorder="1"/>
    <xf numFmtId="1" fontId="5" fillId="0" borderId="8" xfId="0" applyNumberFormat="1" applyFont="1" applyBorder="1"/>
    <xf numFmtId="0" fontId="2" fillId="5" borderId="3" xfId="0" applyFont="1" applyFill="1" applyBorder="1"/>
    <xf numFmtId="0" fontId="2" fillId="5" borderId="3" xfId="0" applyFont="1" applyFill="1" applyBorder="1" applyAlignment="1">
      <alignment horizontal="center"/>
    </xf>
    <xf numFmtId="0" fontId="0" fillId="5" borderId="3" xfId="0" applyFill="1" applyBorder="1"/>
    <xf numFmtId="1" fontId="2" fillId="5" borderId="3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right"/>
    </xf>
    <xf numFmtId="2" fontId="7" fillId="0" borderId="2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left" vertical="center" wrapText="1"/>
    </xf>
    <xf numFmtId="2" fontId="8" fillId="0" borderId="8" xfId="0" applyNumberFormat="1" applyFont="1" applyBorder="1" applyAlignment="1">
      <alignment horizontal="center"/>
    </xf>
    <xf numFmtId="0" fontId="8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/>
    </xf>
    <xf numFmtId="2" fontId="8" fillId="0" borderId="3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 vertical="center" wrapText="1"/>
    </xf>
    <xf numFmtId="2" fontId="7" fillId="0" borderId="8" xfId="0" applyNumberFormat="1" applyFont="1" applyBorder="1" applyAlignment="1">
      <alignment horizontal="center"/>
    </xf>
    <xf numFmtId="0" fontId="8" fillId="0" borderId="1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2" fontId="8" fillId="0" borderId="25" xfId="0" applyNumberFormat="1" applyFont="1" applyBorder="1" applyAlignment="1">
      <alignment horizontal="right"/>
    </xf>
    <xf numFmtId="2" fontId="8" fillId="0" borderId="26" xfId="0" applyNumberFormat="1" applyFont="1" applyBorder="1" applyAlignment="1">
      <alignment horizontal="center"/>
    </xf>
    <xf numFmtId="0" fontId="7" fillId="4" borderId="14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justify" wrapText="1"/>
    </xf>
    <xf numFmtId="2" fontId="7" fillId="4" borderId="11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left" vertical="center" wrapText="1"/>
    </xf>
    <xf numFmtId="0" fontId="8" fillId="4" borderId="31" xfId="0" applyFont="1" applyFill="1" applyBorder="1" applyAlignment="1">
      <alignment horizontal="center"/>
    </xf>
    <xf numFmtId="2" fontId="8" fillId="4" borderId="31" xfId="0" applyNumberFormat="1" applyFont="1" applyFill="1" applyBorder="1" applyAlignment="1">
      <alignment horizontal="right"/>
    </xf>
    <xf numFmtId="2" fontId="7" fillId="4" borderId="29" xfId="0" applyNumberFormat="1" applyFont="1" applyFill="1" applyBorder="1" applyAlignment="1">
      <alignment horizontal="center"/>
    </xf>
    <xf numFmtId="0" fontId="0" fillId="0" borderId="33" xfId="0" applyBorder="1"/>
    <xf numFmtId="2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0" fillId="0" borderId="0" xfId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1ecd61295a042a9/Classroom/2020%20II%20EC448%20Evaluaci&#243;n%20Privada%20de%20Proyectos/CASO%20MERMELADA%20DE%20ROCOTO%201/PLANTILLA_FINALIZADA_VER.%20BETA%201.2%20xD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CIÓN"/>
      <sheetName val="INDICE"/>
      <sheetName val="Planteamiento"/>
      <sheetName val="Resumen"/>
      <sheetName val="Ventas_Unidades"/>
      <sheetName val="Inversion_Inicial"/>
      <sheetName val="Depreciacion"/>
      <sheetName val="Costos_operativos"/>
      <sheetName val="Costos_Unitarios"/>
      <sheetName val="Capital Trabajo"/>
      <sheetName val="Proyeccion_de_ventas"/>
      <sheetName val="Punto de equilibrio"/>
      <sheetName val="Ganancias y Perdidas"/>
      <sheetName val="Flujo_Deuda"/>
      <sheetName val="Flujos de Caja"/>
      <sheetName val="Rentabilidad"/>
      <sheetName val="Sensibilidad"/>
      <sheetName val="ESCENARIOS"/>
    </sheetNames>
    <sheetDataSet>
      <sheetData sheetId="0" refreshError="1"/>
      <sheetData sheetId="1" refreshError="1"/>
      <sheetData sheetId="2" refreshError="1"/>
      <sheetData sheetId="3">
        <row r="12">
          <cell r="H12" t="str">
            <v>Precio  de venta</v>
          </cell>
        </row>
        <row r="13">
          <cell r="H13" t="str">
            <v>Costo de mano obra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2"/>
  <sheetViews>
    <sheetView workbookViewId="0">
      <selection activeCell="J19" sqref="J19"/>
    </sheetView>
  </sheetViews>
  <sheetFormatPr baseColWidth="10" defaultColWidth="11.5703125" defaultRowHeight="12.75" x14ac:dyDescent="0.2"/>
  <cols>
    <col min="1" max="1" width="6.28515625" customWidth="1"/>
    <col min="2" max="2" width="5.7109375" customWidth="1"/>
    <col min="3" max="3" width="6.5703125" style="3" customWidth="1"/>
    <col min="4" max="4" width="8" style="3" customWidth="1"/>
    <col min="5" max="5" width="7.5703125" style="3" customWidth="1"/>
    <col min="6" max="6" width="8" style="3" customWidth="1"/>
    <col min="7" max="7" width="7.85546875" style="3" customWidth="1"/>
    <col min="8" max="8" width="7.5703125" style="3" customWidth="1"/>
    <col min="9" max="9" width="8" style="3" customWidth="1"/>
    <col min="10" max="10" width="8.85546875" style="3" customWidth="1"/>
    <col min="11" max="12" width="8.140625" style="3" customWidth="1"/>
    <col min="13" max="13" width="7.42578125" style="3" customWidth="1"/>
    <col min="14" max="14" width="8.28515625" style="3" customWidth="1"/>
    <col min="15" max="15" width="8.42578125" style="3" customWidth="1"/>
    <col min="16" max="16" width="8.5703125" customWidth="1"/>
  </cols>
  <sheetData>
    <row r="4" spans="2:16" x14ac:dyDescent="0.2">
      <c r="B4" s="11" t="s">
        <v>13</v>
      </c>
    </row>
    <row r="5" spans="2:16" ht="13.5" thickBot="1" x14ac:dyDescent="0.25"/>
    <row r="6" spans="2:16" s="1" customFormat="1" ht="24.95" customHeight="1" thickBot="1" x14ac:dyDescent="0.25">
      <c r="B6" s="106" t="s">
        <v>70</v>
      </c>
      <c r="C6" s="107" t="s">
        <v>0</v>
      </c>
      <c r="D6" s="107" t="s">
        <v>1</v>
      </c>
      <c r="E6" s="107" t="s">
        <v>2</v>
      </c>
      <c r="F6" s="107" t="s">
        <v>3</v>
      </c>
      <c r="G6" s="107" t="s">
        <v>4</v>
      </c>
      <c r="H6" s="107" t="s">
        <v>5</v>
      </c>
      <c r="I6" s="107" t="s">
        <v>6</v>
      </c>
      <c r="J6" s="107" t="s">
        <v>7</v>
      </c>
      <c r="K6" s="107" t="s">
        <v>8</v>
      </c>
      <c r="L6" s="107" t="s">
        <v>9</v>
      </c>
      <c r="M6" s="107" t="s">
        <v>10</v>
      </c>
      <c r="N6" s="107" t="s">
        <v>11</v>
      </c>
      <c r="O6" s="108" t="s">
        <v>12</v>
      </c>
    </row>
    <row r="7" spans="2:16" s="1" customFormat="1" ht="15" customHeight="1" x14ac:dyDescent="0.2">
      <c r="B7" s="148">
        <v>1</v>
      </c>
      <c r="C7" s="4">
        <v>100</v>
      </c>
      <c r="D7" s="4">
        <v>200</v>
      </c>
      <c r="E7" s="4">
        <v>300</v>
      </c>
      <c r="F7" s="4">
        <v>400</v>
      </c>
      <c r="G7" s="4">
        <v>500</v>
      </c>
      <c r="H7" s="4">
        <v>600</v>
      </c>
      <c r="I7" s="4">
        <v>700</v>
      </c>
      <c r="J7" s="4">
        <v>800</v>
      </c>
      <c r="K7" s="4">
        <v>800</v>
      </c>
      <c r="L7" s="4">
        <v>900</v>
      </c>
      <c r="M7" s="4">
        <v>1000</v>
      </c>
      <c r="N7" s="4">
        <v>1000</v>
      </c>
      <c r="O7" s="5">
        <f>SUM(C7:N7)</f>
        <v>7300</v>
      </c>
    </row>
    <row r="8" spans="2:16" s="1" customFormat="1" ht="18.75" customHeight="1" x14ac:dyDescent="0.2">
      <c r="B8" s="66">
        <v>2</v>
      </c>
      <c r="C8" s="28">
        <v>1000</v>
      </c>
      <c r="D8" s="28">
        <v>1000</v>
      </c>
      <c r="E8" s="28">
        <v>1000</v>
      </c>
      <c r="F8" s="28">
        <v>1000</v>
      </c>
      <c r="G8" s="28">
        <v>1000</v>
      </c>
      <c r="H8" s="28">
        <v>1000</v>
      </c>
      <c r="I8" s="28">
        <v>1000</v>
      </c>
      <c r="J8" s="28">
        <v>1000</v>
      </c>
      <c r="K8" s="28">
        <v>1000</v>
      </c>
      <c r="L8" s="28">
        <v>1000</v>
      </c>
      <c r="M8" s="28">
        <v>1000</v>
      </c>
      <c r="N8" s="28">
        <v>1000</v>
      </c>
      <c r="O8" s="137">
        <f>SUM(C8:N8)</f>
        <v>12000</v>
      </c>
    </row>
    <row r="9" spans="2:16" x14ac:dyDescent="0.2">
      <c r="B9" s="66">
        <v>3</v>
      </c>
      <c r="C9" s="28">
        <v>1000</v>
      </c>
      <c r="D9" s="28">
        <v>1000</v>
      </c>
      <c r="E9" s="28">
        <v>1000</v>
      </c>
      <c r="F9" s="28">
        <v>1000</v>
      </c>
      <c r="G9" s="28">
        <v>1000</v>
      </c>
      <c r="H9" s="28">
        <v>1000</v>
      </c>
      <c r="I9" s="28">
        <v>1000</v>
      </c>
      <c r="J9" s="28">
        <v>1000</v>
      </c>
      <c r="K9" s="28">
        <v>1000</v>
      </c>
      <c r="L9" s="28">
        <v>1000</v>
      </c>
      <c r="M9" s="28">
        <v>1000</v>
      </c>
      <c r="N9" s="28">
        <v>1000</v>
      </c>
      <c r="O9" s="137">
        <f>SUM(C9:N9)</f>
        <v>12000</v>
      </c>
    </row>
    <row r="10" spans="2:16" x14ac:dyDescent="0.2">
      <c r="B10" s="66">
        <v>4</v>
      </c>
      <c r="C10" s="28">
        <v>1000</v>
      </c>
      <c r="D10" s="28">
        <v>1000</v>
      </c>
      <c r="E10" s="28">
        <v>1000</v>
      </c>
      <c r="F10" s="28">
        <v>1000</v>
      </c>
      <c r="G10" s="28">
        <v>1000</v>
      </c>
      <c r="H10" s="28">
        <v>1000</v>
      </c>
      <c r="I10" s="28">
        <v>1000</v>
      </c>
      <c r="J10" s="28">
        <v>1000</v>
      </c>
      <c r="K10" s="28">
        <v>1000</v>
      </c>
      <c r="L10" s="28">
        <v>1000</v>
      </c>
      <c r="M10" s="28">
        <v>1000</v>
      </c>
      <c r="N10" s="28">
        <v>1000</v>
      </c>
      <c r="O10" s="137">
        <f>SUM(C10:N10)</f>
        <v>12000</v>
      </c>
    </row>
    <row r="11" spans="2:16" ht="13.5" thickBot="1" x14ac:dyDescent="0.25">
      <c r="B11" s="149">
        <v>5</v>
      </c>
      <c r="C11" s="138">
        <v>1000</v>
      </c>
      <c r="D11" s="138">
        <v>1000</v>
      </c>
      <c r="E11" s="138">
        <v>1000</v>
      </c>
      <c r="F11" s="138">
        <v>1000</v>
      </c>
      <c r="G11" s="138">
        <v>1000</v>
      </c>
      <c r="H11" s="138">
        <v>1000</v>
      </c>
      <c r="I11" s="138">
        <v>1000</v>
      </c>
      <c r="J11" s="138">
        <v>1000</v>
      </c>
      <c r="K11" s="138">
        <v>1000</v>
      </c>
      <c r="L11" s="138">
        <v>1000</v>
      </c>
      <c r="M11" s="138">
        <v>1000</v>
      </c>
      <c r="N11" s="138">
        <v>1000</v>
      </c>
      <c r="O11" s="139">
        <f>SUM(C11:N11)</f>
        <v>12000</v>
      </c>
    </row>
    <row r="12" spans="2:16" x14ac:dyDescent="0.2">
      <c r="P1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2"/>
  <sheetViews>
    <sheetView workbookViewId="0">
      <selection activeCell="D14" sqref="D14"/>
    </sheetView>
  </sheetViews>
  <sheetFormatPr baseColWidth="10" defaultColWidth="11.5703125" defaultRowHeight="12.75" x14ac:dyDescent="0.2"/>
  <cols>
    <col min="1" max="1" width="6.28515625" customWidth="1"/>
    <col min="2" max="2" width="5.7109375" customWidth="1"/>
    <col min="3" max="3" width="6.5703125" style="3" customWidth="1"/>
    <col min="4" max="4" width="8" style="3" customWidth="1"/>
    <col min="5" max="5" width="7.5703125" style="3" customWidth="1"/>
    <col min="6" max="6" width="8" style="3" customWidth="1"/>
    <col min="7" max="7" width="7.85546875" style="3" customWidth="1"/>
    <col min="8" max="8" width="7.5703125" style="3" customWidth="1"/>
    <col min="9" max="9" width="8" style="3" customWidth="1"/>
    <col min="10" max="10" width="8.85546875" style="3" customWidth="1"/>
    <col min="11" max="12" width="8.140625" style="3" customWidth="1"/>
    <col min="13" max="13" width="7.42578125" style="3" customWidth="1"/>
    <col min="14" max="14" width="8.28515625" style="3" customWidth="1"/>
    <col min="15" max="15" width="8.42578125" style="3" customWidth="1"/>
    <col min="16" max="16" width="8.5703125" customWidth="1"/>
  </cols>
  <sheetData>
    <row r="5" spans="1:16" x14ac:dyDescent="0.2">
      <c r="B5" s="186" t="s">
        <v>115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</row>
    <row r="7" spans="1:16" ht="24.95" customHeight="1" x14ac:dyDescent="0.2">
      <c r="A7" s="29"/>
      <c r="B7" s="182" t="s">
        <v>70</v>
      </c>
      <c r="C7" s="182" t="s">
        <v>14</v>
      </c>
      <c r="D7" s="182" t="s">
        <v>0</v>
      </c>
      <c r="E7" s="182" t="s">
        <v>1</v>
      </c>
      <c r="F7" s="182" t="s">
        <v>2</v>
      </c>
      <c r="G7" s="182" t="s">
        <v>3</v>
      </c>
      <c r="H7" s="182" t="s">
        <v>4</v>
      </c>
      <c r="I7" s="182" t="s">
        <v>5</v>
      </c>
      <c r="J7" s="182" t="s">
        <v>6</v>
      </c>
      <c r="K7" s="182" t="s">
        <v>7</v>
      </c>
      <c r="L7" s="182" t="s">
        <v>8</v>
      </c>
      <c r="M7" s="182" t="s">
        <v>9</v>
      </c>
      <c r="N7" s="182" t="s">
        <v>10</v>
      </c>
      <c r="O7" s="182" t="s">
        <v>11</v>
      </c>
      <c r="P7" s="182" t="s">
        <v>12</v>
      </c>
    </row>
    <row r="8" spans="1:16" ht="15" customHeight="1" x14ac:dyDescent="0.2">
      <c r="A8" s="3"/>
      <c r="B8" s="183">
        <v>1</v>
      </c>
      <c r="C8" s="46">
        <v>12</v>
      </c>
      <c r="D8" s="46">
        <f>Ventas_Unidades!C7*$C$8</f>
        <v>1200</v>
      </c>
      <c r="E8" s="46">
        <f>Ventas_Unidades!D7*$C$8</f>
        <v>2400</v>
      </c>
      <c r="F8" s="46">
        <f>Ventas_Unidades!E7*$C$8</f>
        <v>3600</v>
      </c>
      <c r="G8" s="46">
        <f>Ventas_Unidades!F7*$C$8</f>
        <v>4800</v>
      </c>
      <c r="H8" s="46">
        <f>Ventas_Unidades!G7*$C$8</f>
        <v>6000</v>
      </c>
      <c r="I8" s="46">
        <f>Ventas_Unidades!H7*$C$8</f>
        <v>7200</v>
      </c>
      <c r="J8" s="46">
        <f>Ventas_Unidades!I7*$C$8</f>
        <v>8400</v>
      </c>
      <c r="K8" s="46">
        <f>Ventas_Unidades!J7*$C$8</f>
        <v>9600</v>
      </c>
      <c r="L8" s="46">
        <f>Ventas_Unidades!K7*$C$8</f>
        <v>9600</v>
      </c>
      <c r="M8" s="46">
        <f>Ventas_Unidades!L7*$C$8</f>
        <v>10800</v>
      </c>
      <c r="N8" s="46">
        <f>Ventas_Unidades!M7*$C$8</f>
        <v>12000</v>
      </c>
      <c r="O8" s="46">
        <f>Ventas_Unidades!N7*$C$8</f>
        <v>12000</v>
      </c>
      <c r="P8" s="46">
        <f>SUM(D8:O8)</f>
        <v>87600</v>
      </c>
    </row>
    <row r="9" spans="1:16" ht="15" customHeight="1" x14ac:dyDescent="0.2">
      <c r="A9" s="3"/>
      <c r="B9" s="183">
        <v>2</v>
      </c>
      <c r="C9" s="46">
        <v>12</v>
      </c>
      <c r="D9" s="46">
        <f>Ventas_Unidades!C8*$C$9</f>
        <v>12000</v>
      </c>
      <c r="E9" s="46">
        <f>Ventas_Unidades!D8*$C$9</f>
        <v>12000</v>
      </c>
      <c r="F9" s="46">
        <f>Ventas_Unidades!E8*$C$9</f>
        <v>12000</v>
      </c>
      <c r="G9" s="46">
        <f>Ventas_Unidades!F8*$C$9</f>
        <v>12000</v>
      </c>
      <c r="H9" s="46">
        <f>Ventas_Unidades!G8*$C$9</f>
        <v>12000</v>
      </c>
      <c r="I9" s="46">
        <f>Ventas_Unidades!H8*$C$9</f>
        <v>12000</v>
      </c>
      <c r="J9" s="46">
        <f>Ventas_Unidades!I8*$C$9</f>
        <v>12000</v>
      </c>
      <c r="K9" s="46">
        <f>Ventas_Unidades!J8*$C$9</f>
        <v>12000</v>
      </c>
      <c r="L9" s="46">
        <f>Ventas_Unidades!K8*$C$9</f>
        <v>12000</v>
      </c>
      <c r="M9" s="46">
        <f>Ventas_Unidades!L8*$C$9</f>
        <v>12000</v>
      </c>
      <c r="N9" s="46">
        <f>Ventas_Unidades!M8*$C$9</f>
        <v>12000</v>
      </c>
      <c r="O9" s="46">
        <f>Ventas_Unidades!N8*$C$9</f>
        <v>12000</v>
      </c>
      <c r="P9" s="46">
        <f>SUM(D9:O9)</f>
        <v>144000</v>
      </c>
    </row>
    <row r="10" spans="1:16" ht="15.75" customHeight="1" x14ac:dyDescent="0.2">
      <c r="B10" s="183">
        <v>3</v>
      </c>
      <c r="C10" s="46">
        <v>12</v>
      </c>
      <c r="D10" s="46">
        <f>Ventas_Unidades!C9*$C$10</f>
        <v>12000</v>
      </c>
      <c r="E10" s="46">
        <f>Ventas_Unidades!D9*$C$10</f>
        <v>12000</v>
      </c>
      <c r="F10" s="46">
        <f>Ventas_Unidades!E9*$C$10</f>
        <v>12000</v>
      </c>
      <c r="G10" s="46">
        <f>Ventas_Unidades!F9*$C$10</f>
        <v>12000</v>
      </c>
      <c r="H10" s="46">
        <f>Ventas_Unidades!G9*$C$10</f>
        <v>12000</v>
      </c>
      <c r="I10" s="46">
        <f>Ventas_Unidades!H9*$C$10</f>
        <v>12000</v>
      </c>
      <c r="J10" s="46">
        <f>Ventas_Unidades!I9*$C$10</f>
        <v>12000</v>
      </c>
      <c r="K10" s="46">
        <f>Ventas_Unidades!J9*$C$10</f>
        <v>12000</v>
      </c>
      <c r="L10" s="46">
        <f>Ventas_Unidades!K9*$C$10</f>
        <v>12000</v>
      </c>
      <c r="M10" s="46">
        <f>Ventas_Unidades!L9*$C$10</f>
        <v>12000</v>
      </c>
      <c r="N10" s="46">
        <f>Ventas_Unidades!M9*$C$10</f>
        <v>12000</v>
      </c>
      <c r="O10" s="46">
        <f>Ventas_Unidades!N9*$C$10</f>
        <v>12000</v>
      </c>
      <c r="P10" s="46">
        <f>SUM(D10:O10)</f>
        <v>144000</v>
      </c>
    </row>
    <row r="11" spans="1:16" x14ac:dyDescent="0.2">
      <c r="B11" s="184">
        <v>4</v>
      </c>
      <c r="C11" s="46">
        <v>12</v>
      </c>
      <c r="D11" s="46">
        <f>Ventas_Unidades!C10*$C$11</f>
        <v>12000</v>
      </c>
      <c r="E11" s="46">
        <f>Ventas_Unidades!D10*$C$11</f>
        <v>12000</v>
      </c>
      <c r="F11" s="46">
        <f>Ventas_Unidades!E10*$C$11</f>
        <v>12000</v>
      </c>
      <c r="G11" s="46">
        <f>Ventas_Unidades!F10*$C$11</f>
        <v>12000</v>
      </c>
      <c r="H11" s="46">
        <f>Ventas_Unidades!G10*$C$11</f>
        <v>12000</v>
      </c>
      <c r="I11" s="46">
        <f>Ventas_Unidades!H10*$C$11</f>
        <v>12000</v>
      </c>
      <c r="J11" s="46">
        <f>Ventas_Unidades!I10*$C$11</f>
        <v>12000</v>
      </c>
      <c r="K11" s="46">
        <f>Ventas_Unidades!J10*$C$11</f>
        <v>12000</v>
      </c>
      <c r="L11" s="46">
        <f>Ventas_Unidades!K10*$C$11</f>
        <v>12000</v>
      </c>
      <c r="M11" s="46">
        <f>Ventas_Unidades!L10*$C$11</f>
        <v>12000</v>
      </c>
      <c r="N11" s="46">
        <f>Ventas_Unidades!M10*$C$11</f>
        <v>12000</v>
      </c>
      <c r="O11" s="46">
        <f>Ventas_Unidades!N10*$C$11</f>
        <v>12000</v>
      </c>
      <c r="P11" s="46">
        <f>SUM(D11:O11)</f>
        <v>144000</v>
      </c>
    </row>
    <row r="12" spans="1:16" x14ac:dyDescent="0.2">
      <c r="B12" s="184">
        <v>5</v>
      </c>
      <c r="C12" s="46">
        <v>12</v>
      </c>
      <c r="D12" s="46">
        <f>Ventas_Unidades!C11*$C$12</f>
        <v>12000</v>
      </c>
      <c r="E12" s="46">
        <f>Ventas_Unidades!D11*$C$12</f>
        <v>12000</v>
      </c>
      <c r="F12" s="46">
        <f>Ventas_Unidades!E11*$C$12</f>
        <v>12000</v>
      </c>
      <c r="G12" s="46">
        <f>Ventas_Unidades!F11*$C$12</f>
        <v>12000</v>
      </c>
      <c r="H12" s="46">
        <f>Ventas_Unidades!G11*$C$12</f>
        <v>12000</v>
      </c>
      <c r="I12" s="46">
        <f>Ventas_Unidades!H11*$C$12</f>
        <v>12000</v>
      </c>
      <c r="J12" s="46">
        <f>Ventas_Unidades!I11*$C$12</f>
        <v>12000</v>
      </c>
      <c r="K12" s="46">
        <f>Ventas_Unidades!J11*$C$12</f>
        <v>12000</v>
      </c>
      <c r="L12" s="46">
        <f>Ventas_Unidades!K11*$C$12</f>
        <v>12000</v>
      </c>
      <c r="M12" s="46">
        <f>Ventas_Unidades!L11*$C$12</f>
        <v>12000</v>
      </c>
      <c r="N12" s="46">
        <f>Ventas_Unidades!M11*$C$12</f>
        <v>12000</v>
      </c>
      <c r="O12" s="46">
        <f>Ventas_Unidades!N11*$C$12</f>
        <v>12000</v>
      </c>
      <c r="P12" s="46">
        <f>SUM(D12:O12)</f>
        <v>144000</v>
      </c>
    </row>
  </sheetData>
  <mergeCells count="1">
    <mergeCell ref="B5:P5"/>
  </mergeCells>
  <phoneticPr fontId="3" type="noConversion"/>
  <pageMargins left="0.75" right="0.75" top="1" bottom="1" header="0" footer="0"/>
  <pageSetup paperSize="9" orientation="portrait" horizontalDpi="4294967295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opLeftCell="A9" zoomScaleNormal="130" workbookViewId="0">
      <selection activeCell="H40" sqref="H40"/>
    </sheetView>
  </sheetViews>
  <sheetFormatPr baseColWidth="10" defaultColWidth="11.5703125" defaultRowHeight="12.75" x14ac:dyDescent="0.2"/>
  <cols>
    <col min="1" max="1" width="4.5703125" customWidth="1"/>
    <col min="2" max="2" width="27.42578125" customWidth="1"/>
    <col min="3" max="3" width="9" style="22" customWidth="1"/>
    <col min="4" max="5" width="11.5703125" customWidth="1"/>
    <col min="6" max="6" width="8.28515625" customWidth="1"/>
    <col min="7" max="7" width="5.85546875" customWidth="1"/>
    <col min="8" max="8" width="27.7109375" customWidth="1"/>
    <col min="9" max="9" width="9.7109375" customWidth="1"/>
    <col min="10" max="11" width="10.28515625" customWidth="1"/>
  </cols>
  <sheetData>
    <row r="1" spans="2:12" x14ac:dyDescent="0.2">
      <c r="B1" s="187" t="s">
        <v>116</v>
      </c>
      <c r="C1" s="187"/>
      <c r="D1" s="187"/>
      <c r="E1" s="187"/>
      <c r="F1" s="187"/>
      <c r="G1" s="6"/>
      <c r="H1" s="187" t="s">
        <v>116</v>
      </c>
      <c r="I1" s="187"/>
      <c r="J1" s="187"/>
      <c r="K1" s="187"/>
      <c r="L1" s="187"/>
    </row>
    <row r="2" spans="2:12" ht="13.5" thickBot="1" x14ac:dyDescent="0.25">
      <c r="B2" s="6"/>
      <c r="C2" s="16"/>
      <c r="D2" s="6"/>
      <c r="E2" s="6"/>
      <c r="F2" s="6"/>
      <c r="G2" s="6"/>
      <c r="H2" s="6"/>
      <c r="I2" s="16"/>
      <c r="J2" s="6"/>
      <c r="K2" s="6"/>
      <c r="L2" s="6"/>
    </row>
    <row r="3" spans="2:12" s="2" customFormat="1" ht="25.5" customHeight="1" thickBot="1" x14ac:dyDescent="0.25">
      <c r="B3" s="93" t="s">
        <v>15</v>
      </c>
      <c r="C3" s="94" t="s">
        <v>16</v>
      </c>
      <c r="D3" s="94" t="s">
        <v>17</v>
      </c>
      <c r="E3" s="94" t="s">
        <v>90</v>
      </c>
      <c r="F3" s="95" t="s">
        <v>18</v>
      </c>
      <c r="G3" s="7"/>
      <c r="H3" s="93" t="s">
        <v>15</v>
      </c>
      <c r="I3" s="94" t="s">
        <v>16</v>
      </c>
      <c r="J3" s="94" t="s">
        <v>17</v>
      </c>
      <c r="K3" s="94" t="s">
        <v>90</v>
      </c>
      <c r="L3" s="95" t="s">
        <v>18</v>
      </c>
    </row>
    <row r="4" spans="2:12" s="2" customFormat="1" ht="12.75" hidden="1" customHeight="1" thickBot="1" x14ac:dyDescent="0.25">
      <c r="B4" s="41" t="s">
        <v>72</v>
      </c>
      <c r="C4" s="43"/>
      <c r="D4" s="44"/>
      <c r="E4" s="44"/>
      <c r="F4" s="45">
        <f>F29+F34</f>
        <v>10492</v>
      </c>
      <c r="G4" s="7"/>
      <c r="H4" s="41" t="s">
        <v>72</v>
      </c>
      <c r="I4" s="43"/>
      <c r="J4" s="44"/>
      <c r="K4" s="44"/>
      <c r="L4" s="45">
        <f>L29+L34</f>
        <v>10492</v>
      </c>
    </row>
    <row r="5" spans="2:12" ht="12.75" hidden="1" customHeight="1" thickBot="1" x14ac:dyDescent="0.25">
      <c r="B5" s="70" t="s">
        <v>73</v>
      </c>
      <c r="C5" s="71"/>
      <c r="D5" s="72"/>
      <c r="E5" s="72"/>
      <c r="F5" s="73"/>
      <c r="H5" s="70" t="s">
        <v>73</v>
      </c>
      <c r="I5" s="71"/>
      <c r="J5" s="72"/>
      <c r="K5" s="72"/>
      <c r="L5" s="73"/>
    </row>
    <row r="6" spans="2:12" ht="13.5" customHeight="1" thickBot="1" x14ac:dyDescent="0.25">
      <c r="B6" s="78" t="s">
        <v>33</v>
      </c>
      <c r="C6" s="79"/>
      <c r="D6" s="80"/>
      <c r="E6" s="89"/>
      <c r="F6" s="91">
        <f>SUM(F7:F9)</f>
        <v>7000</v>
      </c>
      <c r="H6" s="78" t="s">
        <v>33</v>
      </c>
      <c r="I6" s="79"/>
      <c r="J6" s="80"/>
      <c r="K6" s="89"/>
      <c r="L6" s="91">
        <f>SUM(L7:L9)</f>
        <v>7000</v>
      </c>
    </row>
    <row r="7" spans="2:12" ht="11.25" customHeight="1" x14ac:dyDescent="0.2">
      <c r="B7" s="81" t="s">
        <v>34</v>
      </c>
      <c r="C7" s="65">
        <v>5000</v>
      </c>
      <c r="D7" s="64">
        <v>1</v>
      </c>
      <c r="E7" s="64" t="s">
        <v>91</v>
      </c>
      <c r="F7" s="90">
        <f>C7*D7</f>
        <v>5000</v>
      </c>
      <c r="H7" s="81" t="s">
        <v>34</v>
      </c>
      <c r="I7" s="65">
        <v>5000</v>
      </c>
      <c r="J7" s="64">
        <v>1</v>
      </c>
      <c r="K7" s="64" t="s">
        <v>91</v>
      </c>
      <c r="L7" s="90">
        <f>I7*J7</f>
        <v>5000</v>
      </c>
    </row>
    <row r="8" spans="2:12" ht="11.25" customHeight="1" x14ac:dyDescent="0.2">
      <c r="B8" s="81" t="s">
        <v>35</v>
      </c>
      <c r="C8" s="65">
        <v>1000</v>
      </c>
      <c r="D8" s="64">
        <v>1</v>
      </c>
      <c r="E8" s="64" t="s">
        <v>26</v>
      </c>
      <c r="F8" s="82">
        <f>C8*D8</f>
        <v>1000</v>
      </c>
      <c r="H8" s="81" t="s">
        <v>35</v>
      </c>
      <c r="I8" s="65">
        <v>1000</v>
      </c>
      <c r="J8" s="64">
        <v>1</v>
      </c>
      <c r="K8" s="64" t="s">
        <v>26</v>
      </c>
      <c r="L8" s="82">
        <f>I8*J8</f>
        <v>1000</v>
      </c>
    </row>
    <row r="9" spans="2:12" ht="10.5" customHeight="1" x14ac:dyDescent="0.2">
      <c r="B9" s="81" t="s">
        <v>36</v>
      </c>
      <c r="C9" s="65">
        <v>1000</v>
      </c>
      <c r="D9" s="64">
        <v>1</v>
      </c>
      <c r="E9" s="64" t="s">
        <v>26</v>
      </c>
      <c r="F9" s="82">
        <f>C9*D9</f>
        <v>1000</v>
      </c>
      <c r="H9" s="81" t="s">
        <v>36</v>
      </c>
      <c r="I9" s="65">
        <v>1000</v>
      </c>
      <c r="J9" s="64">
        <v>1</v>
      </c>
      <c r="K9" s="64" t="s">
        <v>26</v>
      </c>
      <c r="L9" s="82">
        <f>I9*J9</f>
        <v>1000</v>
      </c>
    </row>
    <row r="10" spans="2:12" ht="12.75" customHeight="1" x14ac:dyDescent="0.2">
      <c r="B10" s="83" t="s">
        <v>19</v>
      </c>
      <c r="C10" s="65"/>
      <c r="D10" s="64"/>
      <c r="E10" s="64"/>
      <c r="F10" s="92">
        <f>SUM(F11:F13)</f>
        <v>590</v>
      </c>
      <c r="H10" s="83" t="s">
        <v>19</v>
      </c>
      <c r="I10" s="65"/>
      <c r="J10" s="64"/>
      <c r="K10" s="64"/>
      <c r="L10" s="92">
        <f>SUM(L11:L13)</f>
        <v>590</v>
      </c>
    </row>
    <row r="11" spans="2:12" ht="12" customHeight="1" x14ac:dyDescent="0.2">
      <c r="B11" s="81" t="s">
        <v>27</v>
      </c>
      <c r="C11" s="65">
        <v>50</v>
      </c>
      <c r="D11" s="64">
        <v>1</v>
      </c>
      <c r="E11" s="64" t="s">
        <v>26</v>
      </c>
      <c r="F11" s="82">
        <f>C11*D11</f>
        <v>50</v>
      </c>
      <c r="H11" s="81" t="s">
        <v>27</v>
      </c>
      <c r="I11" s="65">
        <v>50</v>
      </c>
      <c r="J11" s="64">
        <v>1</v>
      </c>
      <c r="K11" s="64" t="s">
        <v>26</v>
      </c>
      <c r="L11" s="82">
        <f>I11*J11</f>
        <v>50</v>
      </c>
    </row>
    <row r="12" spans="2:12" ht="13.5" customHeight="1" x14ac:dyDescent="0.2">
      <c r="B12" s="81" t="s">
        <v>37</v>
      </c>
      <c r="C12" s="65">
        <v>40</v>
      </c>
      <c r="D12" s="64">
        <v>1</v>
      </c>
      <c r="E12" s="64" t="s">
        <v>26</v>
      </c>
      <c r="F12" s="82">
        <f>C12*D12</f>
        <v>40</v>
      </c>
      <c r="H12" s="81" t="s">
        <v>37</v>
      </c>
      <c r="I12" s="65">
        <v>40</v>
      </c>
      <c r="J12" s="64">
        <v>1</v>
      </c>
      <c r="K12" s="64" t="s">
        <v>26</v>
      </c>
      <c r="L12" s="82">
        <f>I12*J12</f>
        <v>40</v>
      </c>
    </row>
    <row r="13" spans="2:12" ht="11.25" customHeight="1" x14ac:dyDescent="0.2">
      <c r="B13" s="81" t="s">
        <v>38</v>
      </c>
      <c r="C13" s="65">
        <v>500</v>
      </c>
      <c r="D13" s="64">
        <v>1</v>
      </c>
      <c r="E13" s="64" t="s">
        <v>26</v>
      </c>
      <c r="F13" s="82">
        <f>C13*D13</f>
        <v>500</v>
      </c>
      <c r="H13" s="81" t="s">
        <v>38</v>
      </c>
      <c r="I13" s="65">
        <v>500</v>
      </c>
      <c r="J13" s="64">
        <v>1</v>
      </c>
      <c r="K13" s="64" t="s">
        <v>26</v>
      </c>
      <c r="L13" s="82">
        <f>I13*J13</f>
        <v>500</v>
      </c>
    </row>
    <row r="14" spans="2:12" ht="12" customHeight="1" x14ac:dyDescent="0.2">
      <c r="B14" s="83" t="s">
        <v>104</v>
      </c>
      <c r="C14" s="65"/>
      <c r="D14" s="64"/>
      <c r="E14" s="64"/>
      <c r="F14" s="92">
        <f>SUM(F15:F23)</f>
        <v>357</v>
      </c>
      <c r="H14" s="83" t="s">
        <v>104</v>
      </c>
      <c r="I14" s="65"/>
      <c r="J14" s="64"/>
      <c r="K14" s="64"/>
      <c r="L14" s="92">
        <f>SUM(L15:L23)</f>
        <v>357</v>
      </c>
    </row>
    <row r="15" spans="2:12" ht="12" customHeight="1" x14ac:dyDescent="0.2">
      <c r="B15" s="81" t="s">
        <v>39</v>
      </c>
      <c r="C15" s="65">
        <v>15</v>
      </c>
      <c r="D15" s="64">
        <v>2</v>
      </c>
      <c r="E15" s="64" t="s">
        <v>26</v>
      </c>
      <c r="F15" s="82">
        <f t="shared" ref="F15:F23" si="0">C15*D15</f>
        <v>30</v>
      </c>
      <c r="H15" s="81" t="s">
        <v>39</v>
      </c>
      <c r="I15" s="65">
        <v>15</v>
      </c>
      <c r="J15" s="64">
        <v>2</v>
      </c>
      <c r="K15" s="64" t="s">
        <v>26</v>
      </c>
      <c r="L15" s="82">
        <f t="shared" ref="L15:L23" si="1">I15*J15</f>
        <v>30</v>
      </c>
    </row>
    <row r="16" spans="2:12" ht="13.5" customHeight="1" x14ac:dyDescent="0.2">
      <c r="B16" s="81" t="s">
        <v>40</v>
      </c>
      <c r="C16" s="65">
        <v>10</v>
      </c>
      <c r="D16" s="64">
        <v>2</v>
      </c>
      <c r="E16" s="64" t="s">
        <v>26</v>
      </c>
      <c r="F16" s="82">
        <f t="shared" si="0"/>
        <v>20</v>
      </c>
      <c r="H16" s="81" t="s">
        <v>40</v>
      </c>
      <c r="I16" s="65">
        <v>10</v>
      </c>
      <c r="J16" s="64">
        <v>2</v>
      </c>
      <c r="K16" s="64" t="s">
        <v>26</v>
      </c>
      <c r="L16" s="82">
        <f t="shared" si="1"/>
        <v>20</v>
      </c>
    </row>
    <row r="17" spans="2:12" ht="11.25" customHeight="1" x14ac:dyDescent="0.2">
      <c r="B17" s="81" t="s">
        <v>41</v>
      </c>
      <c r="C17" s="65">
        <v>5</v>
      </c>
      <c r="D17" s="64">
        <v>3</v>
      </c>
      <c r="E17" s="64" t="s">
        <v>26</v>
      </c>
      <c r="F17" s="82">
        <f t="shared" si="0"/>
        <v>15</v>
      </c>
      <c r="H17" s="81" t="s">
        <v>41</v>
      </c>
      <c r="I17" s="65">
        <v>5</v>
      </c>
      <c r="J17" s="64">
        <v>3</v>
      </c>
      <c r="K17" s="64" t="s">
        <v>26</v>
      </c>
      <c r="L17" s="82">
        <f t="shared" si="1"/>
        <v>15</v>
      </c>
    </row>
    <row r="18" spans="2:12" ht="10.5" customHeight="1" x14ac:dyDescent="0.2">
      <c r="B18" s="81" t="s">
        <v>42</v>
      </c>
      <c r="C18" s="65">
        <v>10</v>
      </c>
      <c r="D18" s="64">
        <v>2</v>
      </c>
      <c r="E18" s="64" t="s">
        <v>26</v>
      </c>
      <c r="F18" s="82">
        <f t="shared" si="0"/>
        <v>20</v>
      </c>
      <c r="H18" s="81" t="s">
        <v>42</v>
      </c>
      <c r="I18" s="65">
        <v>10</v>
      </c>
      <c r="J18" s="64">
        <v>2</v>
      </c>
      <c r="K18" s="64" t="s">
        <v>26</v>
      </c>
      <c r="L18" s="82">
        <f t="shared" si="1"/>
        <v>20</v>
      </c>
    </row>
    <row r="19" spans="2:12" ht="13.5" customHeight="1" x14ac:dyDescent="0.2">
      <c r="B19" s="81" t="s">
        <v>43</v>
      </c>
      <c r="C19" s="65">
        <v>50</v>
      </c>
      <c r="D19" s="64">
        <v>4</v>
      </c>
      <c r="E19" s="64" t="s">
        <v>26</v>
      </c>
      <c r="F19" s="82">
        <f t="shared" si="0"/>
        <v>200</v>
      </c>
      <c r="H19" s="81" t="s">
        <v>43</v>
      </c>
      <c r="I19" s="65">
        <v>50</v>
      </c>
      <c r="J19" s="64">
        <v>4</v>
      </c>
      <c r="K19" s="64" t="s">
        <v>26</v>
      </c>
      <c r="L19" s="82">
        <f t="shared" si="1"/>
        <v>200</v>
      </c>
    </row>
    <row r="20" spans="2:12" ht="11.25" customHeight="1" x14ac:dyDescent="0.2">
      <c r="B20" s="81" t="s">
        <v>44</v>
      </c>
      <c r="C20" s="65">
        <v>15</v>
      </c>
      <c r="D20" s="64">
        <v>1</v>
      </c>
      <c r="E20" s="64" t="s">
        <v>26</v>
      </c>
      <c r="F20" s="82">
        <f t="shared" si="0"/>
        <v>15</v>
      </c>
      <c r="H20" s="81" t="s">
        <v>44</v>
      </c>
      <c r="I20" s="65">
        <v>15</v>
      </c>
      <c r="J20" s="64">
        <v>1</v>
      </c>
      <c r="K20" s="64" t="s">
        <v>26</v>
      </c>
      <c r="L20" s="82">
        <f t="shared" si="1"/>
        <v>15</v>
      </c>
    </row>
    <row r="21" spans="2:12" ht="12.75" customHeight="1" x14ac:dyDescent="0.2">
      <c r="B21" s="81" t="s">
        <v>45</v>
      </c>
      <c r="C21" s="65">
        <v>2</v>
      </c>
      <c r="D21" s="64">
        <v>3</v>
      </c>
      <c r="E21" s="64" t="s">
        <v>26</v>
      </c>
      <c r="F21" s="82">
        <f t="shared" si="0"/>
        <v>6</v>
      </c>
      <c r="H21" s="81" t="s">
        <v>45</v>
      </c>
      <c r="I21" s="65">
        <v>2</v>
      </c>
      <c r="J21" s="64">
        <v>3</v>
      </c>
      <c r="K21" s="64" t="s">
        <v>26</v>
      </c>
      <c r="L21" s="82">
        <f t="shared" si="1"/>
        <v>6</v>
      </c>
    </row>
    <row r="22" spans="2:12" ht="11.25" customHeight="1" x14ac:dyDescent="0.2">
      <c r="B22" s="81" t="s">
        <v>46</v>
      </c>
      <c r="C22" s="65">
        <v>12</v>
      </c>
      <c r="D22" s="64">
        <v>3</v>
      </c>
      <c r="E22" s="64" t="s">
        <v>26</v>
      </c>
      <c r="F22" s="82">
        <f t="shared" si="0"/>
        <v>36</v>
      </c>
      <c r="H22" s="81" t="s">
        <v>46</v>
      </c>
      <c r="I22" s="65">
        <v>12</v>
      </c>
      <c r="J22" s="64">
        <v>3</v>
      </c>
      <c r="K22" s="64" t="s">
        <v>26</v>
      </c>
      <c r="L22" s="82">
        <f t="shared" si="1"/>
        <v>36</v>
      </c>
    </row>
    <row r="23" spans="2:12" ht="10.5" customHeight="1" x14ac:dyDescent="0.2">
      <c r="B23" s="81" t="s">
        <v>47</v>
      </c>
      <c r="C23" s="65">
        <v>5</v>
      </c>
      <c r="D23" s="64">
        <v>3</v>
      </c>
      <c r="E23" s="64" t="s">
        <v>26</v>
      </c>
      <c r="F23" s="82">
        <f t="shared" si="0"/>
        <v>15</v>
      </c>
      <c r="H23" s="81" t="s">
        <v>47</v>
      </c>
      <c r="I23" s="65">
        <v>5</v>
      </c>
      <c r="J23" s="64">
        <v>3</v>
      </c>
      <c r="K23" s="64" t="s">
        <v>26</v>
      </c>
      <c r="L23" s="82">
        <f t="shared" si="1"/>
        <v>15</v>
      </c>
    </row>
    <row r="24" spans="2:12" x14ac:dyDescent="0.2">
      <c r="B24" s="83" t="s">
        <v>21</v>
      </c>
      <c r="C24" s="65"/>
      <c r="D24" s="64"/>
      <c r="E24" s="64"/>
      <c r="F24" s="92">
        <f>SUM(F25:F28)</f>
        <v>1090</v>
      </c>
      <c r="H24" s="83" t="s">
        <v>21</v>
      </c>
      <c r="I24" s="65"/>
      <c r="J24" s="64"/>
      <c r="K24" s="64"/>
      <c r="L24" s="92">
        <f>SUM(L25:L28)</f>
        <v>1090</v>
      </c>
    </row>
    <row r="25" spans="2:12" ht="11.25" customHeight="1" x14ac:dyDescent="0.2">
      <c r="B25" s="35" t="s">
        <v>22</v>
      </c>
      <c r="C25" s="21">
        <v>70</v>
      </c>
      <c r="D25" s="10">
        <v>1</v>
      </c>
      <c r="E25" s="26" t="s">
        <v>26</v>
      </c>
      <c r="F25" s="36">
        <f>C25*D25</f>
        <v>70</v>
      </c>
      <c r="H25" s="35" t="s">
        <v>22</v>
      </c>
      <c r="I25" s="21">
        <v>70</v>
      </c>
      <c r="J25" s="10">
        <v>1</v>
      </c>
      <c r="K25" s="26" t="s">
        <v>26</v>
      </c>
      <c r="L25" s="36">
        <f>I25*J25</f>
        <v>70</v>
      </c>
    </row>
    <row r="26" spans="2:12" ht="13.5" customHeight="1" x14ac:dyDescent="0.2">
      <c r="B26" s="35" t="s">
        <v>48</v>
      </c>
      <c r="C26" s="21">
        <v>20</v>
      </c>
      <c r="D26" s="10">
        <v>6</v>
      </c>
      <c r="E26" s="26" t="s">
        <v>26</v>
      </c>
      <c r="F26" s="36">
        <f>C26*D26</f>
        <v>120</v>
      </c>
      <c r="H26" s="35" t="s">
        <v>48</v>
      </c>
      <c r="I26" s="21">
        <v>20</v>
      </c>
      <c r="J26" s="10">
        <v>6</v>
      </c>
      <c r="K26" s="26" t="s">
        <v>26</v>
      </c>
      <c r="L26" s="36">
        <f>I26*J26</f>
        <v>120</v>
      </c>
    </row>
    <row r="27" spans="2:12" ht="12" customHeight="1" x14ac:dyDescent="0.2">
      <c r="B27" s="37" t="s">
        <v>23</v>
      </c>
      <c r="C27" s="21">
        <v>250</v>
      </c>
      <c r="D27" s="10">
        <v>2</v>
      </c>
      <c r="E27" s="26" t="s">
        <v>26</v>
      </c>
      <c r="F27" s="36">
        <f>C27*D27</f>
        <v>500</v>
      </c>
      <c r="H27" s="37" t="s">
        <v>23</v>
      </c>
      <c r="I27" s="21">
        <v>250</v>
      </c>
      <c r="J27" s="10">
        <v>2</v>
      </c>
      <c r="K27" s="26" t="s">
        <v>26</v>
      </c>
      <c r="L27" s="36">
        <f>I27*J27</f>
        <v>500</v>
      </c>
    </row>
    <row r="28" spans="2:12" ht="15.75" customHeight="1" thickBot="1" x14ac:dyDescent="0.25">
      <c r="B28" s="84" t="s">
        <v>28</v>
      </c>
      <c r="C28" s="85">
        <v>200</v>
      </c>
      <c r="D28" s="86">
        <v>2</v>
      </c>
      <c r="E28" s="87" t="s">
        <v>26</v>
      </c>
      <c r="F28" s="88">
        <f>C28*D28</f>
        <v>400</v>
      </c>
      <c r="H28" s="84" t="s">
        <v>28</v>
      </c>
      <c r="I28" s="85">
        <v>200</v>
      </c>
      <c r="J28" s="86">
        <v>2</v>
      </c>
      <c r="K28" s="87" t="s">
        <v>26</v>
      </c>
      <c r="L28" s="88">
        <f>I28*J28</f>
        <v>400</v>
      </c>
    </row>
    <row r="29" spans="2:12" ht="18" customHeight="1" x14ac:dyDescent="0.2">
      <c r="B29" s="74" t="s">
        <v>78</v>
      </c>
      <c r="C29" s="75"/>
      <c r="D29" s="76"/>
      <c r="E29" s="76"/>
      <c r="F29" s="77">
        <f>+F24+F14+F10+F6</f>
        <v>9037</v>
      </c>
      <c r="H29" s="74" t="s">
        <v>78</v>
      </c>
      <c r="I29" s="75"/>
      <c r="J29" s="76"/>
      <c r="K29" s="76"/>
      <c r="L29" s="77">
        <f>+L24+L14+L10+L6</f>
        <v>9037</v>
      </c>
    </row>
    <row r="30" spans="2:12" ht="16.5" customHeight="1" x14ac:dyDescent="0.2">
      <c r="B30" s="32" t="s">
        <v>99</v>
      </c>
      <c r="C30" s="19"/>
      <c r="D30" s="14"/>
      <c r="E30" s="14"/>
      <c r="F30" s="38"/>
      <c r="H30" s="32" t="s">
        <v>99</v>
      </c>
      <c r="I30" s="19"/>
      <c r="J30" s="14"/>
      <c r="K30" s="14"/>
      <c r="L30" s="38"/>
    </row>
    <row r="31" spans="2:12" x14ac:dyDescent="0.2">
      <c r="B31" s="39" t="s">
        <v>80</v>
      </c>
      <c r="C31" s="20">
        <v>420</v>
      </c>
      <c r="D31" s="13">
        <v>1</v>
      </c>
      <c r="E31" s="25" t="s">
        <v>92</v>
      </c>
      <c r="F31" s="40">
        <f>C31*D31</f>
        <v>420</v>
      </c>
      <c r="H31" s="39" t="s">
        <v>80</v>
      </c>
      <c r="I31" s="20">
        <v>420</v>
      </c>
      <c r="J31" s="13">
        <v>1</v>
      </c>
      <c r="K31" s="25" t="s">
        <v>92</v>
      </c>
      <c r="L31" s="40">
        <f>I31*J31</f>
        <v>420</v>
      </c>
    </row>
    <row r="32" spans="2:12" x14ac:dyDescent="0.2">
      <c r="B32" s="35" t="s">
        <v>29</v>
      </c>
      <c r="C32" s="18">
        <v>15</v>
      </c>
      <c r="D32" s="10">
        <v>1</v>
      </c>
      <c r="E32" s="26" t="s">
        <v>92</v>
      </c>
      <c r="F32" s="40">
        <f>C32*D32</f>
        <v>15</v>
      </c>
      <c r="H32" s="35" t="s">
        <v>29</v>
      </c>
      <c r="I32" s="18">
        <v>15</v>
      </c>
      <c r="J32" s="10">
        <v>1</v>
      </c>
      <c r="K32" s="26" t="s">
        <v>92</v>
      </c>
      <c r="L32" s="40">
        <f>I32*J32</f>
        <v>15</v>
      </c>
    </row>
    <row r="33" spans="2:12" ht="15" customHeight="1" thickBot="1" x14ac:dyDescent="0.25">
      <c r="B33" s="84" t="s">
        <v>79</v>
      </c>
      <c r="C33" s="104">
        <v>1020</v>
      </c>
      <c r="D33" s="86">
        <v>1</v>
      </c>
      <c r="E33" s="87" t="s">
        <v>92</v>
      </c>
      <c r="F33" s="105">
        <f>C33*D33</f>
        <v>1020</v>
      </c>
      <c r="H33" s="84" t="s">
        <v>79</v>
      </c>
      <c r="I33" s="104">
        <v>1020</v>
      </c>
      <c r="J33" s="86">
        <v>1</v>
      </c>
      <c r="K33" s="87" t="s">
        <v>92</v>
      </c>
      <c r="L33" s="105">
        <f>I33*J33</f>
        <v>1020</v>
      </c>
    </row>
    <row r="34" spans="2:12" ht="15" customHeight="1" x14ac:dyDescent="0.2">
      <c r="B34" s="100" t="s">
        <v>71</v>
      </c>
      <c r="C34" s="101"/>
      <c r="D34" s="102"/>
      <c r="E34" s="102"/>
      <c r="F34" s="103">
        <f>SUM(F31:F33)</f>
        <v>1455</v>
      </c>
      <c r="H34" s="100" t="s">
        <v>71</v>
      </c>
      <c r="I34" s="101"/>
      <c r="J34" s="102"/>
      <c r="K34" s="102"/>
      <c r="L34" s="103">
        <f>SUM(L31:L33)</f>
        <v>1455</v>
      </c>
    </row>
    <row r="35" spans="2:12" ht="15.75" customHeight="1" x14ac:dyDescent="0.2">
      <c r="B35" s="33" t="s">
        <v>140</v>
      </c>
      <c r="C35" s="17"/>
      <c r="D35" s="12"/>
      <c r="E35" s="12"/>
      <c r="F35" s="34"/>
      <c r="H35" s="33" t="s">
        <v>139</v>
      </c>
      <c r="I35" s="17"/>
      <c r="J35" s="12"/>
      <c r="K35" s="12"/>
      <c r="L35" s="34"/>
    </row>
    <row r="36" spans="2:12" x14ac:dyDescent="0.2">
      <c r="B36" s="41" t="s">
        <v>144</v>
      </c>
      <c r="C36" s="23"/>
      <c r="D36" s="15"/>
      <c r="E36" s="15"/>
      <c r="F36" s="42">
        <f>'KW_Año 1'!P26</f>
        <v>8877</v>
      </c>
      <c r="H36" s="41" t="s">
        <v>141</v>
      </c>
      <c r="I36" s="23"/>
      <c r="J36" s="15"/>
      <c r="K36" s="15"/>
      <c r="L36" s="42">
        <f>'KW_Año 1'!P14</f>
        <v>10535</v>
      </c>
    </row>
    <row r="37" spans="2:12" ht="13.5" thickBot="1" x14ac:dyDescent="0.25">
      <c r="B37" s="96" t="s">
        <v>75</v>
      </c>
      <c r="C37" s="97"/>
      <c r="D37" s="98"/>
      <c r="E37" s="98"/>
      <c r="F37" s="99">
        <f>F36</f>
        <v>8877</v>
      </c>
      <c r="H37" s="96" t="s">
        <v>75</v>
      </c>
      <c r="I37" s="97"/>
      <c r="J37" s="98"/>
      <c r="K37" s="98"/>
      <c r="L37" s="99">
        <f>L36</f>
        <v>10535</v>
      </c>
    </row>
    <row r="38" spans="2:12" ht="13.5" thickBot="1" x14ac:dyDescent="0.25">
      <c r="B38" s="131" t="s">
        <v>76</v>
      </c>
      <c r="C38" s="132"/>
      <c r="D38" s="133"/>
      <c r="E38" s="133"/>
      <c r="F38" s="134">
        <f>F4+F37</f>
        <v>19369</v>
      </c>
      <c r="H38" s="131" t="s">
        <v>76</v>
      </c>
      <c r="I38" s="132"/>
      <c r="J38" s="133"/>
      <c r="K38" s="133"/>
      <c r="L38" s="134">
        <f>L4+L37</f>
        <v>21027</v>
      </c>
    </row>
    <row r="39" spans="2:12" x14ac:dyDescent="0.2">
      <c r="B39" s="27"/>
    </row>
    <row r="40" spans="2:12" x14ac:dyDescent="0.2">
      <c r="B40" s="27"/>
    </row>
    <row r="45" spans="2:12" x14ac:dyDescent="0.2">
      <c r="B45" s="8"/>
      <c r="F45" s="181"/>
    </row>
    <row r="46" spans="2:12" x14ac:dyDescent="0.2">
      <c r="B46" s="8"/>
    </row>
    <row r="47" spans="2:12" x14ac:dyDescent="0.2">
      <c r="B47" s="8"/>
    </row>
    <row r="48" spans="2:1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</sheetData>
  <mergeCells count="2">
    <mergeCell ref="B1:F1"/>
    <mergeCell ref="H1:L1"/>
  </mergeCells>
  <phoneticPr fontId="3" type="noConversion"/>
  <pageMargins left="0.75" right="0.75" top="1" bottom="1" header="0" footer="0"/>
  <pageSetup paperSize="9" orientation="portrait" horizontalDpi="4294967295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workbookViewId="0">
      <selection activeCell="G33" sqref="G33"/>
    </sheetView>
  </sheetViews>
  <sheetFormatPr baseColWidth="10" defaultColWidth="11.5703125" defaultRowHeight="12.75" x14ac:dyDescent="0.2"/>
  <cols>
    <col min="1" max="1" width="11.5703125" customWidth="1"/>
    <col min="2" max="2" width="20" customWidth="1"/>
    <col min="3" max="3" width="10.7109375" customWidth="1"/>
    <col min="4" max="4" width="9.7109375" customWidth="1"/>
    <col min="5" max="5" width="10" customWidth="1"/>
    <col min="6" max="6" width="12.85546875" customWidth="1"/>
    <col min="7" max="7" width="13" customWidth="1"/>
    <col min="8" max="8" width="9.5703125" customWidth="1"/>
  </cols>
  <sheetData>
    <row r="3" spans="2:8" ht="22.5" customHeight="1" thickBot="1" x14ac:dyDescent="0.25">
      <c r="B3" s="188" t="s">
        <v>117</v>
      </c>
      <c r="C3" s="188"/>
      <c r="D3" s="188"/>
      <c r="E3" s="188"/>
      <c r="F3" s="188"/>
      <c r="G3" s="188"/>
      <c r="H3" s="188"/>
    </row>
    <row r="4" spans="2:8" s="11" customFormat="1" ht="39" thickBot="1" x14ac:dyDescent="0.25">
      <c r="B4" s="61" t="s">
        <v>55</v>
      </c>
      <c r="C4" s="47" t="s">
        <v>56</v>
      </c>
      <c r="D4" s="47" t="s">
        <v>59</v>
      </c>
      <c r="E4" s="47" t="s">
        <v>85</v>
      </c>
      <c r="F4" s="47" t="s">
        <v>60</v>
      </c>
      <c r="G4" s="47" t="s">
        <v>61</v>
      </c>
      <c r="H4" s="48" t="s">
        <v>103</v>
      </c>
    </row>
    <row r="5" spans="2:8" x14ac:dyDescent="0.2">
      <c r="B5" s="129" t="s">
        <v>33</v>
      </c>
      <c r="C5" s="55">
        <f>+Inversión_Inicial!F6</f>
        <v>7000</v>
      </c>
      <c r="D5" s="49">
        <v>10</v>
      </c>
      <c r="E5" s="51">
        <f>1/D5</f>
        <v>0.1</v>
      </c>
      <c r="F5" s="56">
        <f>+E5*C5</f>
        <v>700</v>
      </c>
      <c r="G5" s="55">
        <f>+F5*5</f>
        <v>3500</v>
      </c>
      <c r="H5" s="57">
        <f>+C5-G5</f>
        <v>3500</v>
      </c>
    </row>
    <row r="6" spans="2:8" ht="13.5" customHeight="1" x14ac:dyDescent="0.2">
      <c r="B6" s="109" t="s">
        <v>57</v>
      </c>
      <c r="C6" s="21">
        <f>+Inversión_Inicial!F10</f>
        <v>590</v>
      </c>
      <c r="D6" s="9">
        <v>5</v>
      </c>
      <c r="E6" s="30">
        <f>1/D6</f>
        <v>0.2</v>
      </c>
      <c r="F6" s="24">
        <f>+E6*C6</f>
        <v>118</v>
      </c>
      <c r="G6" s="55">
        <f>+F6*5</f>
        <v>590</v>
      </c>
      <c r="H6" s="54">
        <f>+C6-G6</f>
        <v>0</v>
      </c>
    </row>
    <row r="7" spans="2:8" ht="13.5" customHeight="1" x14ac:dyDescent="0.2">
      <c r="B7" s="109" t="s">
        <v>20</v>
      </c>
      <c r="C7" s="21">
        <f>Inversión_Inicial!F14</f>
        <v>357</v>
      </c>
      <c r="D7" s="9">
        <v>2</v>
      </c>
      <c r="E7" s="30">
        <f>1/D7</f>
        <v>0.5</v>
      </c>
      <c r="F7" s="24">
        <f>+E7*C7</f>
        <v>178.5</v>
      </c>
      <c r="G7" s="55">
        <f>F7</f>
        <v>178.5</v>
      </c>
      <c r="H7" s="54">
        <f>+C7-G7</f>
        <v>178.5</v>
      </c>
    </row>
    <row r="8" spans="2:8" ht="13.5" thickBot="1" x14ac:dyDescent="0.25">
      <c r="B8" s="130" t="s">
        <v>21</v>
      </c>
      <c r="C8" s="58">
        <f>+Inversión_Inicial!F24</f>
        <v>1090</v>
      </c>
      <c r="D8" s="50">
        <v>5</v>
      </c>
      <c r="E8" s="59">
        <f>1/D8</f>
        <v>0.2</v>
      </c>
      <c r="F8" s="58">
        <f>+E8*C8</f>
        <v>218</v>
      </c>
      <c r="G8" s="55">
        <f>+F8*5</f>
        <v>1090</v>
      </c>
      <c r="H8" s="60">
        <f>+C8-G8</f>
        <v>0</v>
      </c>
    </row>
    <row r="9" spans="2:8" ht="13.5" thickBot="1" x14ac:dyDescent="0.25">
      <c r="B9" s="106" t="s">
        <v>58</v>
      </c>
      <c r="C9" s="126">
        <f>SUM(C5:C8)</f>
        <v>9037</v>
      </c>
      <c r="D9" s="127"/>
      <c r="E9" s="127"/>
      <c r="F9" s="126">
        <f>SUM(F5:F8)</f>
        <v>1214.5</v>
      </c>
      <c r="G9" s="127"/>
      <c r="H9" s="128">
        <f>SUM(H5:H8)</f>
        <v>3678.5</v>
      </c>
    </row>
    <row r="10" spans="2:8" x14ac:dyDescent="0.2">
      <c r="B10" s="53"/>
    </row>
  </sheetData>
  <mergeCells count="1">
    <mergeCell ref="B3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G27" sqref="G27"/>
    </sheetView>
  </sheetViews>
  <sheetFormatPr baseColWidth="10" defaultColWidth="11.5703125" defaultRowHeight="12.75" x14ac:dyDescent="0.2"/>
  <cols>
    <col min="1" max="1" width="11.5703125" customWidth="1"/>
    <col min="2" max="2" width="26.42578125" customWidth="1"/>
    <col min="3" max="3" width="10.42578125" customWidth="1"/>
    <col min="4" max="4" width="8.42578125" customWidth="1"/>
    <col min="5" max="5" width="11" customWidth="1"/>
  </cols>
  <sheetData>
    <row r="3" spans="2:6" x14ac:dyDescent="0.2">
      <c r="B3" s="186" t="s">
        <v>132</v>
      </c>
      <c r="C3" s="186"/>
      <c r="D3" s="186"/>
      <c r="E3" s="186"/>
      <c r="F3" s="186"/>
    </row>
    <row r="4" spans="2:6" ht="13.5" thickBot="1" x14ac:dyDescent="0.25"/>
    <row r="5" spans="2:6" ht="33.75" customHeight="1" thickBot="1" x14ac:dyDescent="0.25">
      <c r="B5" s="173" t="s">
        <v>15</v>
      </c>
      <c r="C5" s="174" t="s">
        <v>131</v>
      </c>
      <c r="D5" s="174" t="s">
        <v>129</v>
      </c>
      <c r="E5" s="174" t="s">
        <v>130</v>
      </c>
      <c r="F5" s="175" t="s">
        <v>12</v>
      </c>
    </row>
    <row r="6" spans="2:6" ht="19.5" customHeight="1" x14ac:dyDescent="0.25">
      <c r="B6" s="158" t="s">
        <v>127</v>
      </c>
      <c r="C6" s="159"/>
      <c r="D6" s="160"/>
      <c r="E6" s="159"/>
      <c r="F6" s="161">
        <f>F7+F8+F9+F10</f>
        <v>207</v>
      </c>
    </row>
    <row r="7" spans="2:6" ht="14.25" x14ac:dyDescent="0.2">
      <c r="B7" s="162" t="s">
        <v>49</v>
      </c>
      <c r="C7" s="159" t="s">
        <v>93</v>
      </c>
      <c r="D7" s="160">
        <v>3.5</v>
      </c>
      <c r="E7" s="159">
        <v>30</v>
      </c>
      <c r="F7" s="163">
        <f t="shared" ref="F7:F14" si="0">D7*E7</f>
        <v>105</v>
      </c>
    </row>
    <row r="8" spans="2:6" ht="14.25" x14ac:dyDescent="0.2">
      <c r="B8" s="164" t="s">
        <v>50</v>
      </c>
      <c r="C8" s="165" t="s">
        <v>93</v>
      </c>
      <c r="D8" s="166">
        <v>12</v>
      </c>
      <c r="E8" s="165">
        <v>0.5</v>
      </c>
      <c r="F8" s="163">
        <f t="shared" si="0"/>
        <v>6</v>
      </c>
    </row>
    <row r="9" spans="2:6" ht="14.25" x14ac:dyDescent="0.2">
      <c r="B9" s="164" t="s">
        <v>51</v>
      </c>
      <c r="C9" s="165" t="s">
        <v>93</v>
      </c>
      <c r="D9" s="166">
        <v>2.2999999999999998</v>
      </c>
      <c r="E9" s="165">
        <v>20</v>
      </c>
      <c r="F9" s="163">
        <f t="shared" si="0"/>
        <v>46</v>
      </c>
    </row>
    <row r="10" spans="2:6" ht="14.25" x14ac:dyDescent="0.2">
      <c r="B10" s="164" t="s">
        <v>52</v>
      </c>
      <c r="C10" s="165" t="s">
        <v>26</v>
      </c>
      <c r="D10" s="166">
        <v>0.5</v>
      </c>
      <c r="E10" s="165">
        <v>100</v>
      </c>
      <c r="F10" s="163">
        <f t="shared" si="0"/>
        <v>50</v>
      </c>
    </row>
    <row r="11" spans="2:6" ht="18.75" customHeight="1" x14ac:dyDescent="0.25">
      <c r="B11" s="167" t="s">
        <v>128</v>
      </c>
      <c r="C11" s="165"/>
      <c r="D11" s="166"/>
      <c r="E11" s="165"/>
      <c r="F11" s="168">
        <f>F12</f>
        <v>500</v>
      </c>
    </row>
    <row r="12" spans="2:6" ht="14.25" x14ac:dyDescent="0.2">
      <c r="B12" s="164" t="s">
        <v>53</v>
      </c>
      <c r="C12" s="165" t="s">
        <v>26</v>
      </c>
      <c r="D12" s="166">
        <v>5</v>
      </c>
      <c r="E12" s="165">
        <v>100</v>
      </c>
      <c r="F12" s="163">
        <f t="shared" si="0"/>
        <v>500</v>
      </c>
    </row>
    <row r="13" spans="2:6" ht="30" x14ac:dyDescent="0.25">
      <c r="B13" s="167" t="s">
        <v>126</v>
      </c>
      <c r="C13" s="165"/>
      <c r="D13" s="166"/>
      <c r="E13" s="165"/>
      <c r="F13" s="168">
        <f>F14</f>
        <v>100</v>
      </c>
    </row>
    <row r="14" spans="2:6" ht="15" thickBot="1" x14ac:dyDescent="0.25">
      <c r="B14" s="169" t="s">
        <v>30</v>
      </c>
      <c r="C14" s="170" t="s">
        <v>74</v>
      </c>
      <c r="D14" s="171">
        <v>100</v>
      </c>
      <c r="E14" s="170">
        <v>1</v>
      </c>
      <c r="F14" s="172">
        <f t="shared" si="0"/>
        <v>100</v>
      </c>
    </row>
    <row r="15" spans="2:6" ht="30.75" thickBot="1" x14ac:dyDescent="0.3">
      <c r="B15" s="176" t="s">
        <v>75</v>
      </c>
      <c r="C15" s="177"/>
      <c r="D15" s="178"/>
      <c r="E15" s="177"/>
      <c r="F15" s="179">
        <f>F6+F11+F13</f>
        <v>807</v>
      </c>
    </row>
  </sheetData>
  <mergeCells count="1">
    <mergeCell ref="B3:F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28"/>
  <sheetViews>
    <sheetView tabSelected="1" workbookViewId="0">
      <selection activeCell="Q17" sqref="Q17"/>
    </sheetView>
  </sheetViews>
  <sheetFormatPr baseColWidth="10" defaultColWidth="11.5703125" defaultRowHeight="12.75" x14ac:dyDescent="0.2"/>
  <cols>
    <col min="1" max="1" width="11.5703125" customWidth="1"/>
    <col min="2" max="2" width="15.85546875" customWidth="1"/>
    <col min="3" max="3" width="5.5703125" customWidth="1"/>
    <col min="4" max="4" width="7.5703125" customWidth="1"/>
    <col min="5" max="5" width="7.28515625" customWidth="1"/>
    <col min="6" max="6" width="7.7109375" customWidth="1"/>
    <col min="7" max="7" width="6" customWidth="1"/>
    <col min="8" max="8" width="6.140625" customWidth="1"/>
    <col min="9" max="9" width="5.85546875" customWidth="1"/>
    <col min="10" max="10" width="5.5703125" customWidth="1"/>
    <col min="11" max="11" width="7.42578125" customWidth="1"/>
    <col min="12" max="12" width="6.140625" customWidth="1"/>
    <col min="13" max="13" width="6.85546875" customWidth="1"/>
    <col min="14" max="14" width="6.7109375" customWidth="1"/>
    <col min="15" max="15" width="6.28515625" customWidth="1"/>
    <col min="16" max="16" width="7.28515625" customWidth="1"/>
  </cols>
  <sheetData>
    <row r="5" spans="2:20" x14ac:dyDescent="0.2">
      <c r="B5" s="186" t="s">
        <v>137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</row>
    <row r="6" spans="2:20" ht="13.5" thickBot="1" x14ac:dyDescent="0.25"/>
    <row r="7" spans="2:20" x14ac:dyDescent="0.2">
      <c r="B7" s="189" t="s">
        <v>15</v>
      </c>
      <c r="C7" s="191">
        <v>0</v>
      </c>
      <c r="D7" s="193" t="s">
        <v>100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5"/>
      <c r="P7" s="196" t="s">
        <v>12</v>
      </c>
    </row>
    <row r="8" spans="2:20" x14ac:dyDescent="0.2">
      <c r="B8" s="190"/>
      <c r="C8" s="192"/>
      <c r="D8" s="155">
        <v>1</v>
      </c>
      <c r="E8" s="155">
        <v>2</v>
      </c>
      <c r="F8" s="155">
        <v>3</v>
      </c>
      <c r="G8" s="155">
        <v>4</v>
      </c>
      <c r="H8" s="155">
        <v>5</v>
      </c>
      <c r="I8" s="155">
        <v>6</v>
      </c>
      <c r="J8" s="155">
        <v>7</v>
      </c>
      <c r="K8" s="155">
        <v>8</v>
      </c>
      <c r="L8" s="155">
        <v>9</v>
      </c>
      <c r="M8" s="155">
        <v>10</v>
      </c>
      <c r="N8" s="155">
        <v>11</v>
      </c>
      <c r="O8" s="155">
        <v>12</v>
      </c>
      <c r="P8" s="197"/>
    </row>
    <row r="9" spans="2:20" x14ac:dyDescent="0.2">
      <c r="B9" s="52" t="s">
        <v>77</v>
      </c>
      <c r="C9" s="30"/>
      <c r="D9" s="151">
        <f>Ventas_Unidades!C7</f>
        <v>100</v>
      </c>
      <c r="E9" s="151">
        <f>Ventas_Unidades!D7</f>
        <v>200</v>
      </c>
      <c r="F9" s="151">
        <f>Ventas_Unidades!E7</f>
        <v>300</v>
      </c>
      <c r="G9" s="151">
        <f>Ventas_Unidades!F7</f>
        <v>400</v>
      </c>
      <c r="H9" s="151">
        <f>Ventas_Unidades!G7</f>
        <v>500</v>
      </c>
      <c r="I9" s="151">
        <f>Ventas_Unidades!H7</f>
        <v>600</v>
      </c>
      <c r="J9" s="151">
        <f>Ventas_Unidades!I7</f>
        <v>700</v>
      </c>
      <c r="K9" s="151">
        <f>Ventas_Unidades!J7</f>
        <v>800</v>
      </c>
      <c r="L9" s="151">
        <f>Ventas_Unidades!K7</f>
        <v>800</v>
      </c>
      <c r="M9" s="151">
        <f>Ventas_Unidades!L7</f>
        <v>900</v>
      </c>
      <c r="N9" s="151">
        <f>Ventas_Unidades!M7</f>
        <v>1000</v>
      </c>
      <c r="O9" s="151">
        <f>Ventas_Unidades!N7</f>
        <v>1000</v>
      </c>
      <c r="P9" s="135"/>
      <c r="S9">
        <v>345</v>
      </c>
      <c r="T9">
        <v>456</v>
      </c>
    </row>
    <row r="10" spans="2:20" x14ac:dyDescent="0.2">
      <c r="B10" s="52" t="s">
        <v>102</v>
      </c>
      <c r="C10" s="30"/>
      <c r="D10" s="30">
        <f>Costos_Unitarios!$C$18</f>
        <v>8.07</v>
      </c>
      <c r="E10" s="30">
        <f>Costos_Unitarios!$C$18</f>
        <v>8.07</v>
      </c>
      <c r="F10" s="30">
        <f>Costos_Unitarios!$C$18</f>
        <v>8.07</v>
      </c>
      <c r="G10" s="30">
        <f>Costos_Unitarios!$C$18</f>
        <v>8.07</v>
      </c>
      <c r="H10" s="30">
        <f>Costos_Unitarios!$C$18</f>
        <v>8.07</v>
      </c>
      <c r="I10" s="30">
        <f>Costos_Unitarios!$C$18</f>
        <v>8.07</v>
      </c>
      <c r="J10" s="30">
        <f>Costos_Unitarios!$C$18</f>
        <v>8.07</v>
      </c>
      <c r="K10" s="30">
        <f>Costos_Unitarios!$C$18</f>
        <v>8.07</v>
      </c>
      <c r="L10" s="30">
        <f>Costos_Unitarios!$C$18</f>
        <v>8.07</v>
      </c>
      <c r="M10" s="30">
        <f>Costos_Unitarios!$C$18</f>
        <v>8.07</v>
      </c>
      <c r="N10" s="30">
        <f>Costos_Unitarios!$C$18</f>
        <v>8.07</v>
      </c>
      <c r="O10" s="30">
        <f>Costos_Unitarios!$C$18</f>
        <v>8.07</v>
      </c>
      <c r="P10" s="135"/>
      <c r="S10" s="185">
        <f>(T9-S9)/T9</f>
        <v>0.24342105263157895</v>
      </c>
    </row>
    <row r="11" spans="2:20" x14ac:dyDescent="0.2">
      <c r="B11" s="52" t="s">
        <v>118</v>
      </c>
      <c r="C11" s="152"/>
      <c r="D11" s="30">
        <f t="shared" ref="D11:O11" si="0">D9*D10</f>
        <v>807</v>
      </c>
      <c r="E11" s="30">
        <f t="shared" si="0"/>
        <v>1614</v>
      </c>
      <c r="F11" s="30">
        <f t="shared" si="0"/>
        <v>2421</v>
      </c>
      <c r="G11" s="30">
        <f t="shared" si="0"/>
        <v>3228</v>
      </c>
      <c r="H11" s="30">
        <f t="shared" si="0"/>
        <v>4035</v>
      </c>
      <c r="I11" s="30">
        <f t="shared" si="0"/>
        <v>4842</v>
      </c>
      <c r="J11" s="30">
        <f t="shared" si="0"/>
        <v>5649</v>
      </c>
      <c r="K11" s="30">
        <f t="shared" si="0"/>
        <v>6456</v>
      </c>
      <c r="L11" s="30">
        <f t="shared" si="0"/>
        <v>6456</v>
      </c>
      <c r="M11" s="30">
        <f t="shared" si="0"/>
        <v>7263</v>
      </c>
      <c r="N11" s="30">
        <f t="shared" si="0"/>
        <v>8070</v>
      </c>
      <c r="O11" s="30">
        <f t="shared" si="0"/>
        <v>8070</v>
      </c>
      <c r="P11" s="135"/>
    </row>
    <row r="12" spans="2:20" x14ac:dyDescent="0.2">
      <c r="B12" s="52" t="s">
        <v>146</v>
      </c>
      <c r="C12" s="152"/>
      <c r="D12" s="152">
        <f>Gastos_Operativos!$F$15</f>
        <v>2465</v>
      </c>
      <c r="E12" s="152">
        <f>Gastos_Operativos!$F$15</f>
        <v>2465</v>
      </c>
      <c r="F12" s="152">
        <f>Gastos_Operativos!$F$15</f>
        <v>2465</v>
      </c>
      <c r="G12" s="152">
        <f>Gastos_Operativos!$F$15</f>
        <v>2465</v>
      </c>
      <c r="H12" s="152">
        <f>Gastos_Operativos!$F$15</f>
        <v>2465</v>
      </c>
      <c r="I12" s="152">
        <f>Gastos_Operativos!$F$15</f>
        <v>2465</v>
      </c>
      <c r="J12" s="152">
        <f>Gastos_Operativos!$F$15</f>
        <v>2465</v>
      </c>
      <c r="K12" s="152">
        <f>Gastos_Operativos!$F$15</f>
        <v>2465</v>
      </c>
      <c r="L12" s="152">
        <f>Gastos_Operativos!$F$15</f>
        <v>2465</v>
      </c>
      <c r="M12" s="152">
        <f>Gastos_Operativos!$F$15</f>
        <v>2465</v>
      </c>
      <c r="N12" s="152">
        <f>Gastos_Operativos!$F$15</f>
        <v>2465</v>
      </c>
      <c r="O12" s="152">
        <f>Gastos_Operativos!$F$15</f>
        <v>2465</v>
      </c>
      <c r="P12" s="135"/>
    </row>
    <row r="13" spans="2:20" x14ac:dyDescent="0.2">
      <c r="B13" s="52" t="s">
        <v>119</v>
      </c>
      <c r="C13" s="152"/>
      <c r="D13" s="152">
        <f>D11+D12</f>
        <v>3272</v>
      </c>
      <c r="E13" s="152">
        <f t="shared" ref="E13:N13" si="1">E11+E12</f>
        <v>4079</v>
      </c>
      <c r="F13" s="152">
        <f t="shared" si="1"/>
        <v>4886</v>
      </c>
      <c r="G13" s="152">
        <f t="shared" si="1"/>
        <v>5693</v>
      </c>
      <c r="H13" s="152">
        <f t="shared" si="1"/>
        <v>6500</v>
      </c>
      <c r="I13" s="152">
        <f t="shared" si="1"/>
        <v>7307</v>
      </c>
      <c r="J13" s="152">
        <f t="shared" si="1"/>
        <v>8114</v>
      </c>
      <c r="K13" s="152">
        <f t="shared" si="1"/>
        <v>8921</v>
      </c>
      <c r="L13" s="152">
        <f>L11+L12</f>
        <v>8921</v>
      </c>
      <c r="M13" s="152">
        <f t="shared" si="1"/>
        <v>9728</v>
      </c>
      <c r="N13" s="152">
        <f t="shared" si="1"/>
        <v>10535</v>
      </c>
      <c r="O13" s="152">
        <f>O11+O12</f>
        <v>10535</v>
      </c>
      <c r="P13" s="135"/>
    </row>
    <row r="14" spans="2:20" x14ac:dyDescent="0.2">
      <c r="B14" s="52" t="s">
        <v>101</v>
      </c>
      <c r="C14" s="152">
        <f>D13</f>
        <v>3272</v>
      </c>
      <c r="D14" s="152">
        <f>E13-C14</f>
        <v>807</v>
      </c>
      <c r="E14" s="152">
        <f t="shared" ref="E14:N14" si="2">F13-E13</f>
        <v>807</v>
      </c>
      <c r="F14" s="152">
        <f t="shared" si="2"/>
        <v>807</v>
      </c>
      <c r="G14" s="152">
        <f t="shared" si="2"/>
        <v>807</v>
      </c>
      <c r="H14" s="152">
        <f>I13-H13</f>
        <v>807</v>
      </c>
      <c r="I14" s="152">
        <f t="shared" si="2"/>
        <v>807</v>
      </c>
      <c r="J14" s="152">
        <f t="shared" si="2"/>
        <v>807</v>
      </c>
      <c r="K14" s="152">
        <f t="shared" si="2"/>
        <v>0</v>
      </c>
      <c r="L14" s="152">
        <f t="shared" si="2"/>
        <v>807</v>
      </c>
      <c r="M14" s="152">
        <f t="shared" si="2"/>
        <v>807</v>
      </c>
      <c r="N14" s="152">
        <f t="shared" si="2"/>
        <v>0</v>
      </c>
      <c r="O14" s="152"/>
      <c r="P14" s="153">
        <f>SUM(C14:O14)</f>
        <v>10535</v>
      </c>
    </row>
    <row r="16" spans="2:20" x14ac:dyDescent="0.2">
      <c r="B16" s="29" t="s">
        <v>143</v>
      </c>
    </row>
    <row r="17" spans="2:16" x14ac:dyDescent="0.2">
      <c r="E17" s="150"/>
    </row>
    <row r="18" spans="2:16" x14ac:dyDescent="0.2">
      <c r="B18" s="186" t="s">
        <v>138</v>
      </c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</row>
    <row r="19" spans="2:16" ht="13.5" thickBot="1" x14ac:dyDescent="0.25"/>
    <row r="20" spans="2:16" x14ac:dyDescent="0.2">
      <c r="B20" s="189" t="s">
        <v>15</v>
      </c>
      <c r="C20" s="191">
        <v>0</v>
      </c>
      <c r="D20" s="193" t="s">
        <v>100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5"/>
      <c r="P20" s="196" t="s">
        <v>12</v>
      </c>
    </row>
    <row r="21" spans="2:16" x14ac:dyDescent="0.2">
      <c r="B21" s="190"/>
      <c r="C21" s="192"/>
      <c r="D21" s="155">
        <v>1</v>
      </c>
      <c r="E21" s="155">
        <v>2</v>
      </c>
      <c r="F21" s="155">
        <v>3</v>
      </c>
      <c r="G21" s="155">
        <v>4</v>
      </c>
      <c r="H21" s="155">
        <v>5</v>
      </c>
      <c r="I21" s="155">
        <v>6</v>
      </c>
      <c r="J21" s="155">
        <v>7</v>
      </c>
      <c r="K21" s="155">
        <v>8</v>
      </c>
      <c r="L21" s="155">
        <v>9</v>
      </c>
      <c r="M21" s="155">
        <v>10</v>
      </c>
      <c r="N21" s="155">
        <v>11</v>
      </c>
      <c r="O21" s="155">
        <v>12</v>
      </c>
      <c r="P21" s="197"/>
    </row>
    <row r="22" spans="2:16" x14ac:dyDescent="0.2">
      <c r="B22" s="52" t="s">
        <v>77</v>
      </c>
      <c r="C22" s="30"/>
      <c r="D22" s="151">
        <f t="shared" ref="D22:O22" si="3">D9</f>
        <v>100</v>
      </c>
      <c r="E22" s="151">
        <f t="shared" si="3"/>
        <v>200</v>
      </c>
      <c r="F22" s="151">
        <f t="shared" si="3"/>
        <v>300</v>
      </c>
      <c r="G22" s="151">
        <f t="shared" si="3"/>
        <v>400</v>
      </c>
      <c r="H22" s="151">
        <f t="shared" si="3"/>
        <v>500</v>
      </c>
      <c r="I22" s="151">
        <f t="shared" si="3"/>
        <v>600</v>
      </c>
      <c r="J22" s="151">
        <f t="shared" si="3"/>
        <v>700</v>
      </c>
      <c r="K22" s="151">
        <f t="shared" si="3"/>
        <v>800</v>
      </c>
      <c r="L22" s="151">
        <f t="shared" si="3"/>
        <v>800</v>
      </c>
      <c r="M22" s="151">
        <f t="shared" si="3"/>
        <v>900</v>
      </c>
      <c r="N22" s="151">
        <f t="shared" si="3"/>
        <v>1000</v>
      </c>
      <c r="O22" s="151">
        <f t="shared" si="3"/>
        <v>1000</v>
      </c>
      <c r="P22" s="135"/>
    </row>
    <row r="23" spans="2:16" x14ac:dyDescent="0.2">
      <c r="B23" s="52" t="s">
        <v>102</v>
      </c>
      <c r="C23" s="30"/>
      <c r="D23" s="30">
        <f>Costos_Unitarios!$C$18</f>
        <v>8.07</v>
      </c>
      <c r="E23" s="30">
        <f>Costos_Unitarios!$C$18</f>
        <v>8.07</v>
      </c>
      <c r="F23" s="30">
        <f>Costos_Unitarios!$C$18</f>
        <v>8.07</v>
      </c>
      <c r="G23" s="30">
        <f>Costos_Unitarios!$C$18</f>
        <v>8.07</v>
      </c>
      <c r="H23" s="30">
        <f>Costos_Unitarios!$C$18</f>
        <v>8.07</v>
      </c>
      <c r="I23" s="30">
        <f>Costos_Unitarios!$C$18</f>
        <v>8.07</v>
      </c>
      <c r="J23" s="30">
        <f>Costos_Unitarios!$C$18</f>
        <v>8.07</v>
      </c>
      <c r="K23" s="30">
        <f>Costos_Unitarios!$C$18</f>
        <v>8.07</v>
      </c>
      <c r="L23" s="30">
        <f>Costos_Unitarios!$C$18</f>
        <v>8.07</v>
      </c>
      <c r="M23" s="30">
        <f>Costos_Unitarios!$C$18</f>
        <v>8.07</v>
      </c>
      <c r="N23" s="30">
        <f>Costos_Unitarios!$C$18</f>
        <v>8.07</v>
      </c>
      <c r="O23" s="30">
        <f>Costos_Unitarios!$C$18</f>
        <v>8.07</v>
      </c>
      <c r="P23" s="135"/>
    </row>
    <row r="24" spans="2:16" x14ac:dyDescent="0.2">
      <c r="B24" s="52" t="s">
        <v>118</v>
      </c>
      <c r="C24" s="152"/>
      <c r="D24" s="30">
        <f t="shared" ref="D24:O24" si="4">D22*D23</f>
        <v>807</v>
      </c>
      <c r="E24" s="30">
        <f>E22*E23</f>
        <v>1614</v>
      </c>
      <c r="F24" s="30">
        <f t="shared" si="4"/>
        <v>2421</v>
      </c>
      <c r="G24" s="30">
        <f t="shared" si="4"/>
        <v>3228</v>
      </c>
      <c r="H24" s="30">
        <f t="shared" si="4"/>
        <v>4035</v>
      </c>
      <c r="I24" s="30">
        <f t="shared" si="4"/>
        <v>4842</v>
      </c>
      <c r="J24" s="30">
        <f t="shared" si="4"/>
        <v>5649</v>
      </c>
      <c r="K24" s="30">
        <f t="shared" si="4"/>
        <v>6456</v>
      </c>
      <c r="L24" s="30">
        <f t="shared" si="4"/>
        <v>6456</v>
      </c>
      <c r="M24" s="30">
        <f t="shared" si="4"/>
        <v>7263</v>
      </c>
      <c r="N24" s="30">
        <f t="shared" si="4"/>
        <v>8070</v>
      </c>
      <c r="O24" s="30">
        <f t="shared" si="4"/>
        <v>8070</v>
      </c>
      <c r="P24" s="135"/>
    </row>
    <row r="25" spans="2:16" x14ac:dyDescent="0.2">
      <c r="B25" s="52" t="s">
        <v>119</v>
      </c>
      <c r="C25" s="152"/>
      <c r="D25" s="152">
        <f>D24</f>
        <v>807</v>
      </c>
      <c r="E25" s="152">
        <f>E24</f>
        <v>1614</v>
      </c>
      <c r="F25" s="152">
        <f>F24</f>
        <v>2421</v>
      </c>
      <c r="G25" s="152">
        <f>G24</f>
        <v>3228</v>
      </c>
      <c r="H25" s="152">
        <f t="shared" ref="H25:O25" si="5">H24</f>
        <v>4035</v>
      </c>
      <c r="I25" s="152">
        <f t="shared" si="5"/>
        <v>4842</v>
      </c>
      <c r="J25" s="152">
        <f t="shared" si="5"/>
        <v>5649</v>
      </c>
      <c r="K25" s="152">
        <f t="shared" si="5"/>
        <v>6456</v>
      </c>
      <c r="L25" s="152">
        <f t="shared" si="5"/>
        <v>6456</v>
      </c>
      <c r="M25" s="152">
        <f t="shared" si="5"/>
        <v>7263</v>
      </c>
      <c r="N25" s="152">
        <f t="shared" si="5"/>
        <v>8070</v>
      </c>
      <c r="O25" s="152">
        <f t="shared" si="5"/>
        <v>8070</v>
      </c>
      <c r="P25" s="135"/>
    </row>
    <row r="26" spans="2:16" x14ac:dyDescent="0.2">
      <c r="B26" s="52" t="s">
        <v>101</v>
      </c>
      <c r="C26" s="152">
        <f>D25</f>
        <v>807</v>
      </c>
      <c r="D26" s="152">
        <f>E25-C26</f>
        <v>807</v>
      </c>
      <c r="E26" s="152">
        <f>E25-D25</f>
        <v>807</v>
      </c>
      <c r="F26" s="152">
        <f>F25-E25</f>
        <v>807</v>
      </c>
      <c r="G26" s="152">
        <f>G25-F25</f>
        <v>807</v>
      </c>
      <c r="H26" s="152">
        <f>H25-G25</f>
        <v>807</v>
      </c>
      <c r="I26" s="152">
        <f t="shared" ref="I26:O26" si="6">I25-H25</f>
        <v>807</v>
      </c>
      <c r="J26" s="152">
        <f>J25-I25</f>
        <v>807</v>
      </c>
      <c r="K26" s="152">
        <f t="shared" si="6"/>
        <v>807</v>
      </c>
      <c r="L26" s="152">
        <f t="shared" si="6"/>
        <v>0</v>
      </c>
      <c r="M26" s="152">
        <f>M25-L25</f>
        <v>807</v>
      </c>
      <c r="N26" s="152">
        <f t="shared" si="6"/>
        <v>807</v>
      </c>
      <c r="O26" s="152">
        <f t="shared" si="6"/>
        <v>0</v>
      </c>
      <c r="P26" s="153">
        <f>SUM(C26:O26)</f>
        <v>8877</v>
      </c>
    </row>
    <row r="28" spans="2:16" x14ac:dyDescent="0.2">
      <c r="B28" s="29" t="s">
        <v>142</v>
      </c>
    </row>
  </sheetData>
  <mergeCells count="10">
    <mergeCell ref="B5:P5"/>
    <mergeCell ref="B20:B21"/>
    <mergeCell ref="C20:C21"/>
    <mergeCell ref="D20:O20"/>
    <mergeCell ref="P20:P21"/>
    <mergeCell ref="B18:P18"/>
    <mergeCell ref="D7:O7"/>
    <mergeCell ref="P7:P8"/>
    <mergeCell ref="C7:C8"/>
    <mergeCell ref="B7:B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K30" sqref="K30"/>
    </sheetView>
  </sheetViews>
  <sheetFormatPr baseColWidth="10" defaultColWidth="11.5703125" defaultRowHeight="12.75" x14ac:dyDescent="0.2"/>
  <cols>
    <col min="1" max="1" width="11.5703125" customWidth="1"/>
    <col min="2" max="2" width="13" customWidth="1"/>
    <col min="3" max="3" width="11.5703125" customWidth="1"/>
    <col min="4" max="4" width="7.85546875" customWidth="1"/>
    <col min="5" max="5" width="13.85546875" customWidth="1"/>
    <col min="6" max="6" width="8.42578125" customWidth="1"/>
  </cols>
  <sheetData>
    <row r="2" spans="2:12" x14ac:dyDescent="0.2">
      <c r="B2" s="186" t="s">
        <v>120</v>
      </c>
      <c r="C2" s="186"/>
      <c r="D2" s="186"/>
      <c r="E2" s="186"/>
      <c r="F2" s="186"/>
      <c r="G2" s="186"/>
      <c r="H2" s="186"/>
      <c r="I2" s="186"/>
    </row>
    <row r="4" spans="2:12" x14ac:dyDescent="0.2">
      <c r="B4" s="154" t="s">
        <v>105</v>
      </c>
      <c r="C4" s="154" t="s">
        <v>114</v>
      </c>
      <c r="D4" s="154" t="s">
        <v>113</v>
      </c>
      <c r="E4" s="154" t="s">
        <v>111</v>
      </c>
      <c r="F4" s="154" t="s">
        <v>112</v>
      </c>
      <c r="G4" s="154" t="s">
        <v>110</v>
      </c>
      <c r="H4" s="154" t="s">
        <v>122</v>
      </c>
      <c r="I4" s="155" t="s">
        <v>12</v>
      </c>
    </row>
    <row r="5" spans="2:12" x14ac:dyDescent="0.2">
      <c r="B5" s="9" t="s">
        <v>108</v>
      </c>
      <c r="C5" s="9">
        <v>930</v>
      </c>
      <c r="D5" s="9">
        <f>C5*12</f>
        <v>11160</v>
      </c>
      <c r="E5" s="9">
        <v>0</v>
      </c>
      <c r="F5" s="9">
        <v>0</v>
      </c>
      <c r="G5" s="9">
        <f>D5+E5+F5</f>
        <v>11160</v>
      </c>
      <c r="H5" s="10">
        <f>15*12</f>
        <v>180</v>
      </c>
      <c r="I5" s="63">
        <f>G5+H5</f>
        <v>11340</v>
      </c>
    </row>
    <row r="6" spans="2:12" x14ac:dyDescent="0.2">
      <c r="B6" s="9" t="s">
        <v>109</v>
      </c>
      <c r="C6" s="9">
        <v>930</v>
      </c>
      <c r="D6" s="9">
        <f>C6*12</f>
        <v>11160</v>
      </c>
      <c r="E6" s="9">
        <v>0</v>
      </c>
      <c r="F6" s="9">
        <v>0</v>
      </c>
      <c r="G6" s="9">
        <f>D6+E6+F6</f>
        <v>11160</v>
      </c>
      <c r="H6" s="10">
        <f>15*12</f>
        <v>180</v>
      </c>
      <c r="I6" s="63">
        <f>G6+H6</f>
        <v>11340</v>
      </c>
    </row>
    <row r="7" spans="2:12" x14ac:dyDescent="0.2">
      <c r="B7" s="156" t="s">
        <v>12</v>
      </c>
      <c r="C7" s="156"/>
      <c r="D7" s="156"/>
      <c r="E7" s="156"/>
      <c r="F7" s="156"/>
      <c r="G7" s="156"/>
      <c r="H7" s="157">
        <f>H5+H6</f>
        <v>360</v>
      </c>
      <c r="I7" s="157">
        <f>I5+I6</f>
        <v>22680</v>
      </c>
    </row>
    <row r="8" spans="2:12" x14ac:dyDescent="0.2">
      <c r="B8" t="s">
        <v>124</v>
      </c>
    </row>
    <row r="9" spans="2:12" x14ac:dyDescent="0.2">
      <c r="B9" t="s">
        <v>125</v>
      </c>
    </row>
    <row r="10" spans="2:12" x14ac:dyDescent="0.2">
      <c r="B10" t="s">
        <v>123</v>
      </c>
      <c r="K10">
        <v>150</v>
      </c>
      <c r="L10" s="29" t="s">
        <v>135</v>
      </c>
    </row>
    <row r="11" spans="2:12" x14ac:dyDescent="0.2">
      <c r="K11">
        <v>4400</v>
      </c>
    </row>
    <row r="12" spans="2:12" x14ac:dyDescent="0.2">
      <c r="K12">
        <f>K10*K11</f>
        <v>660000</v>
      </c>
      <c r="L12" s="29" t="s">
        <v>136</v>
      </c>
    </row>
  </sheetData>
  <mergeCells count="1">
    <mergeCell ref="B2:I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workbookViewId="0">
      <selection activeCell="I18" sqref="I18"/>
    </sheetView>
  </sheetViews>
  <sheetFormatPr baseColWidth="10" defaultColWidth="11.5703125" defaultRowHeight="12.75" x14ac:dyDescent="0.2"/>
  <cols>
    <col min="1" max="1" width="11.5703125" customWidth="1"/>
    <col min="2" max="2" width="23" customWidth="1"/>
    <col min="3" max="3" width="10.42578125" style="22" customWidth="1"/>
    <col min="4" max="5" width="11.5703125" customWidth="1"/>
    <col min="6" max="6" width="9.140625" customWidth="1"/>
  </cols>
  <sheetData>
    <row r="1" spans="2:7" x14ac:dyDescent="0.2">
      <c r="B1" s="186" t="s">
        <v>133</v>
      </c>
      <c r="C1" s="187"/>
      <c r="D1" s="187"/>
      <c r="E1" s="187"/>
      <c r="F1" s="187"/>
      <c r="G1" s="6"/>
    </row>
    <row r="2" spans="2:7" ht="13.5" thickBot="1" x14ac:dyDescent="0.25">
      <c r="B2" s="6"/>
      <c r="C2" s="16"/>
      <c r="D2" s="6"/>
      <c r="E2" s="6"/>
      <c r="F2" s="6"/>
      <c r="G2" s="6"/>
    </row>
    <row r="3" spans="2:7" s="2" customFormat="1" ht="32.1" customHeight="1" thickBot="1" x14ac:dyDescent="0.25">
      <c r="B3" s="106" t="s">
        <v>15</v>
      </c>
      <c r="C3" s="107" t="s">
        <v>16</v>
      </c>
      <c r="D3" s="107" t="s">
        <v>17</v>
      </c>
      <c r="E3" s="107" t="s">
        <v>90</v>
      </c>
      <c r="F3" s="108" t="s">
        <v>18</v>
      </c>
      <c r="G3" s="7"/>
    </row>
    <row r="4" spans="2:7" x14ac:dyDescent="0.2">
      <c r="B4" s="119" t="s">
        <v>25</v>
      </c>
      <c r="C4" s="110"/>
      <c r="D4" s="111"/>
      <c r="E4" s="111"/>
      <c r="F4" s="112">
        <f>SUM(F5:F10)</f>
        <v>1470</v>
      </c>
    </row>
    <row r="5" spans="2:7" x14ac:dyDescent="0.2">
      <c r="B5" s="120" t="s">
        <v>106</v>
      </c>
      <c r="C5" s="113">
        <v>930</v>
      </c>
      <c r="D5" s="114">
        <v>1</v>
      </c>
      <c r="E5" s="121" t="s">
        <v>94</v>
      </c>
      <c r="F5" s="115">
        <f t="shared" ref="F5:F10" si="0">C5*D5</f>
        <v>930</v>
      </c>
    </row>
    <row r="6" spans="2:7" x14ac:dyDescent="0.2">
      <c r="B6" s="120" t="s">
        <v>121</v>
      </c>
      <c r="C6" s="113">
        <v>180</v>
      </c>
      <c r="D6" s="114">
        <v>2</v>
      </c>
      <c r="E6" s="121" t="s">
        <v>94</v>
      </c>
      <c r="F6" s="115">
        <f t="shared" si="0"/>
        <v>360</v>
      </c>
    </row>
    <row r="7" spans="2:7" x14ac:dyDescent="0.2">
      <c r="B7" s="120" t="s">
        <v>81</v>
      </c>
      <c r="C7" s="113">
        <v>110</v>
      </c>
      <c r="D7" s="114">
        <v>1</v>
      </c>
      <c r="E7" s="121" t="s">
        <v>91</v>
      </c>
      <c r="F7" s="115">
        <f t="shared" si="0"/>
        <v>110</v>
      </c>
    </row>
    <row r="8" spans="2:7" x14ac:dyDescent="0.2">
      <c r="B8" s="120" t="s">
        <v>32</v>
      </c>
      <c r="C8" s="113">
        <v>50</v>
      </c>
      <c r="D8" s="114">
        <v>1</v>
      </c>
      <c r="E8" s="121" t="s">
        <v>91</v>
      </c>
      <c r="F8" s="115">
        <f t="shared" si="0"/>
        <v>50</v>
      </c>
    </row>
    <row r="9" spans="2:7" x14ac:dyDescent="0.2">
      <c r="B9" s="120" t="s">
        <v>31</v>
      </c>
      <c r="C9" s="113">
        <v>10</v>
      </c>
      <c r="D9" s="114">
        <v>1</v>
      </c>
      <c r="E9" s="121" t="s">
        <v>91</v>
      </c>
      <c r="F9" s="115">
        <f t="shared" si="0"/>
        <v>10</v>
      </c>
    </row>
    <row r="10" spans="2:7" x14ac:dyDescent="0.2">
      <c r="B10" s="120" t="s">
        <v>54</v>
      </c>
      <c r="C10" s="113">
        <v>10</v>
      </c>
      <c r="D10" s="114">
        <v>1</v>
      </c>
      <c r="E10" s="121" t="s">
        <v>91</v>
      </c>
      <c r="F10" s="115">
        <f t="shared" si="0"/>
        <v>10</v>
      </c>
    </row>
    <row r="11" spans="2:7" x14ac:dyDescent="0.2">
      <c r="B11" s="119" t="s">
        <v>65</v>
      </c>
      <c r="C11" s="110"/>
      <c r="D11" s="111"/>
      <c r="E11" s="111"/>
      <c r="F11" s="112">
        <f>SUM(F12:F14)</f>
        <v>995</v>
      </c>
    </row>
    <row r="12" spans="2:7" x14ac:dyDescent="0.2">
      <c r="B12" s="120" t="s">
        <v>107</v>
      </c>
      <c r="C12" s="113">
        <v>930</v>
      </c>
      <c r="D12" s="114">
        <v>1</v>
      </c>
      <c r="E12" s="114" t="s">
        <v>94</v>
      </c>
      <c r="F12" s="115">
        <f>C12*D12</f>
        <v>930</v>
      </c>
    </row>
    <row r="13" spans="2:7" x14ac:dyDescent="0.2">
      <c r="B13" s="120" t="s">
        <v>82</v>
      </c>
      <c r="C13" s="113">
        <v>15</v>
      </c>
      <c r="D13" s="114">
        <v>1</v>
      </c>
      <c r="E13" s="114" t="s">
        <v>95</v>
      </c>
      <c r="F13" s="115">
        <f>C13*D13</f>
        <v>15</v>
      </c>
    </row>
    <row r="14" spans="2:7" ht="13.5" thickBot="1" x14ac:dyDescent="0.25">
      <c r="B14" s="122" t="s">
        <v>83</v>
      </c>
      <c r="C14" s="116">
        <v>1</v>
      </c>
      <c r="D14" s="117">
        <v>50</v>
      </c>
      <c r="E14" s="117" t="s">
        <v>26</v>
      </c>
      <c r="F14" s="118">
        <f>C14*D14</f>
        <v>50</v>
      </c>
    </row>
    <row r="15" spans="2:7" ht="26.25" thickBot="1" x14ac:dyDescent="0.25">
      <c r="B15" s="123" t="s">
        <v>84</v>
      </c>
      <c r="C15" s="124"/>
      <c r="D15" s="124"/>
      <c r="E15" s="124"/>
      <c r="F15" s="125">
        <f>+F4+F11</f>
        <v>2465</v>
      </c>
    </row>
    <row r="16" spans="2:7" x14ac:dyDescent="0.2">
      <c r="B16" s="27"/>
    </row>
    <row r="17" spans="2:2" x14ac:dyDescent="0.2">
      <c r="B17" s="27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L30" sqref="L30"/>
    </sheetView>
  </sheetViews>
  <sheetFormatPr baseColWidth="10" defaultColWidth="11.5703125" defaultRowHeight="12.75" x14ac:dyDescent="0.2"/>
  <cols>
    <col min="1" max="1" width="11.5703125" customWidth="1"/>
    <col min="2" max="2" width="28.140625" customWidth="1"/>
    <col min="3" max="3" width="10.7109375" customWidth="1"/>
  </cols>
  <sheetData>
    <row r="2" spans="2:4" x14ac:dyDescent="0.2">
      <c r="B2" s="186" t="s">
        <v>89</v>
      </c>
      <c r="C2" s="186"/>
    </row>
    <row r="3" spans="2:4" ht="13.5" thickBot="1" x14ac:dyDescent="0.25">
      <c r="B3" s="29"/>
      <c r="C3" s="67"/>
      <c r="D3" s="29"/>
    </row>
    <row r="4" spans="2:4" x14ac:dyDescent="0.2">
      <c r="B4" s="140" t="s">
        <v>96</v>
      </c>
      <c r="C4" s="141" t="s">
        <v>87</v>
      </c>
    </row>
    <row r="5" spans="2:4" x14ac:dyDescent="0.2">
      <c r="B5" s="52" t="s">
        <v>63</v>
      </c>
      <c r="C5" s="54">
        <f>Gastos_Operativos!F4</f>
        <v>1470</v>
      </c>
    </row>
    <row r="6" spans="2:4" x14ac:dyDescent="0.2">
      <c r="B6" s="52" t="s">
        <v>97</v>
      </c>
      <c r="C6" s="54">
        <f>Depreciación_VR!F9/12</f>
        <v>101.20833333333333</v>
      </c>
    </row>
    <row r="7" spans="2:4" x14ac:dyDescent="0.2">
      <c r="B7" s="52" t="s">
        <v>64</v>
      </c>
      <c r="C7" s="180">
        <f>(Inversión_Inicial!F34/5)/12</f>
        <v>24.25</v>
      </c>
    </row>
    <row r="8" spans="2:4" x14ac:dyDescent="0.2">
      <c r="B8" s="52" t="s">
        <v>65</v>
      </c>
      <c r="C8" s="54">
        <f>Gastos_Operativos!F11</f>
        <v>995</v>
      </c>
    </row>
    <row r="9" spans="2:4" x14ac:dyDescent="0.2">
      <c r="B9" s="142" t="s">
        <v>86</v>
      </c>
      <c r="C9" s="143">
        <f>SUM(C5:C8)</f>
        <v>2590.458333333333</v>
      </c>
    </row>
    <row r="10" spans="2:4" x14ac:dyDescent="0.2">
      <c r="B10" s="144" t="s">
        <v>62</v>
      </c>
      <c r="C10" s="145" t="s">
        <v>87</v>
      </c>
    </row>
    <row r="11" spans="2:4" x14ac:dyDescent="0.2">
      <c r="B11" s="52" t="s">
        <v>66</v>
      </c>
      <c r="C11" s="54">
        <f>Costos_Producción!F6</f>
        <v>207</v>
      </c>
    </row>
    <row r="12" spans="2:4" x14ac:dyDescent="0.2">
      <c r="B12" s="52" t="s">
        <v>24</v>
      </c>
      <c r="C12" s="54">
        <f>Costos_Producción!F11</f>
        <v>500</v>
      </c>
    </row>
    <row r="13" spans="2:4" x14ac:dyDescent="0.2">
      <c r="B13" s="52" t="s">
        <v>134</v>
      </c>
      <c r="C13" s="54">
        <f>Costos_Producción!F13</f>
        <v>100</v>
      </c>
    </row>
    <row r="14" spans="2:4" ht="13.5" thickBot="1" x14ac:dyDescent="0.25">
      <c r="B14" s="146" t="s">
        <v>67</v>
      </c>
      <c r="C14" s="147">
        <f>C11+C12+C13</f>
        <v>807</v>
      </c>
    </row>
    <row r="15" spans="2:4" ht="13.5" thickBot="1" x14ac:dyDescent="0.25">
      <c r="B15" s="11"/>
      <c r="C15" s="31"/>
    </row>
    <row r="16" spans="2:4" x14ac:dyDescent="0.2">
      <c r="B16" s="68" t="s">
        <v>88</v>
      </c>
      <c r="C16" s="69">
        <v>100</v>
      </c>
      <c r="D16" s="29"/>
    </row>
    <row r="17" spans="2:6" x14ac:dyDescent="0.2">
      <c r="B17" s="52" t="s">
        <v>98</v>
      </c>
      <c r="C17" s="54">
        <f>C9/1000</f>
        <v>2.5904583333333329</v>
      </c>
      <c r="D17" s="29"/>
      <c r="E17" s="29"/>
      <c r="F17" s="29"/>
    </row>
    <row r="18" spans="2:6" x14ac:dyDescent="0.2">
      <c r="B18" s="52" t="s">
        <v>68</v>
      </c>
      <c r="C18" s="135">
        <f>C14/100</f>
        <v>8.07</v>
      </c>
    </row>
    <row r="19" spans="2:6" ht="13.5" thickBot="1" x14ac:dyDescent="0.25">
      <c r="B19" s="62" t="s">
        <v>69</v>
      </c>
      <c r="C19" s="136">
        <f>+C18+C17</f>
        <v>10.660458333333333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Ventas_Unidades</vt:lpstr>
      <vt:lpstr>Presupuesto_Ventas</vt:lpstr>
      <vt:lpstr>Inversión_Inicial</vt:lpstr>
      <vt:lpstr>Depreciación_VR</vt:lpstr>
      <vt:lpstr>Costos_Producción</vt:lpstr>
      <vt:lpstr>KW_Año 1</vt:lpstr>
      <vt:lpstr>Sueldos</vt:lpstr>
      <vt:lpstr>Gastos_Operativos</vt:lpstr>
      <vt:lpstr>Costos_Unitarios</vt:lpstr>
    </vt:vector>
  </TitlesOfParts>
  <Company>gestion aplicada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maSVER</dc:creator>
  <cp:lastModifiedBy>EDISON ACHALMA</cp:lastModifiedBy>
  <cp:lastPrinted>2008-10-28T16:11:43Z</cp:lastPrinted>
  <dcterms:created xsi:type="dcterms:W3CDTF">2008-10-28T16:04:50Z</dcterms:created>
  <dcterms:modified xsi:type="dcterms:W3CDTF">2021-08-04T00:09:01Z</dcterms:modified>
</cp:coreProperties>
</file>