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1ecd61295a042a9/Documentos/Classroom/Evaluación Privada de Proyectos/Collaboration Space/Shared Resources/10. TALLERES FLUJOS DE CAJA/"/>
    </mc:Choice>
  </mc:AlternateContent>
  <xr:revisionPtr revIDLastSave="0" documentId="8_{67C56630-CB35-4E61-AB23-0582FB672643}" xr6:coauthVersionLast="47" xr6:coauthVersionMax="47" xr10:uidLastSave="{00000000-0000-0000-0000-000000000000}"/>
  <bookViews>
    <workbookView xWindow="-120" yWindow="-16320" windowWidth="29040" windowHeight="15720" activeTab="2"/>
  </bookViews>
  <sheets>
    <sheet name="a) Flujos" sheetId="3" r:id="rId1"/>
    <sheet name="b) Leasing" sheetId="4" r:id="rId2"/>
    <sheet name="c) Capacidad de pago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5" i="3" l="1"/>
  <c r="E11" i="3"/>
  <c r="F11" i="3"/>
  <c r="D11" i="3"/>
  <c r="E9" i="3"/>
  <c r="F9" i="3" s="1"/>
  <c r="G9" i="3" s="1"/>
  <c r="H9" i="3" s="1"/>
  <c r="M77" i="5"/>
  <c r="L77" i="5"/>
  <c r="K77" i="5"/>
  <c r="J77" i="5"/>
  <c r="I77" i="5"/>
  <c r="H77" i="5"/>
  <c r="G77" i="5"/>
  <c r="F77" i="5"/>
  <c r="E77" i="5"/>
  <c r="D77" i="5"/>
  <c r="C76" i="5"/>
  <c r="I70" i="5"/>
  <c r="I68" i="5"/>
  <c r="D66" i="5"/>
  <c r="E66" i="5"/>
  <c r="F66" i="5"/>
  <c r="G66" i="5"/>
  <c r="H66" i="5"/>
  <c r="I66" i="5" s="1"/>
  <c r="J66" i="5" s="1"/>
  <c r="K66" i="5" s="1"/>
  <c r="L66" i="5" s="1"/>
  <c r="M66" i="5" s="1"/>
  <c r="E55" i="5"/>
  <c r="F55" i="5" s="1"/>
  <c r="G55" i="5" s="1"/>
  <c r="H55" i="5" s="1"/>
  <c r="I55" i="5" s="1"/>
  <c r="J55" i="5" s="1"/>
  <c r="K55" i="5" s="1"/>
  <c r="D35" i="5"/>
  <c r="D78" i="5" s="1"/>
  <c r="E33" i="5"/>
  <c r="F33" i="5"/>
  <c r="G33" i="5"/>
  <c r="H33" i="5" s="1"/>
  <c r="I33" i="5" s="1"/>
  <c r="J33" i="5"/>
  <c r="K33" i="5" s="1"/>
  <c r="L33" i="5" s="1"/>
  <c r="M33" i="5" s="1"/>
  <c r="F27" i="5"/>
  <c r="G27" i="5"/>
  <c r="H27" i="5" s="1"/>
  <c r="G26" i="5"/>
  <c r="C26" i="5"/>
  <c r="E26" i="5"/>
  <c r="I38" i="5"/>
  <c r="E25" i="5"/>
  <c r="C25" i="5"/>
  <c r="C18" i="5"/>
  <c r="D11" i="5"/>
  <c r="D76" i="5"/>
  <c r="E9" i="5"/>
  <c r="E35" i="5"/>
  <c r="E78" i="5" s="1"/>
  <c r="E8" i="5"/>
  <c r="F8" i="5"/>
  <c r="G8" i="5" s="1"/>
  <c r="H8" i="5" s="1"/>
  <c r="I8" i="5" s="1"/>
  <c r="J8" i="5" s="1"/>
  <c r="K8" i="5" s="1"/>
  <c r="L8" i="5" s="1"/>
  <c r="M8" i="5" s="1"/>
  <c r="I66" i="4"/>
  <c r="I64" i="4"/>
  <c r="C49" i="4"/>
  <c r="C55" i="4"/>
  <c r="C17" i="4"/>
  <c r="C18" i="4" s="1"/>
  <c r="C26" i="4"/>
  <c r="M73" i="4"/>
  <c r="L73" i="4"/>
  <c r="K73" i="4"/>
  <c r="J73" i="4"/>
  <c r="I73" i="4"/>
  <c r="H73" i="4"/>
  <c r="G73" i="4"/>
  <c r="F73" i="4"/>
  <c r="E73" i="4"/>
  <c r="D73" i="4"/>
  <c r="C72" i="4"/>
  <c r="M68" i="4"/>
  <c r="D62" i="4"/>
  <c r="E62" i="4"/>
  <c r="F62" i="4"/>
  <c r="G62" i="4"/>
  <c r="H62" i="4" s="1"/>
  <c r="I62" i="4" s="1"/>
  <c r="J62" i="4" s="1"/>
  <c r="K62" i="4" s="1"/>
  <c r="L62" i="4" s="1"/>
  <c r="M62" i="4" s="1"/>
  <c r="E54" i="4"/>
  <c r="F54" i="4"/>
  <c r="G54" i="4"/>
  <c r="H54" i="4"/>
  <c r="I54" i="4"/>
  <c r="D35" i="4"/>
  <c r="C65" i="4"/>
  <c r="C19" i="4"/>
  <c r="E33" i="4"/>
  <c r="F33" i="4"/>
  <c r="G33" i="4"/>
  <c r="H33" i="4"/>
  <c r="I33" i="4"/>
  <c r="J33" i="4" s="1"/>
  <c r="K33" i="4" s="1"/>
  <c r="L33" i="4" s="1"/>
  <c r="M33" i="4" s="1"/>
  <c r="F27" i="4"/>
  <c r="G27" i="4" s="1"/>
  <c r="H27" i="4" s="1"/>
  <c r="H28" i="4" s="1"/>
  <c r="M69" i="4" s="1"/>
  <c r="G26" i="4"/>
  <c r="C25" i="4"/>
  <c r="E25" i="4"/>
  <c r="F25" i="4"/>
  <c r="F28" i="4" s="1"/>
  <c r="G25" i="4"/>
  <c r="D11" i="4"/>
  <c r="D72" i="4"/>
  <c r="E9" i="4"/>
  <c r="E8" i="4"/>
  <c r="F8" i="4"/>
  <c r="G8" i="4"/>
  <c r="H8" i="4"/>
  <c r="I8" i="4" s="1"/>
  <c r="J8" i="4" s="1"/>
  <c r="K8" i="4" s="1"/>
  <c r="L8" i="4" s="1"/>
  <c r="M8" i="4" s="1"/>
  <c r="I68" i="3"/>
  <c r="I70" i="3"/>
  <c r="M72" i="3"/>
  <c r="E77" i="3"/>
  <c r="F77" i="3"/>
  <c r="G77" i="3"/>
  <c r="H77" i="3"/>
  <c r="I77" i="3"/>
  <c r="J77" i="3"/>
  <c r="K77" i="3"/>
  <c r="L77" i="3"/>
  <c r="M77" i="3"/>
  <c r="D77" i="3"/>
  <c r="D66" i="3"/>
  <c r="E66" i="3"/>
  <c r="F66" i="3" s="1"/>
  <c r="G66" i="3" s="1"/>
  <c r="H66" i="3"/>
  <c r="I66" i="3"/>
  <c r="J66" i="3" s="1"/>
  <c r="K66" i="3" s="1"/>
  <c r="L66" i="3" s="1"/>
  <c r="M66" i="3" s="1"/>
  <c r="E55" i="3"/>
  <c r="F55" i="3"/>
  <c r="G55" i="3"/>
  <c r="H55" i="3"/>
  <c r="I55" i="3"/>
  <c r="J55" i="3" s="1"/>
  <c r="K55" i="3" s="1"/>
  <c r="E33" i="3"/>
  <c r="F33" i="3"/>
  <c r="G33" i="3"/>
  <c r="H33" i="3"/>
  <c r="I33" i="3"/>
  <c r="J33" i="3"/>
  <c r="K33" i="3" s="1"/>
  <c r="L33" i="3" s="1"/>
  <c r="M33" i="3" s="1"/>
  <c r="E8" i="3"/>
  <c r="F8" i="3" s="1"/>
  <c r="G8" i="3" s="1"/>
  <c r="H8" i="3" s="1"/>
  <c r="I8" i="3"/>
  <c r="J8" i="3" s="1"/>
  <c r="K8" i="3" s="1"/>
  <c r="L8" i="3" s="1"/>
  <c r="M8" i="3" s="1"/>
  <c r="C76" i="3"/>
  <c r="C18" i="3"/>
  <c r="C68" i="3" s="1"/>
  <c r="F27" i="3"/>
  <c r="G27" i="3"/>
  <c r="H27" i="3"/>
  <c r="C26" i="3"/>
  <c r="E26" i="3" s="1"/>
  <c r="I38" i="3" s="1"/>
  <c r="C25" i="3"/>
  <c r="C49" i="3"/>
  <c r="C52" i="3" s="1"/>
  <c r="D59" i="3" s="1"/>
  <c r="C56" i="3"/>
  <c r="C60" i="3" s="1"/>
  <c r="D56" i="3" s="1"/>
  <c r="D57" i="3" s="1"/>
  <c r="G26" i="3"/>
  <c r="D34" i="5"/>
  <c r="C69" i="5"/>
  <c r="C74" i="5" s="1"/>
  <c r="C81" i="5" s="1"/>
  <c r="C19" i="5"/>
  <c r="C20" i="5" s="1"/>
  <c r="C21" i="5" s="1"/>
  <c r="C49" i="5"/>
  <c r="C56" i="5" s="1"/>
  <c r="C68" i="5"/>
  <c r="E26" i="4"/>
  <c r="E28" i="4" s="1"/>
  <c r="I38" i="4"/>
  <c r="D74" i="4"/>
  <c r="C20" i="4"/>
  <c r="F9" i="4"/>
  <c r="F35" i="4" s="1"/>
  <c r="F74" i="4" s="1"/>
  <c r="D34" i="4"/>
  <c r="D69" i="5"/>
  <c r="D74" i="5"/>
  <c r="F11" i="4"/>
  <c r="F72" i="4" s="1"/>
  <c r="F34" i="4"/>
  <c r="H56" i="4"/>
  <c r="H79" i="4" s="1"/>
  <c r="F56" i="4"/>
  <c r="F79" i="4"/>
  <c r="F80" i="4" s="1"/>
  <c r="D56" i="4"/>
  <c r="D79" i="4"/>
  <c r="I56" i="4"/>
  <c r="I79" i="4" s="1"/>
  <c r="E56" i="4"/>
  <c r="E79" i="4" s="1"/>
  <c r="E81" i="4" s="1"/>
  <c r="G56" i="4"/>
  <c r="G79" i="4" s="1"/>
  <c r="C81" i="4"/>
  <c r="E80" i="4"/>
  <c r="F81" i="4"/>
  <c r="M74" i="5"/>
  <c r="H80" i="4"/>
  <c r="H81" i="4"/>
  <c r="L37" i="4"/>
  <c r="H25" i="4"/>
  <c r="E35" i="3"/>
  <c r="E25" i="3"/>
  <c r="F25" i="3"/>
  <c r="E78" i="3"/>
  <c r="E59" i="3"/>
  <c r="H59" i="3"/>
  <c r="C83" i="3"/>
  <c r="C87" i="3" s="1"/>
  <c r="F35" i="3"/>
  <c r="I37" i="4"/>
  <c r="D37" i="4"/>
  <c r="F76" i="3"/>
  <c r="F34" i="3"/>
  <c r="D85" i="3"/>
  <c r="D86" i="3"/>
  <c r="F59" i="3"/>
  <c r="I59" i="3"/>
  <c r="G59" i="3"/>
  <c r="G35" i="3" l="1"/>
  <c r="H37" i="4"/>
  <c r="F37" i="4"/>
  <c r="F39" i="4" s="1"/>
  <c r="E37" i="4"/>
  <c r="F25" i="5"/>
  <c r="E28" i="5"/>
  <c r="D78" i="3"/>
  <c r="C19" i="3"/>
  <c r="C20" i="3" s="1"/>
  <c r="D39" i="4"/>
  <c r="C21" i="4"/>
  <c r="C64" i="4"/>
  <c r="C70" i="4" s="1"/>
  <c r="C77" i="4" s="1"/>
  <c r="C82" i="4" s="1"/>
  <c r="E28" i="3"/>
  <c r="E11" i="5"/>
  <c r="F9" i="5"/>
  <c r="G11" i="3"/>
  <c r="F78" i="3"/>
  <c r="I9" i="3"/>
  <c r="H35" i="3"/>
  <c r="H11" i="3"/>
  <c r="D76" i="3"/>
  <c r="D34" i="3"/>
  <c r="M37" i="4"/>
  <c r="K37" i="4"/>
  <c r="J37" i="4"/>
  <c r="G25" i="3"/>
  <c r="G28" i="3" s="1"/>
  <c r="F28" i="3"/>
  <c r="I80" i="4"/>
  <c r="I81" i="4" s="1"/>
  <c r="D58" i="3"/>
  <c r="C69" i="3"/>
  <c r="G28" i="4"/>
  <c r="G37" i="4"/>
  <c r="G80" i="4"/>
  <c r="G81" i="4" s="1"/>
  <c r="D80" i="4"/>
  <c r="D81" i="4" s="1"/>
  <c r="E34" i="3"/>
  <c r="E76" i="3"/>
  <c r="G9" i="4"/>
  <c r="E35" i="4"/>
  <c r="E11" i="4"/>
  <c r="C83" i="5"/>
  <c r="C87" i="5" s="1"/>
  <c r="C88" i="5" s="1"/>
  <c r="C60" i="5"/>
  <c r="D56" i="5" s="1"/>
  <c r="J59" i="3"/>
  <c r="C52" i="5"/>
  <c r="H25" i="3"/>
  <c r="H28" i="3" s="1"/>
  <c r="M73" i="3" s="1"/>
  <c r="K59" i="3"/>
  <c r="C21" i="3"/>
  <c r="F40" i="4" l="1"/>
  <c r="F75" i="4" s="1"/>
  <c r="D57" i="5"/>
  <c r="D85" i="5" s="1"/>
  <c r="D86" i="5" s="1"/>
  <c r="H78" i="3"/>
  <c r="J37" i="3"/>
  <c r="M37" i="3"/>
  <c r="G37" i="3"/>
  <c r="K37" i="3"/>
  <c r="H37" i="3"/>
  <c r="I37" i="3"/>
  <c r="E37" i="3"/>
  <c r="E39" i="3" s="1"/>
  <c r="D37" i="3"/>
  <c r="D39" i="3" s="1"/>
  <c r="F37" i="3"/>
  <c r="F39" i="3" s="1"/>
  <c r="L37" i="3"/>
  <c r="G25" i="5"/>
  <c r="F28" i="5"/>
  <c r="I11" i="3"/>
  <c r="J9" i="3"/>
  <c r="I35" i="3"/>
  <c r="D69" i="3"/>
  <c r="D84" i="3"/>
  <c r="D87" i="3" s="1"/>
  <c r="D60" i="3"/>
  <c r="E56" i="3" s="1"/>
  <c r="E34" i="4"/>
  <c r="E39" i="4" s="1"/>
  <c r="E72" i="4"/>
  <c r="D40" i="4"/>
  <c r="D75" i="4" s="1"/>
  <c r="E74" i="4"/>
  <c r="D65" i="4"/>
  <c r="C74" i="3"/>
  <c r="C81" i="3" s="1"/>
  <c r="G78" i="3"/>
  <c r="G35" i="4"/>
  <c r="H9" i="4"/>
  <c r="G11" i="4"/>
  <c r="G34" i="3"/>
  <c r="G39" i="3" s="1"/>
  <c r="G76" i="3"/>
  <c r="F59" i="5"/>
  <c r="G59" i="5"/>
  <c r="H59" i="5"/>
  <c r="I59" i="5"/>
  <c r="K59" i="5"/>
  <c r="D59" i="5"/>
  <c r="J59" i="5"/>
  <c r="E59" i="5"/>
  <c r="F35" i="5"/>
  <c r="F11" i="5"/>
  <c r="G9" i="5"/>
  <c r="H34" i="3"/>
  <c r="H76" i="3"/>
  <c r="E76" i="5"/>
  <c r="E34" i="5"/>
  <c r="E39" i="5" s="1"/>
  <c r="H37" i="5"/>
  <c r="K37" i="5"/>
  <c r="J37" i="5"/>
  <c r="M37" i="5"/>
  <c r="E37" i="5"/>
  <c r="G37" i="5"/>
  <c r="F37" i="5"/>
  <c r="D37" i="5"/>
  <c r="D39" i="5" s="1"/>
  <c r="L37" i="5"/>
  <c r="I37" i="5"/>
  <c r="D40" i="3" l="1"/>
  <c r="D79" i="3" s="1"/>
  <c r="D80" i="3" s="1"/>
  <c r="E40" i="3"/>
  <c r="E79" i="3" s="1"/>
  <c r="E80" i="3" s="1"/>
  <c r="E41" i="3"/>
  <c r="D74" i="3"/>
  <c r="D81" i="3" s="1"/>
  <c r="E69" i="3"/>
  <c r="H9" i="5"/>
  <c r="G11" i="5"/>
  <c r="G35" i="5"/>
  <c r="F76" i="5"/>
  <c r="F34" i="5"/>
  <c r="F39" i="5" s="1"/>
  <c r="I78" i="3"/>
  <c r="D85" i="4"/>
  <c r="D76" i="4"/>
  <c r="D40" i="5"/>
  <c r="D79" i="5" s="1"/>
  <c r="D80" i="5" s="1"/>
  <c r="D81" i="5" s="1"/>
  <c r="D41" i="5"/>
  <c r="E69" i="5"/>
  <c r="E74" i="5" s="1"/>
  <c r="F78" i="5"/>
  <c r="I34" i="3"/>
  <c r="I39" i="3" s="1"/>
  <c r="I76" i="3"/>
  <c r="G40" i="3"/>
  <c r="G79" i="3" s="1"/>
  <c r="G80" i="3" s="1"/>
  <c r="G41" i="3"/>
  <c r="H25" i="5"/>
  <c r="H28" i="5" s="1"/>
  <c r="G28" i="5"/>
  <c r="H39" i="3"/>
  <c r="D58" i="5"/>
  <c r="C92" i="3"/>
  <c r="C88" i="3"/>
  <c r="E57" i="3"/>
  <c r="F41" i="4"/>
  <c r="H35" i="4"/>
  <c r="H11" i="4"/>
  <c r="I9" i="4"/>
  <c r="G74" i="4"/>
  <c r="J11" i="3"/>
  <c r="J35" i="3"/>
  <c r="K9" i="3"/>
  <c r="E40" i="5"/>
  <c r="E79" i="5" s="1"/>
  <c r="E80" i="5" s="1"/>
  <c r="E41" i="5"/>
  <c r="D41" i="4"/>
  <c r="E40" i="4"/>
  <c r="E75" i="4" s="1"/>
  <c r="E85" i="4" s="1"/>
  <c r="G72" i="4"/>
  <c r="G34" i="4"/>
  <c r="G39" i="4" s="1"/>
  <c r="D70" i="4"/>
  <c r="D77" i="4" s="1"/>
  <c r="D82" i="4" s="1"/>
  <c r="E65" i="4"/>
  <c r="E70" i="4" s="1"/>
  <c r="F41" i="3"/>
  <c r="F40" i="3"/>
  <c r="F79" i="3" s="1"/>
  <c r="F80" i="3" s="1"/>
  <c r="F85" i="4"/>
  <c r="F76" i="4"/>
  <c r="J78" i="3" l="1"/>
  <c r="I40" i="3"/>
  <c r="I79" i="3" s="1"/>
  <c r="I41" i="3"/>
  <c r="E85" i="3"/>
  <c r="E86" i="3" s="1"/>
  <c r="E58" i="3"/>
  <c r="E81" i="5"/>
  <c r="D88" i="3"/>
  <c r="D92" i="3"/>
  <c r="G40" i="4"/>
  <c r="G75" i="4" s="1"/>
  <c r="G85" i="4" s="1"/>
  <c r="F65" i="4"/>
  <c r="F70" i="4" s="1"/>
  <c r="F77" i="4" s="1"/>
  <c r="F82" i="4" s="1"/>
  <c r="E76" i="4"/>
  <c r="E77" i="4" s="1"/>
  <c r="E82" i="4" s="1"/>
  <c r="H34" i="4"/>
  <c r="H39" i="4" s="1"/>
  <c r="H72" i="4"/>
  <c r="G76" i="5"/>
  <c r="G34" i="5"/>
  <c r="G39" i="5" s="1"/>
  <c r="J76" i="3"/>
  <c r="J34" i="3"/>
  <c r="J39" i="3" s="1"/>
  <c r="I9" i="5"/>
  <c r="H35" i="5"/>
  <c r="H11" i="5"/>
  <c r="E74" i="3"/>
  <c r="E81" i="3" s="1"/>
  <c r="F69" i="3"/>
  <c r="G76" i="4"/>
  <c r="I11" i="4"/>
  <c r="I35" i="4"/>
  <c r="J9" i="4"/>
  <c r="F40" i="5"/>
  <c r="F79" i="5" s="1"/>
  <c r="D84" i="5"/>
  <c r="D87" i="5" s="1"/>
  <c r="D88" i="5" s="1"/>
  <c r="D60" i="5"/>
  <c r="E56" i="5" s="1"/>
  <c r="F80" i="5"/>
  <c r="E41" i="4"/>
  <c r="K11" i="3"/>
  <c r="L9" i="3"/>
  <c r="K35" i="3"/>
  <c r="H74" i="4"/>
  <c r="H40" i="3"/>
  <c r="H79" i="3" s="1"/>
  <c r="H80" i="3" s="1"/>
  <c r="H41" i="3"/>
  <c r="I80" i="3"/>
  <c r="G78" i="5"/>
  <c r="F69" i="5"/>
  <c r="F74" i="5" s="1"/>
  <c r="D41" i="3"/>
  <c r="H76" i="5" l="1"/>
  <c r="H34" i="5"/>
  <c r="H39" i="5" s="1"/>
  <c r="J40" i="3"/>
  <c r="J79" i="3" s="1"/>
  <c r="J41" i="3"/>
  <c r="G65" i="4"/>
  <c r="G70" i="4" s="1"/>
  <c r="G77" i="4" s="1"/>
  <c r="G82" i="4" s="1"/>
  <c r="J80" i="3"/>
  <c r="F41" i="5"/>
  <c r="G40" i="5"/>
  <c r="G79" i="5" s="1"/>
  <c r="G80" i="5" s="1"/>
  <c r="F81" i="5"/>
  <c r="L35" i="3"/>
  <c r="L11" i="3"/>
  <c r="M9" i="3"/>
  <c r="J35" i="4"/>
  <c r="K9" i="4"/>
  <c r="J11" i="4"/>
  <c r="E92" i="3"/>
  <c r="I72" i="4"/>
  <c r="I34" i="4"/>
  <c r="I39" i="4" s="1"/>
  <c r="H40" i="4"/>
  <c r="H75" i="4" s="1"/>
  <c r="H85" i="4" s="1"/>
  <c r="G69" i="5"/>
  <c r="G74" i="5" s="1"/>
  <c r="H78" i="5"/>
  <c r="E84" i="3"/>
  <c r="E87" i="3" s="1"/>
  <c r="E88" i="3" s="1"/>
  <c r="E60" i="3"/>
  <c r="F56" i="3" s="1"/>
  <c r="E57" i="5"/>
  <c r="J9" i="5"/>
  <c r="I11" i="5"/>
  <c r="I35" i="5"/>
  <c r="K78" i="3"/>
  <c r="F74" i="3"/>
  <c r="F81" i="3" s="1"/>
  <c r="G69" i="3"/>
  <c r="G41" i="4"/>
  <c r="K76" i="3"/>
  <c r="K34" i="3"/>
  <c r="K39" i="3" s="1"/>
  <c r="I74" i="4"/>
  <c r="I76" i="5" l="1"/>
  <c r="I34" i="5"/>
  <c r="I39" i="5" s="1"/>
  <c r="K9" i="5"/>
  <c r="J11" i="5"/>
  <c r="J35" i="5"/>
  <c r="H41" i="4"/>
  <c r="H76" i="4"/>
  <c r="E85" i="5"/>
  <c r="E86" i="5" s="1"/>
  <c r="E58" i="5"/>
  <c r="I76" i="4"/>
  <c r="L34" i="3"/>
  <c r="L39" i="3" s="1"/>
  <c r="L76" i="3"/>
  <c r="L78" i="3"/>
  <c r="H65" i="4"/>
  <c r="H70" i="4" s="1"/>
  <c r="H40" i="5"/>
  <c r="H79" i="5" s="1"/>
  <c r="H41" i="5"/>
  <c r="K80" i="3"/>
  <c r="J72" i="4"/>
  <c r="J34" i="4"/>
  <c r="J39" i="4" s="1"/>
  <c r="K11" i="4"/>
  <c r="L9" i="4"/>
  <c r="K35" i="4"/>
  <c r="J74" i="4"/>
  <c r="I65" i="4"/>
  <c r="I70" i="4" s="1"/>
  <c r="I77" i="4" s="1"/>
  <c r="I82" i="4" s="1"/>
  <c r="G74" i="3"/>
  <c r="G81" i="3" s="1"/>
  <c r="H69" i="3"/>
  <c r="I40" i="4"/>
  <c r="I75" i="4" s="1"/>
  <c r="I85" i="4" s="1"/>
  <c r="I41" i="4"/>
  <c r="M35" i="3"/>
  <c r="M11" i="3"/>
  <c r="F57" i="3"/>
  <c r="K40" i="3"/>
  <c r="K79" i="3" s="1"/>
  <c r="K41" i="3"/>
  <c r="H69" i="5"/>
  <c r="H74" i="5" s="1"/>
  <c r="I78" i="5"/>
  <c r="G81" i="5"/>
  <c r="G41" i="5"/>
  <c r="H80" i="5"/>
  <c r="J78" i="5" l="1"/>
  <c r="I69" i="5"/>
  <c r="I74" i="5" s="1"/>
  <c r="M76" i="3"/>
  <c r="M34" i="3"/>
  <c r="M39" i="3" s="1"/>
  <c r="K74" i="4"/>
  <c r="J65" i="4"/>
  <c r="J70" i="4" s="1"/>
  <c r="H81" i="5"/>
  <c r="M9" i="4"/>
  <c r="L11" i="4"/>
  <c r="L35" i="4"/>
  <c r="K72" i="4"/>
  <c r="K34" i="4"/>
  <c r="K39" i="4" s="1"/>
  <c r="E84" i="5"/>
  <c r="E87" i="5" s="1"/>
  <c r="E88" i="5" s="1"/>
  <c r="E60" i="5"/>
  <c r="F56" i="5" s="1"/>
  <c r="I80" i="5"/>
  <c r="F85" i="3"/>
  <c r="F86" i="3" s="1"/>
  <c r="F92" i="3" s="1"/>
  <c r="F58" i="3"/>
  <c r="H74" i="3"/>
  <c r="H81" i="3" s="1"/>
  <c r="I69" i="3"/>
  <c r="L80" i="3"/>
  <c r="L40" i="3"/>
  <c r="L79" i="3" s="1"/>
  <c r="J76" i="5"/>
  <c r="J34" i="5"/>
  <c r="J39" i="5" s="1"/>
  <c r="M78" i="3"/>
  <c r="K35" i="5"/>
  <c r="K11" i="5"/>
  <c r="L9" i="5"/>
  <c r="H77" i="4"/>
  <c r="H82" i="4" s="1"/>
  <c r="I40" i="5"/>
  <c r="I79" i="5" s="1"/>
  <c r="I41" i="5"/>
  <c r="J40" i="4"/>
  <c r="J75" i="4" s="1"/>
  <c r="J85" i="4" s="1"/>
  <c r="M35" i="4" l="1"/>
  <c r="M11" i="4"/>
  <c r="J41" i="4"/>
  <c r="F57" i="5"/>
  <c r="J40" i="5"/>
  <c r="J79" i="5" s="1"/>
  <c r="J80" i="5" s="1"/>
  <c r="K40" i="4"/>
  <c r="K75" i="4" s="1"/>
  <c r="K85" i="4" s="1"/>
  <c r="K41" i="4"/>
  <c r="K76" i="4"/>
  <c r="L35" i="5"/>
  <c r="M9" i="5"/>
  <c r="L11" i="5"/>
  <c r="L74" i="4"/>
  <c r="K65" i="4"/>
  <c r="K70" i="4" s="1"/>
  <c r="K77" i="4" s="1"/>
  <c r="K82" i="4" s="1"/>
  <c r="J69" i="5"/>
  <c r="J74" i="5" s="1"/>
  <c r="K78" i="5"/>
  <c r="J77" i="4"/>
  <c r="J82" i="4" s="1"/>
  <c r="J76" i="4"/>
  <c r="M40" i="3"/>
  <c r="M79" i="3" s="1"/>
  <c r="I74" i="3"/>
  <c r="I81" i="3" s="1"/>
  <c r="J69" i="3"/>
  <c r="M80" i="3"/>
  <c r="I81" i="5"/>
  <c r="K76" i="5"/>
  <c r="K34" i="5"/>
  <c r="K39" i="5" s="1"/>
  <c r="L41" i="3"/>
  <c r="F84" i="3"/>
  <c r="F87" i="3" s="1"/>
  <c r="F88" i="3" s="1"/>
  <c r="F60" i="3"/>
  <c r="G56" i="3" s="1"/>
  <c r="L34" i="4"/>
  <c r="L39" i="4" s="1"/>
  <c r="L72" i="4"/>
  <c r="L34" i="5" l="1"/>
  <c r="L39" i="5" s="1"/>
  <c r="L76" i="5"/>
  <c r="M35" i="5"/>
  <c r="M11" i="5"/>
  <c r="F85" i="5"/>
  <c r="F86" i="5" s="1"/>
  <c r="F58" i="5"/>
  <c r="J81" i="5"/>
  <c r="K69" i="5"/>
  <c r="K74" i="5" s="1"/>
  <c r="L78" i="5"/>
  <c r="L40" i="4"/>
  <c r="L75" i="4" s="1"/>
  <c r="L85" i="4" s="1"/>
  <c r="J74" i="3"/>
  <c r="J81" i="3" s="1"/>
  <c r="K69" i="3"/>
  <c r="G57" i="3"/>
  <c r="M72" i="4"/>
  <c r="M34" i="4"/>
  <c r="M39" i="4" s="1"/>
  <c r="M41" i="3"/>
  <c r="L65" i="4"/>
  <c r="M74" i="4"/>
  <c r="K40" i="5"/>
  <c r="K79" i="5" s="1"/>
  <c r="K80" i="5" s="1"/>
  <c r="K41" i="5"/>
  <c r="J41" i="5"/>
  <c r="K74" i="3" l="1"/>
  <c r="K81" i="3" s="1"/>
  <c r="L69" i="3"/>
  <c r="M34" i="5"/>
  <c r="M39" i="5" s="1"/>
  <c r="M76" i="5"/>
  <c r="L69" i="5"/>
  <c r="L74" i="5" s="1"/>
  <c r="M78" i="5"/>
  <c r="K81" i="5"/>
  <c r="L40" i="5"/>
  <c r="L79" i="5" s="1"/>
  <c r="L80" i="5" s="1"/>
  <c r="L41" i="5"/>
  <c r="M40" i="4"/>
  <c r="M75" i="4" s="1"/>
  <c r="M85" i="4" s="1"/>
  <c r="F84" i="5"/>
  <c r="F87" i="5" s="1"/>
  <c r="F88" i="5" s="1"/>
  <c r="F60" i="5"/>
  <c r="G56" i="5" s="1"/>
  <c r="L41" i="4"/>
  <c r="L70" i="4"/>
  <c r="M67" i="4"/>
  <c r="M70" i="4" s="1"/>
  <c r="G85" i="3"/>
  <c r="G86" i="3" s="1"/>
  <c r="G92" i="3" s="1"/>
  <c r="G58" i="3"/>
  <c r="L76" i="4"/>
  <c r="G57" i="5" l="1"/>
  <c r="G84" i="3"/>
  <c r="G87" i="3" s="1"/>
  <c r="G88" i="3" s="1"/>
  <c r="G60" i="3"/>
  <c r="H56" i="3" s="1"/>
  <c r="L81" i="5"/>
  <c r="L88" i="5" s="1"/>
  <c r="M80" i="5"/>
  <c r="M81" i="5" s="1"/>
  <c r="M88" i="5" s="1"/>
  <c r="M41" i="4"/>
  <c r="L77" i="4"/>
  <c r="L82" i="4" s="1"/>
  <c r="M40" i="5"/>
  <c r="M79" i="5" s="1"/>
  <c r="M41" i="5"/>
  <c r="L74" i="3"/>
  <c r="L81" i="3" s="1"/>
  <c r="M71" i="3"/>
  <c r="M74" i="3" s="1"/>
  <c r="M81" i="3" s="1"/>
  <c r="M76" i="4"/>
  <c r="M77" i="4" s="1"/>
  <c r="M82" i="4" s="1"/>
  <c r="G85" i="5" l="1"/>
  <c r="G86" i="5" s="1"/>
  <c r="G58" i="5"/>
  <c r="M92" i="3"/>
  <c r="M88" i="3"/>
  <c r="C95" i="3"/>
  <c r="L88" i="3"/>
  <c r="L92" i="3"/>
  <c r="H57" i="3"/>
  <c r="G84" i="5" l="1"/>
  <c r="G87" i="5" s="1"/>
  <c r="G88" i="5" s="1"/>
  <c r="G60" i="5"/>
  <c r="H56" i="5" s="1"/>
  <c r="H85" i="3"/>
  <c r="H86" i="3" s="1"/>
  <c r="H92" i="3" s="1"/>
  <c r="H58" i="3"/>
  <c r="H84" i="3" l="1"/>
  <c r="H87" i="3" s="1"/>
  <c r="H88" i="3" s="1"/>
  <c r="H60" i="3"/>
  <c r="I56" i="3" s="1"/>
  <c r="H57" i="5"/>
  <c r="H85" i="5" l="1"/>
  <c r="H86" i="5" s="1"/>
  <c r="H58" i="5"/>
  <c r="I57" i="3"/>
  <c r="H84" i="5" l="1"/>
  <c r="H87" i="5" s="1"/>
  <c r="H88" i="5" s="1"/>
  <c r="H60" i="5"/>
  <c r="I56" i="5" s="1"/>
  <c r="I85" i="3"/>
  <c r="I86" i="3" s="1"/>
  <c r="I92" i="3" s="1"/>
  <c r="I58" i="3"/>
  <c r="I84" i="3" l="1"/>
  <c r="I87" i="3" s="1"/>
  <c r="I88" i="3" s="1"/>
  <c r="I60" i="3"/>
  <c r="J56" i="3" s="1"/>
  <c r="I57" i="5"/>
  <c r="I85" i="5" l="1"/>
  <c r="I86" i="5" s="1"/>
  <c r="I58" i="5"/>
  <c r="J57" i="3"/>
  <c r="J85" i="3" l="1"/>
  <c r="J86" i="3" s="1"/>
  <c r="J92" i="3" s="1"/>
  <c r="J58" i="3"/>
  <c r="I84" i="5"/>
  <c r="I87" i="5" s="1"/>
  <c r="I88" i="5" s="1"/>
  <c r="I60" i="5"/>
  <c r="J56" i="5" s="1"/>
  <c r="J57" i="5" l="1"/>
  <c r="J84" i="3"/>
  <c r="J87" i="3" s="1"/>
  <c r="J88" i="3" s="1"/>
  <c r="J60" i="3"/>
  <c r="K56" i="3" s="1"/>
  <c r="K57" i="3" l="1"/>
  <c r="J85" i="5"/>
  <c r="J86" i="5" s="1"/>
  <c r="J58" i="5"/>
  <c r="J84" i="5" l="1"/>
  <c r="J87" i="5" s="1"/>
  <c r="J88" i="5" s="1"/>
  <c r="J60" i="5"/>
  <c r="K56" i="5" s="1"/>
  <c r="K85" i="3"/>
  <c r="K86" i="3" s="1"/>
  <c r="K92" i="3" s="1"/>
  <c r="C97" i="3" s="1"/>
  <c r="K58" i="3"/>
  <c r="K84" i="3" l="1"/>
  <c r="K87" i="3" s="1"/>
  <c r="K88" i="3" s="1"/>
  <c r="C100" i="3" s="1"/>
  <c r="K60" i="3"/>
  <c r="K57" i="5"/>
  <c r="K85" i="5" l="1"/>
  <c r="K86" i="5" s="1"/>
  <c r="K58" i="5"/>
  <c r="K84" i="5" l="1"/>
  <c r="K87" i="5" s="1"/>
  <c r="K88" i="5" s="1"/>
  <c r="K60" i="5"/>
</calcChain>
</file>

<file path=xl/sharedStrings.xml><?xml version="1.0" encoding="utf-8"?>
<sst xmlns="http://schemas.openxmlformats.org/spreadsheetml/2006/main" count="246" uniqueCount="96">
  <si>
    <t>Programa de Produccion</t>
  </si>
  <si>
    <t>FLUJOS DE CAJA ECONOMICO Y FINANCIERO</t>
  </si>
  <si>
    <t>RUBROS</t>
  </si>
  <si>
    <t>PERIODOS</t>
  </si>
  <si>
    <t>Inversiones y Liquidación</t>
  </si>
  <si>
    <t>Capital de Trabajo (-)</t>
  </si>
  <si>
    <t>Valor recupero Capital Trabajo (+)</t>
  </si>
  <si>
    <t>Valor recupero de Terreno (+)</t>
  </si>
  <si>
    <t>Flujo de Inversiones</t>
  </si>
  <si>
    <t>Costos y Gastos Operativos</t>
  </si>
  <si>
    <t>Ingresos en efectivo (+)</t>
  </si>
  <si>
    <t>Impuestos y Tributos (-)</t>
  </si>
  <si>
    <t>Flujo de Caja Operativo</t>
  </si>
  <si>
    <t>Flujo de Caja Económico (FCE)</t>
  </si>
  <si>
    <t>Financiamiento Neto</t>
  </si>
  <si>
    <t xml:space="preserve"> + Préstamos</t>
  </si>
  <si>
    <t xml:space="preserve"> - Intereses</t>
  </si>
  <si>
    <t xml:space="preserve"> + Escudo Fiscal o tributario</t>
  </si>
  <si>
    <t>Flujo Financiamiento Neto</t>
  </si>
  <si>
    <t>Flujo de Caja Financiero (FCF)</t>
  </si>
  <si>
    <t>(*) sin depreciaciones</t>
  </si>
  <si>
    <t>(**) sin amortizacion de intangibles</t>
  </si>
  <si>
    <t>Depreciaciones</t>
  </si>
  <si>
    <t>Edificaciones</t>
  </si>
  <si>
    <t>Activos</t>
  </si>
  <si>
    <t>Vc</t>
  </si>
  <si>
    <t>Vida util</t>
  </si>
  <si>
    <t>Dep Acum</t>
  </si>
  <si>
    <t>Adquisicon de terrenos</t>
  </si>
  <si>
    <t>Construccion de edificios</t>
  </si>
  <si>
    <t>Total inversion Fija</t>
  </si>
  <si>
    <t xml:space="preserve">Año 0 </t>
  </si>
  <si>
    <t>Valor Cont.</t>
  </si>
  <si>
    <t>TOTAL</t>
  </si>
  <si>
    <t>Ingreso por ventas</t>
  </si>
  <si>
    <t>RUBRO</t>
  </si>
  <si>
    <t>Presupuesto de Inversion</t>
  </si>
  <si>
    <t>Capital de trabajo</t>
  </si>
  <si>
    <t>Total Capital de Trabajo</t>
  </si>
  <si>
    <t xml:space="preserve">Total inversion </t>
  </si>
  <si>
    <t>ESTADO DE GANANCIAS Y PERDIDAS</t>
  </si>
  <si>
    <t>Ventas netas</t>
  </si>
  <si>
    <t>Utilidad Imponible</t>
  </si>
  <si>
    <t>Impuestos</t>
  </si>
  <si>
    <t>Utlidad Neta</t>
  </si>
  <si>
    <t>AMORTIZACION DE LA DEUDA</t>
  </si>
  <si>
    <t>PERIODO</t>
  </si>
  <si>
    <t>Monto del prestamo</t>
  </si>
  <si>
    <t>TEA</t>
  </si>
  <si>
    <t>n</t>
  </si>
  <si>
    <t>PAGO</t>
  </si>
  <si>
    <t>Deuda Inicial</t>
  </si>
  <si>
    <t>Interes</t>
  </si>
  <si>
    <t>Amortizacion de la deuda</t>
  </si>
  <si>
    <t>Capital</t>
  </si>
  <si>
    <t>Deuda Final</t>
  </si>
  <si>
    <t>Tabla de Depreciaciones nominal</t>
  </si>
  <si>
    <t>TALLER FLUJO DE CAJA 01</t>
  </si>
  <si>
    <t>CREACION DE UNA NUEVA EMPRESA</t>
  </si>
  <si>
    <t>A. FLUJO DE CAJA ECONOMICO</t>
  </si>
  <si>
    <t>Producción y venta en unidades</t>
  </si>
  <si>
    <t>Precio de venta por unidad</t>
  </si>
  <si>
    <t>Maquinaria</t>
  </si>
  <si>
    <t xml:space="preserve">Equipos </t>
  </si>
  <si>
    <t>Equipos año 6</t>
  </si>
  <si>
    <t>Dep/año 1-6</t>
  </si>
  <si>
    <t>Dep/año 7-10</t>
  </si>
  <si>
    <t>Costo variable</t>
  </si>
  <si>
    <t>Costo fijo</t>
  </si>
  <si>
    <t>Utilidad por venta de Maquinarias</t>
  </si>
  <si>
    <t>Costos Fijos</t>
  </si>
  <si>
    <t>Costos Variables</t>
  </si>
  <si>
    <t>Activo Fijo (-)</t>
  </si>
  <si>
    <t>Ingresos por venta de maquinaria (+)</t>
  </si>
  <si>
    <t>Valor  residual de Activo Fijo (+)</t>
  </si>
  <si>
    <t xml:space="preserve"> - Capital</t>
  </si>
  <si>
    <t>B. FLUJO DE CAJA FINANCIERO</t>
  </si>
  <si>
    <t>AMORTIZACION DE LEASING</t>
  </si>
  <si>
    <t>Monto del Leasing</t>
  </si>
  <si>
    <t>Cuota Anual</t>
  </si>
  <si>
    <t>Cuota de Leasing</t>
  </si>
  <si>
    <t>Monto de Leasing</t>
  </si>
  <si>
    <t xml:space="preserve"> - Cuota de Leasing</t>
  </si>
  <si>
    <t xml:space="preserve"> + Escudo Fiscal de cuota Leasing</t>
  </si>
  <si>
    <t>de pago, se debe excluir aquellos beneficios que no constituyern ingresos: El valor residual del activo fijo,  el recupero del terreno y del capital de trabajo, en este caso</t>
  </si>
  <si>
    <t>Cuota</t>
  </si>
  <si>
    <t>Amortizacion capital</t>
  </si>
  <si>
    <t>Flujo de Inversion y Liquid.</t>
  </si>
  <si>
    <t>Flujo Ajustado</t>
  </si>
  <si>
    <t>TIR SIN AJUSTAR</t>
  </si>
  <si>
    <t>TIR AJUSTADA</t>
  </si>
  <si>
    <t>ESTADO DE RESULTADOS</t>
  </si>
  <si>
    <t>Flujo de Caja de Deuda (FCD)</t>
  </si>
  <si>
    <t>Flujo de Caja Ajustado</t>
  </si>
  <si>
    <t>Comentario: Cuando se evalua un proyecto, para calcular la rentabilidad del proyecto (economico) como la del inversionistas (financiero) se debe incluir todos los beneficios. Cuando de mide la capacidad</t>
  </si>
  <si>
    <t>Valor  recupero de Activo Fijo (+)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</si>
</sst>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73" formatCode="&quot;S/.&quot;\ #,##0;[Red]&quot;S/.&quot;\ \-#,##0"/>
    <numFmt numFmtId="189" formatCode="_(* #,##0_);_(* \(#,##0\);_(* &quot;-&quot;??_);_(@_)"/>
    <numFmt numFmtId="190" formatCode="_ * #,##0.0_ ;_ * \-#,##0.0_ ;_ * &quot;-&quot;?_ ;_ @_ "/>
    <numFmt numFmtId="193" formatCode="_ [$S/.-280A]\ * #,##0_ ;_ [$S/.-280A]\ * \-#,##0_ ;_ [$S/.-280A]\ * &quot;-&quot;??_ ;_ @_ "/>
    <numFmt numFmtId="195" formatCode="_ * #,##0_ ;_ * \-#,##0_ ;_ * &quot;-&quot;?_ ;_ @_ "/>
    <numFmt numFmtId="197" formatCode="_ * #,##0_ ;_ * \-#,##0_ ;_ * &quot;-&quot;??_ ;_ @_ 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3" fillId="0" borderId="2" xfId="0" applyFont="1" applyFill="1" applyBorder="1"/>
    <xf numFmtId="3" fontId="3" fillId="0" borderId="3" xfId="0" applyNumberFormat="1" applyFont="1" applyFill="1" applyBorder="1"/>
    <xf numFmtId="3" fontId="3" fillId="0" borderId="4" xfId="0" applyNumberFormat="1" applyFont="1" applyFill="1" applyBorder="1"/>
    <xf numFmtId="3" fontId="3" fillId="0" borderId="1" xfId="0" applyNumberFormat="1" applyFont="1" applyFill="1" applyBorder="1"/>
    <xf numFmtId="3" fontId="3" fillId="0" borderId="5" xfId="0" applyNumberFormat="1" applyFont="1" applyFill="1" applyBorder="1"/>
    <xf numFmtId="3" fontId="3" fillId="0" borderId="6" xfId="0" applyNumberFormat="1" applyFont="1" applyFill="1" applyBorder="1"/>
    <xf numFmtId="3" fontId="3" fillId="0" borderId="7" xfId="0" applyNumberFormat="1" applyFont="1" applyFill="1" applyBorder="1"/>
    <xf numFmtId="0" fontId="2" fillId="0" borderId="8" xfId="0" applyFont="1" applyFill="1" applyBorder="1"/>
    <xf numFmtId="3" fontId="3" fillId="0" borderId="9" xfId="0" applyNumberFormat="1" applyFont="1" applyFill="1" applyBorder="1"/>
    <xf numFmtId="0" fontId="2" fillId="2" borderId="10" xfId="0" applyFont="1" applyFill="1" applyBorder="1"/>
    <xf numFmtId="0" fontId="3" fillId="0" borderId="11" xfId="0" applyFont="1" applyFill="1" applyBorder="1"/>
    <xf numFmtId="4" fontId="3" fillId="0" borderId="1" xfId="0" applyNumberFormat="1" applyFont="1" applyFill="1" applyBorder="1"/>
    <xf numFmtId="0" fontId="3" fillId="3" borderId="0" xfId="0" applyFont="1" applyFill="1"/>
    <xf numFmtId="0" fontId="3" fillId="0" borderId="1" xfId="0" applyFont="1" applyFill="1" applyBorder="1"/>
    <xf numFmtId="189" fontId="0" fillId="0" borderId="1" xfId="0" applyNumberFormat="1" applyBorder="1"/>
    <xf numFmtId="0" fontId="0" fillId="0" borderId="1" xfId="0" applyBorder="1"/>
    <xf numFmtId="189" fontId="0" fillId="0" borderId="1" xfId="1" applyNumberFormat="1" applyFont="1" applyBorder="1"/>
    <xf numFmtId="0" fontId="2" fillId="0" borderId="1" xfId="0" applyFont="1" applyFill="1" applyBorder="1"/>
    <xf numFmtId="0" fontId="2" fillId="0" borderId="0" xfId="0" applyFont="1" applyFill="1" applyBorder="1"/>
    <xf numFmtId="189" fontId="2" fillId="0" borderId="1" xfId="0" applyNumberFormat="1" applyFont="1" applyBorder="1"/>
    <xf numFmtId="190" fontId="0" fillId="0" borderId="1" xfId="0" applyNumberFormat="1" applyBorder="1"/>
    <xf numFmtId="0" fontId="0" fillId="0" borderId="0" xfId="0" applyBorder="1"/>
    <xf numFmtId="0" fontId="0" fillId="0" borderId="5" xfId="0" applyBorder="1"/>
    <xf numFmtId="0" fontId="3" fillId="0" borderId="4" xfId="0" applyFont="1" applyBorder="1"/>
    <xf numFmtId="0" fontId="2" fillId="5" borderId="6" xfId="0" applyFont="1" applyFill="1" applyBorder="1"/>
    <xf numFmtId="0" fontId="2" fillId="5" borderId="7" xfId="0" applyFont="1" applyFill="1" applyBorder="1"/>
    <xf numFmtId="189" fontId="2" fillId="5" borderId="7" xfId="1" applyNumberFormat="1" applyFont="1" applyFill="1" applyBorder="1"/>
    <xf numFmtId="190" fontId="2" fillId="0" borderId="0" xfId="0" applyNumberFormat="1" applyFont="1" applyFill="1" applyBorder="1"/>
    <xf numFmtId="9" fontId="2" fillId="0" borderId="0" xfId="0" applyNumberFormat="1" applyFont="1" applyFill="1" applyBorder="1"/>
    <xf numFmtId="193" fontId="2" fillId="0" borderId="0" xfId="0" applyNumberFormat="1" applyFont="1" applyFill="1" applyBorder="1"/>
    <xf numFmtId="193" fontId="2" fillId="0" borderId="0" xfId="1" applyNumberFormat="1" applyFont="1" applyFill="1" applyBorder="1"/>
    <xf numFmtId="173" fontId="2" fillId="0" borderId="0" xfId="0" applyNumberFormat="1" applyFont="1" applyFill="1" applyBorder="1"/>
    <xf numFmtId="190" fontId="2" fillId="0" borderId="1" xfId="0" applyNumberFormat="1" applyFont="1" applyFill="1" applyBorder="1"/>
    <xf numFmtId="195" fontId="2" fillId="0" borderId="1" xfId="0" applyNumberFormat="1" applyFont="1" applyFill="1" applyBorder="1"/>
    <xf numFmtId="197" fontId="2" fillId="0" borderId="1" xfId="0" applyNumberFormat="1" applyFont="1" applyFill="1" applyBorder="1"/>
    <xf numFmtId="197" fontId="0" fillId="0" borderId="1" xfId="0" applyNumberFormat="1" applyBorder="1"/>
    <xf numFmtId="0" fontId="0" fillId="0" borderId="12" xfId="0" applyBorder="1"/>
    <xf numFmtId="0" fontId="0" fillId="0" borderId="13" xfId="0" applyBorder="1"/>
    <xf numFmtId="0" fontId="2" fillId="5" borderId="7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1" fontId="0" fillId="0" borderId="13" xfId="0" applyNumberFormat="1" applyBorder="1"/>
    <xf numFmtId="190" fontId="2" fillId="0" borderId="0" xfId="0" applyNumberFormat="1" applyFont="1" applyFill="1" applyBorder="1" applyAlignment="1">
      <alignment horizontal="center"/>
    </xf>
    <xf numFmtId="190" fontId="2" fillId="5" borderId="7" xfId="0" applyNumberFormat="1" applyFont="1" applyFill="1" applyBorder="1" applyAlignment="1">
      <alignment horizontal="center"/>
    </xf>
    <xf numFmtId="190" fontId="2" fillId="5" borderId="14" xfId="0" applyNumberFormat="1" applyFont="1" applyFill="1" applyBorder="1" applyAlignment="1">
      <alignment horizontal="center"/>
    </xf>
    <xf numFmtId="0" fontId="2" fillId="0" borderId="3" xfId="0" applyFont="1" applyFill="1" applyBorder="1"/>
    <xf numFmtId="195" fontId="2" fillId="0" borderId="15" xfId="0" applyNumberFormat="1" applyFont="1" applyFill="1" applyBorder="1"/>
    <xf numFmtId="195" fontId="2" fillId="0" borderId="16" xfId="0" applyNumberFormat="1" applyFont="1" applyFill="1" applyBorder="1"/>
    <xf numFmtId="0" fontId="2" fillId="0" borderId="4" xfId="0" applyFont="1" applyFill="1" applyBorder="1"/>
    <xf numFmtId="190" fontId="2" fillId="0" borderId="5" xfId="0" applyNumberFormat="1" applyFont="1" applyFill="1" applyBorder="1"/>
    <xf numFmtId="197" fontId="2" fillId="0" borderId="5" xfId="0" applyNumberFormat="1" applyFont="1" applyFill="1" applyBorder="1"/>
    <xf numFmtId="195" fontId="2" fillId="0" borderId="5" xfId="0" applyNumberFormat="1" applyFont="1" applyFill="1" applyBorder="1"/>
    <xf numFmtId="0" fontId="2" fillId="0" borderId="6" xfId="0" applyFont="1" applyFill="1" applyBorder="1"/>
    <xf numFmtId="193" fontId="2" fillId="0" borderId="7" xfId="0" applyNumberFormat="1" applyFont="1" applyFill="1" applyBorder="1"/>
    <xf numFmtId="193" fontId="2" fillId="0" borderId="14" xfId="0" applyNumberFormat="1" applyFont="1" applyFill="1" applyBorder="1"/>
    <xf numFmtId="3" fontId="2" fillId="0" borderId="1" xfId="0" applyNumberFormat="1" applyFont="1" applyFill="1" applyBorder="1" applyAlignment="1">
      <alignment horizontal="left" shrinkToFit="1"/>
    </xf>
    <xf numFmtId="189" fontId="0" fillId="0" borderId="0" xfId="1" applyNumberFormat="1" applyFont="1" applyFill="1" applyBorder="1"/>
    <xf numFmtId="189" fontId="0" fillId="0" borderId="0" xfId="0" applyNumberFormat="1" applyFill="1" applyBorder="1"/>
    <xf numFmtId="0" fontId="0" fillId="0" borderId="0" xfId="0" applyFill="1" applyBorder="1"/>
    <xf numFmtId="0" fontId="2" fillId="5" borderId="3" xfId="0" applyFont="1" applyFill="1" applyBorder="1"/>
    <xf numFmtId="0" fontId="2" fillId="5" borderId="15" xfId="0" applyFont="1" applyFill="1" applyBorder="1"/>
    <xf numFmtId="0" fontId="2" fillId="5" borderId="16" xfId="0" applyFont="1" applyFill="1" applyBorder="1"/>
    <xf numFmtId="0" fontId="3" fillId="0" borderId="4" xfId="0" applyFont="1" applyFill="1" applyBorder="1"/>
    <xf numFmtId="189" fontId="0" fillId="0" borderId="5" xfId="0" applyNumberFormat="1" applyBorder="1"/>
    <xf numFmtId="0" fontId="2" fillId="5" borderId="6" xfId="0" applyFont="1" applyFill="1" applyBorder="1" applyAlignment="1">
      <alignment horizontal="center"/>
    </xf>
    <xf numFmtId="1" fontId="2" fillId="5" borderId="7" xfId="0" applyNumberFormat="1" applyFont="1" applyFill="1" applyBorder="1"/>
    <xf numFmtId="1" fontId="2" fillId="5" borderId="14" xfId="0" applyNumberFormat="1" applyFont="1" applyFill="1" applyBorder="1"/>
    <xf numFmtId="3" fontId="3" fillId="2" borderId="17" xfId="0" applyNumberFormat="1" applyFont="1" applyFill="1" applyBorder="1"/>
    <xf numFmtId="2" fontId="3" fillId="0" borderId="1" xfId="0" applyNumberFormat="1" applyFont="1" applyFill="1" applyBorder="1"/>
    <xf numFmtId="0" fontId="0" fillId="0" borderId="18" xfId="0" applyBorder="1"/>
    <xf numFmtId="0" fontId="0" fillId="0" borderId="19" xfId="0" applyBorder="1"/>
    <xf numFmtId="0" fontId="2" fillId="2" borderId="6" xfId="0" applyFont="1" applyFill="1" applyBorder="1"/>
    <xf numFmtId="189" fontId="0" fillId="0" borderId="0" xfId="1" applyNumberFormat="1" applyFont="1" applyFill="1" applyBorder="1" applyAlignment="1">
      <alignment horizontal="left"/>
    </xf>
    <xf numFmtId="0" fontId="3" fillId="0" borderId="0" xfId="0" applyFont="1" applyFill="1" applyBorder="1"/>
    <xf numFmtId="189" fontId="2" fillId="0" borderId="0" xfId="0" applyNumberFormat="1" applyFont="1" applyFill="1" applyBorder="1"/>
    <xf numFmtId="0" fontId="2" fillId="5" borderId="20" xfId="0" applyFont="1" applyFill="1" applyBorder="1"/>
    <xf numFmtId="189" fontId="0" fillId="0" borderId="11" xfId="1" applyNumberFormat="1" applyFont="1" applyBorder="1"/>
    <xf numFmtId="189" fontId="2" fillId="0" borderId="11" xfId="0" applyNumberFormat="1" applyFont="1" applyBorder="1"/>
    <xf numFmtId="189" fontId="2" fillId="5" borderId="21" xfId="0" applyNumberFormat="1" applyFont="1" applyFill="1" applyBorder="1"/>
    <xf numFmtId="0" fontId="2" fillId="0" borderId="11" xfId="0" applyFont="1" applyFill="1" applyBorder="1"/>
    <xf numFmtId="0" fontId="2" fillId="5" borderId="21" xfId="0" applyFont="1" applyFill="1" applyBorder="1"/>
    <xf numFmtId="189" fontId="0" fillId="0" borderId="11" xfId="1" applyNumberFormat="1" applyFont="1" applyFill="1" applyBorder="1"/>
    <xf numFmtId="0" fontId="3" fillId="0" borderId="3" xfId="0" applyFont="1" applyBorder="1"/>
    <xf numFmtId="189" fontId="0" fillId="0" borderId="15" xfId="0" applyNumberFormat="1" applyBorder="1"/>
    <xf numFmtId="189" fontId="0" fillId="0" borderId="16" xfId="0" applyNumberFormat="1" applyBorder="1"/>
    <xf numFmtId="197" fontId="0" fillId="0" borderId="5" xfId="0" applyNumberFormat="1" applyBorder="1"/>
    <xf numFmtId="189" fontId="0" fillId="0" borderId="0" xfId="0" applyNumberFormat="1" applyBorder="1"/>
    <xf numFmtId="0" fontId="0" fillId="0" borderId="22" xfId="0" applyBorder="1"/>
    <xf numFmtId="0" fontId="2" fillId="0" borderId="4" xfId="0" applyFont="1" applyBorder="1"/>
    <xf numFmtId="189" fontId="2" fillId="0" borderId="5" xfId="0" applyNumberFormat="1" applyFont="1" applyBorder="1"/>
    <xf numFmtId="190" fontId="0" fillId="0" borderId="5" xfId="0" applyNumberFormat="1" applyBorder="1"/>
    <xf numFmtId="190" fontId="2" fillId="5" borderId="7" xfId="0" applyNumberFormat="1" applyFont="1" applyFill="1" applyBorder="1"/>
    <xf numFmtId="190" fontId="2" fillId="5" borderId="14" xfId="0" applyNumberFormat="1" applyFont="1" applyFill="1" applyBorder="1"/>
    <xf numFmtId="3" fontId="0" fillId="0" borderId="5" xfId="0" applyNumberFormat="1" applyBorder="1"/>
    <xf numFmtId="1" fontId="0" fillId="0" borderId="5" xfId="0" applyNumberFormat="1" applyBorder="1"/>
    <xf numFmtId="0" fontId="2" fillId="0" borderId="4" xfId="0" applyFont="1" applyFill="1" applyBorder="1" applyAlignment="1">
      <alignment horizontal="left" shrinkToFit="1"/>
    </xf>
    <xf numFmtId="3" fontId="2" fillId="0" borderId="5" xfId="0" applyNumberFormat="1" applyFont="1" applyFill="1" applyBorder="1" applyAlignment="1">
      <alignment horizontal="left" shrinkToFit="1"/>
    </xf>
    <xf numFmtId="3" fontId="3" fillId="0" borderId="20" xfId="0" applyNumberFormat="1" applyFont="1" applyFill="1" applyBorder="1"/>
    <xf numFmtId="3" fontId="3" fillId="0" borderId="14" xfId="0" applyNumberFormat="1" applyFont="1" applyFill="1" applyBorder="1"/>
    <xf numFmtId="3" fontId="3" fillId="0" borderId="23" xfId="0" applyNumberFormat="1" applyFont="1" applyFill="1" applyBorder="1"/>
    <xf numFmtId="3" fontId="3" fillId="2" borderId="24" xfId="0" applyNumberFormat="1" applyFont="1" applyFill="1" applyBorder="1"/>
    <xf numFmtId="0" fontId="2" fillId="5" borderId="6" xfId="0" applyFont="1" applyFill="1" applyBorder="1" applyAlignment="1">
      <alignment horizontal="center"/>
    </xf>
    <xf numFmtId="193" fontId="2" fillId="0" borderId="15" xfId="0" applyNumberFormat="1" applyFont="1" applyFill="1" applyBorder="1"/>
    <xf numFmtId="3" fontId="2" fillId="2" borderId="7" xfId="0" applyNumberFormat="1" applyFont="1" applyFill="1" applyBorder="1"/>
    <xf numFmtId="3" fontId="2" fillId="2" borderId="14" xfId="0" applyNumberFormat="1" applyFont="1" applyFill="1" applyBorder="1"/>
    <xf numFmtId="195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2" fillId="0" borderId="7" xfId="0" applyFont="1" applyFill="1" applyBorder="1"/>
    <xf numFmtId="195" fontId="2" fillId="0" borderId="7" xfId="0" applyNumberFormat="1" applyFont="1" applyFill="1" applyBorder="1"/>
    <xf numFmtId="195" fontId="2" fillId="0" borderId="14" xfId="0" applyNumberFormat="1" applyFont="1" applyFill="1" applyBorder="1"/>
    <xf numFmtId="1" fontId="0" fillId="0" borderId="1" xfId="0" applyNumberFormat="1" applyBorder="1"/>
    <xf numFmtId="3" fontId="0" fillId="0" borderId="0" xfId="0" applyNumberFormat="1"/>
    <xf numFmtId="0" fontId="2" fillId="6" borderId="10" xfId="0" applyFont="1" applyFill="1" applyBorder="1"/>
    <xf numFmtId="3" fontId="3" fillId="6" borderId="17" xfId="0" applyNumberFormat="1" applyFont="1" applyFill="1" applyBorder="1"/>
    <xf numFmtId="3" fontId="3" fillId="6" borderId="24" xfId="0" applyNumberFormat="1" applyFont="1" applyFill="1" applyBorder="1"/>
    <xf numFmtId="0" fontId="3" fillId="0" borderId="25" xfId="0" applyFont="1" applyFill="1" applyBorder="1"/>
    <xf numFmtId="0" fontId="3" fillId="0" borderId="26" xfId="0" applyFont="1" applyFill="1" applyBorder="1"/>
    <xf numFmtId="2" fontId="3" fillId="0" borderId="26" xfId="0" applyNumberFormat="1" applyFont="1" applyFill="1" applyBorder="1"/>
    <xf numFmtId="0" fontId="0" fillId="0" borderId="26" xfId="0" applyBorder="1"/>
    <xf numFmtId="0" fontId="0" fillId="0" borderId="27" xfId="0" applyBorder="1"/>
    <xf numFmtId="0" fontId="2" fillId="6" borderId="28" xfId="0" applyFont="1" applyFill="1" applyBorder="1"/>
    <xf numFmtId="3" fontId="2" fillId="6" borderId="17" xfId="0" applyNumberFormat="1" applyFont="1" applyFill="1" applyBorder="1"/>
    <xf numFmtId="3" fontId="2" fillId="6" borderId="24" xfId="0" applyNumberFormat="1" applyFont="1" applyFill="1" applyBorder="1"/>
    <xf numFmtId="0" fontId="2" fillId="6" borderId="8" xfId="0" applyFont="1" applyFill="1" applyBorder="1"/>
    <xf numFmtId="0" fontId="2" fillId="6" borderId="9" xfId="0" applyFont="1" applyFill="1" applyBorder="1"/>
    <xf numFmtId="0" fontId="2" fillId="6" borderId="23" xfId="0" applyFont="1" applyFill="1" applyBorder="1"/>
    <xf numFmtId="3" fontId="2" fillId="6" borderId="9" xfId="0" applyNumberFormat="1" applyFont="1" applyFill="1" applyBorder="1"/>
    <xf numFmtId="0" fontId="2" fillId="5" borderId="15" xfId="0" applyFont="1" applyFill="1" applyBorder="1" applyAlignment="1">
      <alignment horizontal="center"/>
    </xf>
    <xf numFmtId="9" fontId="0" fillId="0" borderId="0" xfId="0" applyNumberFormat="1"/>
    <xf numFmtId="10" fontId="0" fillId="0" borderId="0" xfId="0" applyNumberForma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/>
    </xf>
    <xf numFmtId="0" fontId="2" fillId="0" borderId="15" xfId="0" applyFont="1" applyFill="1" applyBorder="1" applyAlignment="1">
      <alignment horizontal="left"/>
    </xf>
    <xf numFmtId="0" fontId="2" fillId="0" borderId="16" xfId="0" applyFont="1" applyFill="1" applyBorder="1" applyAlignment="1">
      <alignment horizontal="left"/>
    </xf>
    <xf numFmtId="0" fontId="2" fillId="5" borderId="3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29" xfId="0" applyFont="1" applyFill="1" applyBorder="1" applyAlignment="1">
      <alignment horizontal="left"/>
    </xf>
    <xf numFmtId="0" fontId="2" fillId="0" borderId="18" xfId="0" applyFont="1" applyFill="1" applyBorder="1" applyAlignment="1">
      <alignment horizontal="left"/>
    </xf>
    <xf numFmtId="0" fontId="2" fillId="0" borderId="19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4" borderId="30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/>
    </xf>
    <xf numFmtId="0" fontId="2" fillId="0" borderId="31" xfId="0" applyFont="1" applyFill="1" applyBorder="1" applyAlignment="1">
      <alignment horizontal="left"/>
    </xf>
    <xf numFmtId="0" fontId="2" fillId="0" borderId="32" xfId="0" applyFont="1" applyFill="1" applyBorder="1" applyAlignment="1">
      <alignment horizontal="left"/>
    </xf>
    <xf numFmtId="0" fontId="2" fillId="4" borderId="33" xfId="0" applyFont="1" applyFill="1" applyBorder="1" applyAlignment="1">
      <alignment horizontal="center"/>
    </xf>
    <xf numFmtId="0" fontId="2" fillId="4" borderId="34" xfId="0" applyFont="1" applyFill="1" applyBorder="1" applyAlignment="1">
      <alignment horizontal="center"/>
    </xf>
    <xf numFmtId="0" fontId="2" fillId="4" borderId="35" xfId="0" applyFont="1" applyFill="1" applyBorder="1" applyAlignment="1">
      <alignment horizontal="center"/>
    </xf>
    <xf numFmtId="0" fontId="2" fillId="5" borderId="33" xfId="0" applyFont="1" applyFill="1" applyBorder="1" applyAlignment="1">
      <alignment horizontal="center"/>
    </xf>
    <xf numFmtId="0" fontId="2" fillId="5" borderId="34" xfId="0" applyFont="1" applyFill="1" applyBorder="1" applyAlignment="1">
      <alignment horizontal="center"/>
    </xf>
    <xf numFmtId="0" fontId="2" fillId="5" borderId="35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00"/>
  <sheetViews>
    <sheetView topLeftCell="A84" zoomScale="136" zoomScaleNormal="136" workbookViewId="0">
      <selection activeCell="A106" sqref="A106"/>
    </sheetView>
  </sheetViews>
  <sheetFormatPr baseColWidth="10" defaultColWidth="9.140625" defaultRowHeight="12.75" x14ac:dyDescent="0.2"/>
  <cols>
    <col min="1" max="1" width="1.28515625" customWidth="1"/>
    <col min="2" max="2" width="28" customWidth="1"/>
    <col min="3" max="3" width="11.85546875" customWidth="1"/>
    <col min="4" max="4" width="12.7109375" customWidth="1"/>
    <col min="5" max="5" width="13.28515625" customWidth="1"/>
    <col min="6" max="6" width="12.7109375" customWidth="1"/>
    <col min="7" max="7" width="11.85546875" customWidth="1"/>
    <col min="8" max="8" width="12.7109375" customWidth="1"/>
    <col min="9" max="9" width="12.42578125" customWidth="1"/>
    <col min="10" max="10" width="11.7109375" customWidth="1"/>
    <col min="11" max="11" width="10.5703125" customWidth="1"/>
    <col min="12" max="12" width="10" customWidth="1"/>
    <col min="13" max="13" width="10.7109375" customWidth="1"/>
  </cols>
  <sheetData>
    <row r="1" spans="2:13" ht="18" x14ac:dyDescent="0.25">
      <c r="B1" s="133" t="s">
        <v>57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</row>
    <row r="2" spans="2:13" ht="15.75" customHeight="1" x14ac:dyDescent="0.25">
      <c r="B2" s="134" t="s">
        <v>58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</row>
    <row r="4" spans="2:13" x14ac:dyDescent="0.2">
      <c r="B4" s="1" t="s">
        <v>59</v>
      </c>
    </row>
    <row r="6" spans="2:13" ht="13.5" thickBot="1" x14ac:dyDescent="0.25">
      <c r="B6" s="1" t="s">
        <v>0</v>
      </c>
    </row>
    <row r="7" spans="2:13" x14ac:dyDescent="0.2">
      <c r="B7" s="137" t="s">
        <v>35</v>
      </c>
      <c r="C7" s="135" t="s">
        <v>3</v>
      </c>
      <c r="D7" s="135"/>
      <c r="E7" s="135"/>
      <c r="F7" s="135"/>
      <c r="G7" s="135"/>
      <c r="H7" s="135"/>
      <c r="I7" s="135"/>
      <c r="J7" s="135"/>
      <c r="K7" s="135"/>
      <c r="L7" s="135"/>
      <c r="M7" s="136"/>
    </row>
    <row r="8" spans="2:13" ht="13.5" thickBot="1" x14ac:dyDescent="0.25">
      <c r="B8" s="138"/>
      <c r="C8" s="42">
        <v>0</v>
      </c>
      <c r="D8" s="42">
        <v>1</v>
      </c>
      <c r="E8" s="42">
        <f>D8+1</f>
        <v>2</v>
      </c>
      <c r="F8" s="42">
        <f t="shared" ref="F8:M8" si="0">E8+1</f>
        <v>3</v>
      </c>
      <c r="G8" s="42">
        <f t="shared" si="0"/>
        <v>4</v>
      </c>
      <c r="H8" s="42">
        <f t="shared" si="0"/>
        <v>5</v>
      </c>
      <c r="I8" s="42">
        <f t="shared" si="0"/>
        <v>6</v>
      </c>
      <c r="J8" s="42">
        <f t="shared" si="0"/>
        <v>7</v>
      </c>
      <c r="K8" s="42">
        <f t="shared" si="0"/>
        <v>8</v>
      </c>
      <c r="L8" s="42">
        <f t="shared" si="0"/>
        <v>9</v>
      </c>
      <c r="M8" s="43">
        <f t="shared" si="0"/>
        <v>10</v>
      </c>
    </row>
    <row r="9" spans="2:13" x14ac:dyDescent="0.2">
      <c r="B9" s="40" t="s">
        <v>60</v>
      </c>
      <c r="C9" s="41"/>
      <c r="D9" s="41">
        <v>1000</v>
      </c>
      <c r="E9" s="41">
        <f>D9*1.2</f>
        <v>1200</v>
      </c>
      <c r="F9" s="41">
        <f>E9*1.05</f>
        <v>1260</v>
      </c>
      <c r="G9" s="44">
        <f>F9*1.02</f>
        <v>1285.2</v>
      </c>
      <c r="H9" s="44">
        <f t="shared" ref="H9:M9" si="1">G9*1.02</f>
        <v>1310.904</v>
      </c>
      <c r="I9" s="44">
        <f t="shared" si="1"/>
        <v>1337.1220800000001</v>
      </c>
      <c r="J9" s="44">
        <f t="shared" si="1"/>
        <v>1363.8645216000002</v>
      </c>
      <c r="K9" s="44">
        <f t="shared" si="1"/>
        <v>1391.1418120320002</v>
      </c>
      <c r="L9" s="44">
        <f t="shared" si="1"/>
        <v>1418.9646482726403</v>
      </c>
      <c r="M9" s="44">
        <f t="shared" si="1"/>
        <v>1447.3439412380931</v>
      </c>
    </row>
    <row r="10" spans="2:13" x14ac:dyDescent="0.2">
      <c r="B10" s="27" t="s">
        <v>61</v>
      </c>
      <c r="C10" s="19"/>
      <c r="D10" s="19">
        <v>100</v>
      </c>
      <c r="E10" s="19">
        <v>100</v>
      </c>
      <c r="F10" s="19">
        <v>100</v>
      </c>
      <c r="G10" s="19">
        <v>110</v>
      </c>
      <c r="H10" s="19">
        <v>110</v>
      </c>
      <c r="I10" s="19">
        <v>110</v>
      </c>
      <c r="J10" s="19">
        <v>110</v>
      </c>
      <c r="K10" s="19">
        <v>110</v>
      </c>
      <c r="L10" s="19">
        <v>110</v>
      </c>
      <c r="M10" s="19">
        <v>110</v>
      </c>
    </row>
    <row r="11" spans="2:13" ht="13.5" thickBot="1" x14ac:dyDescent="0.25">
      <c r="B11" s="28" t="s">
        <v>34</v>
      </c>
      <c r="C11" s="29"/>
      <c r="D11" s="30">
        <f>D9*D10</f>
        <v>100000</v>
      </c>
      <c r="E11" s="30">
        <f t="shared" ref="E11:M11" si="2">E9*E10</f>
        <v>120000</v>
      </c>
      <c r="F11" s="30">
        <f t="shared" si="2"/>
        <v>126000</v>
      </c>
      <c r="G11" s="30">
        <f t="shared" si="2"/>
        <v>141372</v>
      </c>
      <c r="H11" s="30">
        <f t="shared" si="2"/>
        <v>144199.44</v>
      </c>
      <c r="I11" s="30">
        <f t="shared" si="2"/>
        <v>147083.42880000002</v>
      </c>
      <c r="J11" s="30">
        <f t="shared" si="2"/>
        <v>150025.09737600002</v>
      </c>
      <c r="K11" s="30">
        <f t="shared" si="2"/>
        <v>153025.59932352003</v>
      </c>
      <c r="L11" s="30">
        <f t="shared" si="2"/>
        <v>156086.11130999043</v>
      </c>
      <c r="M11" s="30">
        <f t="shared" si="2"/>
        <v>159207.83353619024</v>
      </c>
    </row>
    <row r="12" spans="2:13" x14ac:dyDescent="0.2">
      <c r="B12" s="2"/>
    </row>
    <row r="13" spans="2:13" ht="13.5" thickBot="1" x14ac:dyDescent="0.25">
      <c r="B13" s="22" t="s">
        <v>36</v>
      </c>
    </row>
    <row r="14" spans="2:13" x14ac:dyDescent="0.2">
      <c r="B14" s="78" t="s">
        <v>24</v>
      </c>
      <c r="C14" s="78" t="s">
        <v>31</v>
      </c>
      <c r="D14" s="22"/>
    </row>
    <row r="15" spans="2:13" x14ac:dyDescent="0.2">
      <c r="B15" s="14" t="s">
        <v>28</v>
      </c>
      <c r="C15" s="79">
        <v>80000</v>
      </c>
      <c r="D15" s="61"/>
    </row>
    <row r="16" spans="2:13" x14ac:dyDescent="0.2">
      <c r="B16" s="14" t="s">
        <v>29</v>
      </c>
      <c r="C16" s="79">
        <v>200000</v>
      </c>
      <c r="D16" s="61"/>
    </row>
    <row r="17" spans="2:13" x14ac:dyDescent="0.2">
      <c r="B17" s="14" t="s">
        <v>62</v>
      </c>
      <c r="C17" s="79">
        <v>100000</v>
      </c>
      <c r="D17" s="75"/>
    </row>
    <row r="18" spans="2:13" x14ac:dyDescent="0.2">
      <c r="B18" s="82" t="s">
        <v>30</v>
      </c>
      <c r="C18" s="80">
        <f>SUM(C15:C17)</f>
        <v>380000</v>
      </c>
      <c r="D18" s="22"/>
    </row>
    <row r="19" spans="2:13" x14ac:dyDescent="0.2">
      <c r="B19" s="82" t="s">
        <v>37</v>
      </c>
      <c r="C19" s="84">
        <f>(D35+D36)/2</f>
        <v>-25000</v>
      </c>
      <c r="D19" s="76"/>
    </row>
    <row r="20" spans="2:13" x14ac:dyDescent="0.2">
      <c r="B20" s="82" t="s">
        <v>38</v>
      </c>
      <c r="C20" s="80">
        <f>C19</f>
        <v>-25000</v>
      </c>
      <c r="D20" s="77"/>
    </row>
    <row r="21" spans="2:13" ht="13.5" thickBot="1" x14ac:dyDescent="0.25">
      <c r="B21" s="83" t="s">
        <v>39</v>
      </c>
      <c r="C21" s="81">
        <f>C18+C20</f>
        <v>355000</v>
      </c>
      <c r="D21" s="77"/>
    </row>
    <row r="23" spans="2:13" ht="13.5" thickBot="1" x14ac:dyDescent="0.25">
      <c r="B23" s="1" t="s">
        <v>56</v>
      </c>
    </row>
    <row r="24" spans="2:13" x14ac:dyDescent="0.2">
      <c r="B24" s="62" t="s">
        <v>24</v>
      </c>
      <c r="C24" s="130" t="s">
        <v>25</v>
      </c>
      <c r="D24" s="63" t="s">
        <v>26</v>
      </c>
      <c r="E24" s="63" t="s">
        <v>65</v>
      </c>
      <c r="F24" s="63" t="s">
        <v>66</v>
      </c>
      <c r="G24" s="63" t="s">
        <v>27</v>
      </c>
      <c r="H24" s="64" t="s">
        <v>32</v>
      </c>
      <c r="I24" s="22"/>
      <c r="J24" s="22"/>
    </row>
    <row r="25" spans="2:13" x14ac:dyDescent="0.2">
      <c r="B25" s="65" t="s">
        <v>23</v>
      </c>
      <c r="C25" s="18">
        <f>C16</f>
        <v>200000</v>
      </c>
      <c r="D25" s="19">
        <v>40</v>
      </c>
      <c r="E25" s="19">
        <f>C25*(1/D25)</f>
        <v>5000</v>
      </c>
      <c r="F25" s="19">
        <f>E25</f>
        <v>5000</v>
      </c>
      <c r="G25" s="19">
        <f>F25*10</f>
        <v>50000</v>
      </c>
      <c r="H25" s="66">
        <f>C25-G25</f>
        <v>150000</v>
      </c>
      <c r="I25" s="59"/>
      <c r="J25" s="60"/>
    </row>
    <row r="26" spans="2:13" x14ac:dyDescent="0.2">
      <c r="B26" s="65" t="s">
        <v>63</v>
      </c>
      <c r="C26" s="18">
        <f>C17</f>
        <v>100000</v>
      </c>
      <c r="D26" s="19">
        <v>10</v>
      </c>
      <c r="E26" s="19">
        <f>C26*(1/D26)</f>
        <v>10000</v>
      </c>
      <c r="F26" s="19">
        <v>0</v>
      </c>
      <c r="G26" s="19">
        <f>F26*5</f>
        <v>0</v>
      </c>
      <c r="H26" s="66"/>
      <c r="I26" s="61"/>
      <c r="J26" s="61"/>
    </row>
    <row r="27" spans="2:13" x14ac:dyDescent="0.2">
      <c r="B27" s="65" t="s">
        <v>64</v>
      </c>
      <c r="C27" s="20">
        <v>100000</v>
      </c>
      <c r="D27" s="19">
        <v>10</v>
      </c>
      <c r="E27" s="19">
        <v>0</v>
      </c>
      <c r="F27" s="19">
        <f>C27*(1/D27)</f>
        <v>10000</v>
      </c>
      <c r="G27" s="19">
        <f>F27*4</f>
        <v>40000</v>
      </c>
      <c r="H27" s="66">
        <f>C27-G27</f>
        <v>60000</v>
      </c>
      <c r="I27" s="59"/>
      <c r="J27" s="60"/>
    </row>
    <row r="28" spans="2:13" ht="13.5" thickBot="1" x14ac:dyDescent="0.25">
      <c r="B28" s="67" t="s">
        <v>33</v>
      </c>
      <c r="C28" s="29"/>
      <c r="D28" s="29"/>
      <c r="E28" s="68">
        <f>SUM(E25:E27)</f>
        <v>15000</v>
      </c>
      <c r="F28" s="68">
        <f>SUM(F25:F27)</f>
        <v>15000</v>
      </c>
      <c r="G28" s="29">
        <f>SUM(G25:G27)</f>
        <v>90000</v>
      </c>
      <c r="H28" s="69">
        <f>SUM(H25:H27)</f>
        <v>210000</v>
      </c>
      <c r="I28" s="22"/>
      <c r="J28" s="22"/>
    </row>
    <row r="31" spans="2:13" ht="13.5" thickBot="1" x14ac:dyDescent="0.25">
      <c r="B31" s="149" t="s">
        <v>91</v>
      </c>
      <c r="C31" s="149"/>
      <c r="D31" s="149"/>
      <c r="E31" s="149"/>
      <c r="F31" s="149"/>
      <c r="G31" s="149"/>
      <c r="H31" s="149"/>
    </row>
    <row r="32" spans="2:13" x14ac:dyDescent="0.2">
      <c r="B32" s="142" t="s">
        <v>35</v>
      </c>
      <c r="C32" s="135" t="s">
        <v>46</v>
      </c>
      <c r="D32" s="135"/>
      <c r="E32" s="135"/>
      <c r="F32" s="135"/>
      <c r="G32" s="135"/>
      <c r="H32" s="135"/>
      <c r="I32" s="135"/>
      <c r="J32" s="135"/>
      <c r="K32" s="135"/>
      <c r="L32" s="135"/>
      <c r="M32" s="136"/>
    </row>
    <row r="33" spans="2:13" ht="13.5" thickBot="1" x14ac:dyDescent="0.25">
      <c r="B33" s="143"/>
      <c r="C33" s="42">
        <v>0</v>
      </c>
      <c r="D33" s="42">
        <v>1</v>
      </c>
      <c r="E33" s="42">
        <f>D33+1</f>
        <v>2</v>
      </c>
      <c r="F33" s="42">
        <f t="shared" ref="F33:M33" si="3">E33+1</f>
        <v>3</v>
      </c>
      <c r="G33" s="42">
        <f t="shared" si="3"/>
        <v>4</v>
      </c>
      <c r="H33" s="42">
        <f t="shared" si="3"/>
        <v>5</v>
      </c>
      <c r="I33" s="42">
        <f t="shared" si="3"/>
        <v>6</v>
      </c>
      <c r="J33" s="42">
        <f t="shared" si="3"/>
        <v>7</v>
      </c>
      <c r="K33" s="42">
        <f t="shared" si="3"/>
        <v>8</v>
      </c>
      <c r="L33" s="42">
        <f>K33+1</f>
        <v>9</v>
      </c>
      <c r="M33" s="43">
        <f t="shared" si="3"/>
        <v>10</v>
      </c>
    </row>
    <row r="34" spans="2:13" x14ac:dyDescent="0.2">
      <c r="B34" s="85" t="s">
        <v>41</v>
      </c>
      <c r="C34" s="86"/>
      <c r="D34" s="86">
        <f t="shared" ref="D34:M34" si="4">D11</f>
        <v>100000</v>
      </c>
      <c r="E34" s="86">
        <f t="shared" si="4"/>
        <v>120000</v>
      </c>
      <c r="F34" s="86">
        <f t="shared" si="4"/>
        <v>126000</v>
      </c>
      <c r="G34" s="86">
        <f t="shared" si="4"/>
        <v>141372</v>
      </c>
      <c r="H34" s="86">
        <f t="shared" si="4"/>
        <v>144199.44</v>
      </c>
      <c r="I34" s="86">
        <f t="shared" si="4"/>
        <v>147083.42880000002</v>
      </c>
      <c r="J34" s="86">
        <f t="shared" si="4"/>
        <v>150025.09737600002</v>
      </c>
      <c r="K34" s="86">
        <f t="shared" si="4"/>
        <v>153025.59932352003</v>
      </c>
      <c r="L34" s="86">
        <f t="shared" si="4"/>
        <v>156086.11130999043</v>
      </c>
      <c r="M34" s="87">
        <f t="shared" si="4"/>
        <v>159207.83353619024</v>
      </c>
    </row>
    <row r="35" spans="2:13" x14ac:dyDescent="0.2">
      <c r="B35" s="27" t="s">
        <v>67</v>
      </c>
      <c r="C35" s="19"/>
      <c r="D35" s="19">
        <f>-D9*30</f>
        <v>-30000</v>
      </c>
      <c r="E35" s="19">
        <f t="shared" ref="E35:M35" si="5">-E9*30</f>
        <v>-36000</v>
      </c>
      <c r="F35" s="19">
        <f t="shared" si="5"/>
        <v>-37800</v>
      </c>
      <c r="G35" s="19">
        <f t="shared" si="5"/>
        <v>-38556</v>
      </c>
      <c r="H35" s="19">
        <f t="shared" si="5"/>
        <v>-39327.120000000003</v>
      </c>
      <c r="I35" s="19">
        <f t="shared" si="5"/>
        <v>-40113.662400000001</v>
      </c>
      <c r="J35" s="19">
        <f t="shared" si="5"/>
        <v>-40915.935648000006</v>
      </c>
      <c r="K35" s="19">
        <f t="shared" si="5"/>
        <v>-41734.254360960003</v>
      </c>
      <c r="L35" s="19">
        <f t="shared" si="5"/>
        <v>-42568.939448179211</v>
      </c>
      <c r="M35" s="26">
        <f t="shared" si="5"/>
        <v>-43420.31823714279</v>
      </c>
    </row>
    <row r="36" spans="2:13" x14ac:dyDescent="0.2">
      <c r="B36" s="27" t="s">
        <v>68</v>
      </c>
      <c r="C36" s="19"/>
      <c r="D36" s="19">
        <v>-20000</v>
      </c>
      <c r="E36" s="19">
        <v>-20000</v>
      </c>
      <c r="F36" s="19">
        <v>-20000</v>
      </c>
      <c r="G36" s="19">
        <v>-20000</v>
      </c>
      <c r="H36" s="19">
        <v>-20000</v>
      </c>
      <c r="I36" s="19">
        <v>-20000</v>
      </c>
      <c r="J36" s="19">
        <v>-20000</v>
      </c>
      <c r="K36" s="19">
        <v>-20000</v>
      </c>
      <c r="L36" s="19">
        <v>-20000</v>
      </c>
      <c r="M36" s="26">
        <v>-20000</v>
      </c>
    </row>
    <row r="37" spans="2:13" x14ac:dyDescent="0.2">
      <c r="B37" s="27" t="s">
        <v>22</v>
      </c>
      <c r="C37" s="19"/>
      <c r="D37" s="39">
        <f>-$E$28</f>
        <v>-15000</v>
      </c>
      <c r="E37" s="39">
        <f t="shared" ref="E37:M37" si="6">-$E$28</f>
        <v>-15000</v>
      </c>
      <c r="F37" s="39">
        <f t="shared" si="6"/>
        <v>-15000</v>
      </c>
      <c r="G37" s="39">
        <f t="shared" si="6"/>
        <v>-15000</v>
      </c>
      <c r="H37" s="39">
        <f t="shared" si="6"/>
        <v>-15000</v>
      </c>
      <c r="I37" s="39">
        <f t="shared" si="6"/>
        <v>-15000</v>
      </c>
      <c r="J37" s="39">
        <f t="shared" si="6"/>
        <v>-15000</v>
      </c>
      <c r="K37" s="39">
        <f t="shared" si="6"/>
        <v>-15000</v>
      </c>
      <c r="L37" s="39">
        <f t="shared" si="6"/>
        <v>-15000</v>
      </c>
      <c r="M37" s="88">
        <f t="shared" si="6"/>
        <v>-15000</v>
      </c>
    </row>
    <row r="38" spans="2:13" x14ac:dyDescent="0.2">
      <c r="B38" s="27" t="s">
        <v>69</v>
      </c>
      <c r="C38" s="19"/>
      <c r="D38" s="18"/>
      <c r="E38" s="19"/>
      <c r="F38" s="19"/>
      <c r="G38" s="19"/>
      <c r="H38" s="18"/>
      <c r="I38" s="89">
        <f>C17*0.5-E26*4</f>
        <v>10000</v>
      </c>
      <c r="J38" s="25"/>
      <c r="K38" s="25"/>
      <c r="L38" s="25"/>
      <c r="M38" s="90"/>
    </row>
    <row r="39" spans="2:13" x14ac:dyDescent="0.2">
      <c r="B39" s="91" t="s">
        <v>42</v>
      </c>
      <c r="C39" s="3"/>
      <c r="D39" s="23">
        <f>SUM(D34:D38)</f>
        <v>35000</v>
      </c>
      <c r="E39" s="23">
        <f t="shared" ref="E39:M39" si="7">SUM(E34:E38)</f>
        <v>49000</v>
      </c>
      <c r="F39" s="23">
        <f t="shared" si="7"/>
        <v>53200</v>
      </c>
      <c r="G39" s="23">
        <f t="shared" si="7"/>
        <v>67816</v>
      </c>
      <c r="H39" s="23">
        <f t="shared" si="7"/>
        <v>69872.320000000007</v>
      </c>
      <c r="I39" s="23">
        <f t="shared" si="7"/>
        <v>81969.766400000022</v>
      </c>
      <c r="J39" s="23">
        <f t="shared" si="7"/>
        <v>74109.161728000006</v>
      </c>
      <c r="K39" s="23">
        <f t="shared" si="7"/>
        <v>76291.344962560019</v>
      </c>
      <c r="L39" s="23">
        <f t="shared" si="7"/>
        <v>78517.171861811221</v>
      </c>
      <c r="M39" s="92">
        <f t="shared" si="7"/>
        <v>80787.51529904746</v>
      </c>
    </row>
    <row r="40" spans="2:13" x14ac:dyDescent="0.2">
      <c r="B40" s="27" t="s">
        <v>43</v>
      </c>
      <c r="C40" s="19"/>
      <c r="D40" s="24">
        <f>-D39*0.17</f>
        <v>-5950</v>
      </c>
      <c r="E40" s="24">
        <f t="shared" ref="E40:M40" si="8">-E39*0.17</f>
        <v>-8330</v>
      </c>
      <c r="F40" s="24">
        <f t="shared" si="8"/>
        <v>-9044</v>
      </c>
      <c r="G40" s="24">
        <f t="shared" si="8"/>
        <v>-11528.720000000001</v>
      </c>
      <c r="H40" s="24">
        <f t="shared" si="8"/>
        <v>-11878.294400000002</v>
      </c>
      <c r="I40" s="24">
        <f t="shared" si="8"/>
        <v>-13934.860288000005</v>
      </c>
      <c r="J40" s="24">
        <f t="shared" si="8"/>
        <v>-12598.557493760001</v>
      </c>
      <c r="K40" s="24">
        <f t="shared" si="8"/>
        <v>-12969.528643635203</v>
      </c>
      <c r="L40" s="24">
        <f t="shared" si="8"/>
        <v>-13347.919216507909</v>
      </c>
      <c r="M40" s="93">
        <f t="shared" si="8"/>
        <v>-13733.87760083807</v>
      </c>
    </row>
    <row r="41" spans="2:13" ht="13.5" thickBot="1" x14ac:dyDescent="0.25">
      <c r="B41" s="28" t="s">
        <v>44</v>
      </c>
      <c r="C41" s="29"/>
      <c r="D41" s="94">
        <f>D39+D40</f>
        <v>29050</v>
      </c>
      <c r="E41" s="94">
        <f t="shared" ref="E41:M41" si="9">E39+E40</f>
        <v>40670</v>
      </c>
      <c r="F41" s="94">
        <f t="shared" si="9"/>
        <v>44156</v>
      </c>
      <c r="G41" s="94">
        <f t="shared" si="9"/>
        <v>56287.28</v>
      </c>
      <c r="H41" s="94">
        <f t="shared" si="9"/>
        <v>57994.025600000008</v>
      </c>
      <c r="I41" s="94">
        <f t="shared" si="9"/>
        <v>68034.906112000011</v>
      </c>
      <c r="J41" s="94">
        <f t="shared" si="9"/>
        <v>61510.604234240003</v>
      </c>
      <c r="K41" s="94">
        <f t="shared" si="9"/>
        <v>63321.816318924815</v>
      </c>
      <c r="L41" s="94">
        <f t="shared" si="9"/>
        <v>65169.252645303313</v>
      </c>
      <c r="M41" s="95">
        <f t="shared" si="9"/>
        <v>67053.637698209393</v>
      </c>
    </row>
    <row r="42" spans="2:13" x14ac:dyDescent="0.2">
      <c r="B42" s="22"/>
      <c r="C42" s="22"/>
      <c r="D42" s="31"/>
      <c r="E42" s="31"/>
      <c r="F42" s="31"/>
      <c r="G42" s="31"/>
      <c r="H42" s="31"/>
    </row>
    <row r="43" spans="2:13" x14ac:dyDescent="0.2">
      <c r="B43" s="22"/>
      <c r="C43" s="22"/>
      <c r="D43" s="31"/>
      <c r="E43" s="31"/>
      <c r="F43" s="31"/>
      <c r="G43" s="31"/>
      <c r="H43" s="31"/>
    </row>
    <row r="44" spans="2:13" x14ac:dyDescent="0.2">
      <c r="B44" s="22"/>
      <c r="C44" s="22"/>
      <c r="D44" s="31"/>
      <c r="E44" s="31"/>
      <c r="F44" s="31"/>
      <c r="G44" s="31"/>
      <c r="H44" s="31"/>
    </row>
    <row r="45" spans="2:13" x14ac:dyDescent="0.2">
      <c r="B45" s="22" t="s">
        <v>76</v>
      </c>
      <c r="C45" s="22"/>
      <c r="D45" s="31"/>
      <c r="E45" s="31"/>
      <c r="F45" s="31"/>
      <c r="G45" s="31"/>
      <c r="H45" s="31"/>
    </row>
    <row r="46" spans="2:13" x14ac:dyDescent="0.2">
      <c r="B46" s="22"/>
      <c r="C46" s="22"/>
      <c r="D46" s="31"/>
      <c r="E46" s="31"/>
      <c r="F46" s="31"/>
      <c r="G46" s="31"/>
      <c r="H46" s="31"/>
    </row>
    <row r="47" spans="2:13" x14ac:dyDescent="0.2">
      <c r="B47" s="22" t="s">
        <v>45</v>
      </c>
      <c r="C47" s="22"/>
      <c r="D47" s="31"/>
      <c r="E47" s="31"/>
      <c r="F47" s="31"/>
      <c r="G47" s="31"/>
      <c r="H47" s="31"/>
    </row>
    <row r="48" spans="2:13" x14ac:dyDescent="0.2">
      <c r="B48" s="22"/>
      <c r="C48" s="22"/>
      <c r="D48" s="31"/>
      <c r="E48" s="31"/>
      <c r="F48" s="31"/>
      <c r="G48" s="31"/>
      <c r="H48" s="31"/>
    </row>
    <row r="49" spans="2:14" x14ac:dyDescent="0.2">
      <c r="B49" s="22" t="s">
        <v>47</v>
      </c>
      <c r="C49" s="34">
        <f>C18*0.6</f>
        <v>228000</v>
      </c>
      <c r="D49" s="33"/>
      <c r="E49" s="31"/>
      <c r="F49" s="31"/>
      <c r="G49" s="31"/>
      <c r="H49" s="31"/>
    </row>
    <row r="50" spans="2:14" x14ac:dyDescent="0.2">
      <c r="B50" s="22" t="s">
        <v>48</v>
      </c>
      <c r="C50" s="32">
        <v>0.09</v>
      </c>
      <c r="D50" s="31"/>
      <c r="E50" s="31"/>
      <c r="F50" s="31"/>
      <c r="G50" s="31"/>
      <c r="H50" s="31"/>
    </row>
    <row r="51" spans="2:14" x14ac:dyDescent="0.2">
      <c r="B51" s="22" t="s">
        <v>49</v>
      </c>
      <c r="C51" s="22">
        <v>8</v>
      </c>
      <c r="D51" s="31"/>
      <c r="E51" s="31"/>
      <c r="F51" s="31"/>
      <c r="G51" s="31"/>
      <c r="H51" s="31"/>
    </row>
    <row r="52" spans="2:14" x14ac:dyDescent="0.2">
      <c r="B52" s="22" t="s">
        <v>50</v>
      </c>
      <c r="C52" s="35">
        <f>-PMT(C50,C51,C49)</f>
        <v>41193.758146949163</v>
      </c>
      <c r="D52" s="31"/>
      <c r="E52" s="31"/>
      <c r="F52" s="31"/>
      <c r="G52" s="31"/>
      <c r="H52" s="31"/>
    </row>
    <row r="53" spans="2:14" ht="13.5" thickBot="1" x14ac:dyDescent="0.25">
      <c r="B53" s="22"/>
      <c r="C53" s="35"/>
      <c r="D53" s="31"/>
      <c r="E53" s="31"/>
      <c r="F53" s="31"/>
      <c r="G53" s="31"/>
      <c r="H53" s="31"/>
    </row>
    <row r="54" spans="2:14" x14ac:dyDescent="0.2">
      <c r="B54" s="137" t="s">
        <v>46</v>
      </c>
      <c r="C54" s="135" t="s">
        <v>46</v>
      </c>
      <c r="D54" s="135"/>
      <c r="E54" s="135"/>
      <c r="F54" s="135"/>
      <c r="G54" s="135"/>
      <c r="H54" s="135"/>
      <c r="I54" s="135"/>
      <c r="J54" s="135"/>
      <c r="K54" s="136"/>
    </row>
    <row r="55" spans="2:14" ht="13.5" thickBot="1" x14ac:dyDescent="0.25">
      <c r="B55" s="138"/>
      <c r="C55" s="42">
        <v>0</v>
      </c>
      <c r="D55" s="46">
        <v>1</v>
      </c>
      <c r="E55" s="46">
        <f>D55+1</f>
        <v>2</v>
      </c>
      <c r="F55" s="46">
        <f t="shared" ref="F55:K55" si="10">E55+1</f>
        <v>3</v>
      </c>
      <c r="G55" s="46">
        <f t="shared" si="10"/>
        <v>4</v>
      </c>
      <c r="H55" s="46">
        <f t="shared" si="10"/>
        <v>5</v>
      </c>
      <c r="I55" s="46">
        <f t="shared" si="10"/>
        <v>6</v>
      </c>
      <c r="J55" s="46">
        <f t="shared" si="10"/>
        <v>7</v>
      </c>
      <c r="K55" s="47">
        <f t="shared" si="10"/>
        <v>8</v>
      </c>
      <c r="L55" s="45"/>
      <c r="M55" s="45"/>
      <c r="N55" s="45"/>
    </row>
    <row r="56" spans="2:14" x14ac:dyDescent="0.2">
      <c r="B56" s="48" t="s">
        <v>51</v>
      </c>
      <c r="C56" s="105">
        <f>C49</f>
        <v>228000</v>
      </c>
      <c r="D56" s="49">
        <f>C60</f>
        <v>228000</v>
      </c>
      <c r="E56" s="49">
        <f>D60</f>
        <v>207326.24185305083</v>
      </c>
      <c r="F56" s="49">
        <f t="shared" ref="F56:K56" si="11">E60</f>
        <v>184791.84547287624</v>
      </c>
      <c r="G56" s="49">
        <f t="shared" si="11"/>
        <v>160229.35341848593</v>
      </c>
      <c r="H56" s="49">
        <f t="shared" si="11"/>
        <v>133456.23707920051</v>
      </c>
      <c r="I56" s="49">
        <f t="shared" si="11"/>
        <v>104273.54026937939</v>
      </c>
      <c r="J56" s="49">
        <f t="shared" si="11"/>
        <v>72464.400746674364</v>
      </c>
      <c r="K56" s="50">
        <f t="shared" si="11"/>
        <v>37792.438666925897</v>
      </c>
    </row>
    <row r="57" spans="2:14" x14ac:dyDescent="0.2">
      <c r="B57" s="51" t="s">
        <v>52</v>
      </c>
      <c r="C57" s="21">
        <v>0</v>
      </c>
      <c r="D57" s="36">
        <f>D56*$C$50</f>
        <v>20520</v>
      </c>
      <c r="E57" s="36">
        <f t="shared" ref="E57:K57" si="12">E56*$C$50</f>
        <v>18659.361766774575</v>
      </c>
      <c r="F57" s="36">
        <f t="shared" si="12"/>
        <v>16631.266092558861</v>
      </c>
      <c r="G57" s="36">
        <f t="shared" si="12"/>
        <v>14420.641807663733</v>
      </c>
      <c r="H57" s="36">
        <f t="shared" si="12"/>
        <v>12011.061337128045</v>
      </c>
      <c r="I57" s="36">
        <f t="shared" si="12"/>
        <v>9384.6186242441454</v>
      </c>
      <c r="J57" s="36">
        <f t="shared" si="12"/>
        <v>6521.796067200693</v>
      </c>
      <c r="K57" s="52">
        <f t="shared" si="12"/>
        <v>3401.3194800233305</v>
      </c>
    </row>
    <row r="58" spans="2:14" x14ac:dyDescent="0.2">
      <c r="B58" s="51" t="s">
        <v>86</v>
      </c>
      <c r="C58" s="21">
        <v>0</v>
      </c>
      <c r="D58" s="38">
        <f>D59-D57</f>
        <v>20673.758146949163</v>
      </c>
      <c r="E58" s="38">
        <f t="shared" ref="E58:K58" si="13">E59-E57</f>
        <v>22534.396380174589</v>
      </c>
      <c r="F58" s="38">
        <f t="shared" si="13"/>
        <v>24562.492054390303</v>
      </c>
      <c r="G58" s="38">
        <f t="shared" si="13"/>
        <v>26773.116339285429</v>
      </c>
      <c r="H58" s="38">
        <f t="shared" si="13"/>
        <v>29182.696809821118</v>
      </c>
      <c r="I58" s="38">
        <f t="shared" si="13"/>
        <v>31809.139522705016</v>
      </c>
      <c r="J58" s="38">
        <f t="shared" si="13"/>
        <v>34671.962079748468</v>
      </c>
      <c r="K58" s="53">
        <f t="shared" si="13"/>
        <v>37792.438666925831</v>
      </c>
    </row>
    <row r="59" spans="2:14" x14ac:dyDescent="0.2">
      <c r="B59" s="51" t="s">
        <v>85</v>
      </c>
      <c r="C59" s="21">
        <v>0</v>
      </c>
      <c r="D59" s="37">
        <f>$C$52</f>
        <v>41193.758146949163</v>
      </c>
      <c r="E59" s="37">
        <f t="shared" ref="E59:K59" si="14">$C$52</f>
        <v>41193.758146949163</v>
      </c>
      <c r="F59" s="37">
        <f t="shared" si="14"/>
        <v>41193.758146949163</v>
      </c>
      <c r="G59" s="37">
        <f t="shared" si="14"/>
        <v>41193.758146949163</v>
      </c>
      <c r="H59" s="37">
        <f t="shared" si="14"/>
        <v>41193.758146949163</v>
      </c>
      <c r="I59" s="37">
        <f t="shared" si="14"/>
        <v>41193.758146949163</v>
      </c>
      <c r="J59" s="37">
        <f t="shared" si="14"/>
        <v>41193.758146949163</v>
      </c>
      <c r="K59" s="54">
        <f t="shared" si="14"/>
        <v>41193.758146949163</v>
      </c>
    </row>
    <row r="60" spans="2:14" ht="13.5" thickBot="1" x14ac:dyDescent="0.25">
      <c r="B60" s="55" t="s">
        <v>55</v>
      </c>
      <c r="C60" s="56">
        <f t="shared" ref="C60:K60" si="15">C56-C58</f>
        <v>228000</v>
      </c>
      <c r="D60" s="56">
        <f t="shared" si="15"/>
        <v>207326.24185305083</v>
      </c>
      <c r="E60" s="56">
        <f t="shared" si="15"/>
        <v>184791.84547287624</v>
      </c>
      <c r="F60" s="56">
        <f t="shared" si="15"/>
        <v>160229.35341848593</v>
      </c>
      <c r="G60" s="56">
        <f t="shared" si="15"/>
        <v>133456.23707920051</v>
      </c>
      <c r="H60" s="56">
        <f t="shared" si="15"/>
        <v>104273.54026937939</v>
      </c>
      <c r="I60" s="56">
        <f t="shared" si="15"/>
        <v>72464.400746674364</v>
      </c>
      <c r="J60" s="56">
        <f t="shared" si="15"/>
        <v>37792.438666925897</v>
      </c>
      <c r="K60" s="57">
        <f t="shared" si="15"/>
        <v>6.5483618527650833E-11</v>
      </c>
    </row>
    <row r="61" spans="2:14" x14ac:dyDescent="0.2">
      <c r="B61" s="22"/>
      <c r="C61" s="22"/>
      <c r="D61" s="31"/>
      <c r="E61" s="31"/>
      <c r="F61" s="31"/>
      <c r="G61" s="31"/>
      <c r="H61" s="31"/>
    </row>
    <row r="63" spans="2:14" ht="15.75" x14ac:dyDescent="0.25">
      <c r="B63" s="144" t="s">
        <v>1</v>
      </c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</row>
    <row r="64" spans="2:14" ht="13.5" thickBot="1" x14ac:dyDescent="0.25"/>
    <row r="65" spans="2:13" x14ac:dyDescent="0.2">
      <c r="B65" s="150" t="s">
        <v>2</v>
      </c>
      <c r="C65" s="155" t="s">
        <v>3</v>
      </c>
      <c r="D65" s="156"/>
      <c r="E65" s="156"/>
      <c r="F65" s="156"/>
      <c r="G65" s="156"/>
      <c r="H65" s="156"/>
      <c r="I65" s="156"/>
      <c r="J65" s="156"/>
      <c r="K65" s="156"/>
      <c r="L65" s="156"/>
      <c r="M65" s="157"/>
    </row>
    <row r="66" spans="2:13" ht="13.5" thickBot="1" x14ac:dyDescent="0.25">
      <c r="B66" s="151"/>
      <c r="C66" s="42">
        <v>0</v>
      </c>
      <c r="D66" s="42">
        <f>C66+1</f>
        <v>1</v>
      </c>
      <c r="E66" s="42">
        <f t="shared" ref="E66:M66" si="16">D66+1</f>
        <v>2</v>
      </c>
      <c r="F66" s="42">
        <f t="shared" si="16"/>
        <v>3</v>
      </c>
      <c r="G66" s="42">
        <f t="shared" si="16"/>
        <v>4</v>
      </c>
      <c r="H66" s="42">
        <f t="shared" si="16"/>
        <v>5</v>
      </c>
      <c r="I66" s="42">
        <f t="shared" si="16"/>
        <v>6</v>
      </c>
      <c r="J66" s="42">
        <f t="shared" si="16"/>
        <v>7</v>
      </c>
      <c r="K66" s="42">
        <f t="shared" si="16"/>
        <v>8</v>
      </c>
      <c r="L66" s="42">
        <f>K66+1</f>
        <v>9</v>
      </c>
      <c r="M66" s="43">
        <f t="shared" si="16"/>
        <v>10</v>
      </c>
    </row>
    <row r="67" spans="2:13" x14ac:dyDescent="0.2">
      <c r="B67" s="139" t="s">
        <v>4</v>
      </c>
      <c r="C67" s="140"/>
      <c r="D67" s="140"/>
      <c r="E67" s="140"/>
      <c r="F67" s="140"/>
      <c r="G67" s="140"/>
      <c r="H67" s="140"/>
      <c r="I67" s="140"/>
      <c r="J67" s="140"/>
      <c r="K67" s="140"/>
      <c r="L67" s="140"/>
      <c r="M67" s="141"/>
    </row>
    <row r="68" spans="2:13" x14ac:dyDescent="0.2">
      <c r="B68" s="65" t="s">
        <v>72</v>
      </c>
      <c r="C68" s="7">
        <f>-C18</f>
        <v>-380000</v>
      </c>
      <c r="D68" s="7"/>
      <c r="E68" s="7"/>
      <c r="F68" s="7"/>
      <c r="G68" s="7"/>
      <c r="H68" s="7"/>
      <c r="I68" s="18">
        <f>-C17</f>
        <v>-100000</v>
      </c>
      <c r="J68" s="19"/>
      <c r="K68" s="19"/>
      <c r="L68" s="19"/>
      <c r="M68" s="26"/>
    </row>
    <row r="69" spans="2:13" x14ac:dyDescent="0.2">
      <c r="B69" s="65" t="s">
        <v>5</v>
      </c>
      <c r="C69" s="7">
        <f>(D35+D36)/2</f>
        <v>-25000</v>
      </c>
      <c r="D69" s="7">
        <f>(E35+E36)/2-C69</f>
        <v>-3000</v>
      </c>
      <c r="E69" s="7">
        <f>(F35+F36)/2-D69-C69</f>
        <v>-900</v>
      </c>
      <c r="F69" s="7">
        <f>(G35+G36)/2-E69-D69-C69</f>
        <v>-378</v>
      </c>
      <c r="G69" s="7">
        <f>(H35+H36)/2-F69-E69-D69-C69</f>
        <v>-385.56000000000131</v>
      </c>
      <c r="H69" s="7">
        <f>(I35+I36)/2-G69-F69-E69-D69-C69</f>
        <v>-393.27119999999923</v>
      </c>
      <c r="I69" s="7">
        <f>(J35+J36)/2-H69-G69-F69-E69-D69-C69</f>
        <v>-401.13662400000248</v>
      </c>
      <c r="J69" s="7">
        <f>(K35+K36)/2-I69-H69-G69-F69-E69-D69-C69</f>
        <v>-409.15935647999868</v>
      </c>
      <c r="K69" s="7">
        <f>(L35+L36)/2-J69-I69-H69-G69-F69-E69-D69-C69</f>
        <v>-417.34254360960404</v>
      </c>
      <c r="L69" s="7">
        <f>(M35+M36)/2-K69-J69-I69-H69-G69-F69-E69-D69-C69</f>
        <v>-425.68939448178935</v>
      </c>
      <c r="M69" s="90"/>
    </row>
    <row r="70" spans="2:13" x14ac:dyDescent="0.2">
      <c r="B70" s="65" t="s">
        <v>73</v>
      </c>
      <c r="C70" s="7"/>
      <c r="D70" s="7"/>
      <c r="E70" s="7"/>
      <c r="F70" s="7"/>
      <c r="G70" s="7"/>
      <c r="H70" s="7"/>
      <c r="I70" s="24">
        <f>C17*0.5</f>
        <v>50000</v>
      </c>
      <c r="J70" s="19"/>
      <c r="K70" s="19"/>
      <c r="L70" s="19"/>
      <c r="M70" s="26"/>
    </row>
    <row r="71" spans="2:13" x14ac:dyDescent="0.2">
      <c r="B71" s="65" t="s">
        <v>6</v>
      </c>
      <c r="C71" s="7"/>
      <c r="D71" s="7"/>
      <c r="E71" s="7"/>
      <c r="F71" s="7"/>
      <c r="G71" s="7"/>
      <c r="H71" s="7"/>
      <c r="I71" s="19"/>
      <c r="J71" s="19"/>
      <c r="K71" s="19"/>
      <c r="L71" s="19"/>
      <c r="M71" s="96">
        <f>-SUM(C69:L69)</f>
        <v>31710.159118571395</v>
      </c>
    </row>
    <row r="72" spans="2:13" x14ac:dyDescent="0.2">
      <c r="B72" s="65" t="s">
        <v>7</v>
      </c>
      <c r="C72" s="7"/>
      <c r="D72" s="7"/>
      <c r="E72" s="7"/>
      <c r="F72" s="7"/>
      <c r="G72" s="7"/>
      <c r="H72" s="7"/>
      <c r="I72" s="19"/>
      <c r="J72" s="19"/>
      <c r="K72" s="19"/>
      <c r="L72" s="19"/>
      <c r="M72" s="66">
        <f>C15</f>
        <v>80000</v>
      </c>
    </row>
    <row r="73" spans="2:13" x14ac:dyDescent="0.2">
      <c r="B73" s="65" t="s">
        <v>95</v>
      </c>
      <c r="C73" s="7"/>
      <c r="D73" s="7"/>
      <c r="E73" s="7"/>
      <c r="F73" s="7"/>
      <c r="G73" s="7"/>
      <c r="H73" s="7"/>
      <c r="I73" s="19"/>
      <c r="J73" s="19"/>
      <c r="K73" s="19"/>
      <c r="L73" s="19"/>
      <c r="M73" s="97">
        <f>H28</f>
        <v>210000</v>
      </c>
    </row>
    <row r="74" spans="2:13" x14ac:dyDescent="0.2">
      <c r="B74" s="98" t="s">
        <v>87</v>
      </c>
      <c r="C74" s="58">
        <f>SUM(C68:C73)</f>
        <v>-405000</v>
      </c>
      <c r="D74" s="58">
        <f t="shared" ref="D74:M74" si="17">SUM(D68:D73)</f>
        <v>-3000</v>
      </c>
      <c r="E74" s="58">
        <f t="shared" si="17"/>
        <v>-900</v>
      </c>
      <c r="F74" s="58">
        <f t="shared" si="17"/>
        <v>-378</v>
      </c>
      <c r="G74" s="58">
        <f t="shared" si="17"/>
        <v>-385.56000000000131</v>
      </c>
      <c r="H74" s="58">
        <f t="shared" si="17"/>
        <v>-393.27119999999923</v>
      </c>
      <c r="I74" s="58">
        <f t="shared" si="17"/>
        <v>-50401.136624000006</v>
      </c>
      <c r="J74" s="58">
        <f t="shared" si="17"/>
        <v>-409.15935647999868</v>
      </c>
      <c r="K74" s="58">
        <f t="shared" si="17"/>
        <v>-417.34254360960404</v>
      </c>
      <c r="L74" s="58">
        <f t="shared" si="17"/>
        <v>-425.68939448178935</v>
      </c>
      <c r="M74" s="99">
        <f t="shared" si="17"/>
        <v>321710.15911857138</v>
      </c>
    </row>
    <row r="75" spans="2:13" ht="13.5" thickBot="1" x14ac:dyDescent="0.25">
      <c r="B75" s="152" t="s">
        <v>9</v>
      </c>
      <c r="C75" s="153"/>
      <c r="D75" s="153"/>
      <c r="E75" s="153"/>
      <c r="F75" s="153"/>
      <c r="G75" s="153"/>
      <c r="H75" s="154"/>
      <c r="I75" s="25"/>
      <c r="J75" s="25"/>
      <c r="K75" s="25"/>
      <c r="L75" s="25"/>
      <c r="M75" s="90"/>
    </row>
    <row r="76" spans="2:13" x14ac:dyDescent="0.2">
      <c r="B76" s="4" t="s">
        <v>10</v>
      </c>
      <c r="C76" s="5">
        <f t="shared" ref="C76:M76" si="18">C11</f>
        <v>0</v>
      </c>
      <c r="D76" s="5">
        <f t="shared" si="18"/>
        <v>100000</v>
      </c>
      <c r="E76" s="5">
        <f t="shared" si="18"/>
        <v>120000</v>
      </c>
      <c r="F76" s="5">
        <f t="shared" si="18"/>
        <v>126000</v>
      </c>
      <c r="G76" s="5">
        <f t="shared" si="18"/>
        <v>141372</v>
      </c>
      <c r="H76" s="5">
        <f t="shared" si="18"/>
        <v>144199.44</v>
      </c>
      <c r="I76" s="5">
        <f t="shared" si="18"/>
        <v>147083.42880000002</v>
      </c>
      <c r="J76" s="5">
        <f t="shared" si="18"/>
        <v>150025.09737600002</v>
      </c>
      <c r="K76" s="5">
        <f t="shared" si="18"/>
        <v>153025.59932352003</v>
      </c>
      <c r="L76" s="5">
        <f t="shared" si="18"/>
        <v>156086.11130999043</v>
      </c>
      <c r="M76" s="100">
        <f t="shared" si="18"/>
        <v>159207.83353619024</v>
      </c>
    </row>
    <row r="77" spans="2:13" x14ac:dyDescent="0.2">
      <c r="B77" s="4" t="s">
        <v>70</v>
      </c>
      <c r="C77" s="6"/>
      <c r="D77" s="7">
        <f>D36</f>
        <v>-20000</v>
      </c>
      <c r="E77" s="7">
        <f t="shared" ref="E77:M77" si="19">E36</f>
        <v>-20000</v>
      </c>
      <c r="F77" s="7">
        <f t="shared" si="19"/>
        <v>-20000</v>
      </c>
      <c r="G77" s="7">
        <f t="shared" si="19"/>
        <v>-20000</v>
      </c>
      <c r="H77" s="7">
        <f t="shared" si="19"/>
        <v>-20000</v>
      </c>
      <c r="I77" s="7">
        <f t="shared" si="19"/>
        <v>-20000</v>
      </c>
      <c r="J77" s="7">
        <f t="shared" si="19"/>
        <v>-20000</v>
      </c>
      <c r="K77" s="7">
        <f t="shared" si="19"/>
        <v>-20000</v>
      </c>
      <c r="L77" s="7">
        <f t="shared" si="19"/>
        <v>-20000</v>
      </c>
      <c r="M77" s="8">
        <f t="shared" si="19"/>
        <v>-20000</v>
      </c>
    </row>
    <row r="78" spans="2:13" x14ac:dyDescent="0.2">
      <c r="B78" s="4" t="s">
        <v>71</v>
      </c>
      <c r="C78" s="6"/>
      <c r="D78" s="7">
        <f>D35</f>
        <v>-30000</v>
      </c>
      <c r="E78" s="7">
        <f t="shared" ref="E78:M78" si="20">E35</f>
        <v>-36000</v>
      </c>
      <c r="F78" s="7">
        <f t="shared" si="20"/>
        <v>-37800</v>
      </c>
      <c r="G78" s="7">
        <f t="shared" si="20"/>
        <v>-38556</v>
      </c>
      <c r="H78" s="7">
        <f t="shared" si="20"/>
        <v>-39327.120000000003</v>
      </c>
      <c r="I78" s="7">
        <f t="shared" si="20"/>
        <v>-40113.662400000001</v>
      </c>
      <c r="J78" s="7">
        <f t="shared" si="20"/>
        <v>-40915.935648000006</v>
      </c>
      <c r="K78" s="7">
        <f t="shared" si="20"/>
        <v>-41734.254360960003</v>
      </c>
      <c r="L78" s="7">
        <f t="shared" si="20"/>
        <v>-42568.939448179211</v>
      </c>
      <c r="M78" s="8">
        <f t="shared" si="20"/>
        <v>-43420.31823714279</v>
      </c>
    </row>
    <row r="79" spans="2:13" ht="13.5" thickBot="1" x14ac:dyDescent="0.25">
      <c r="B79" s="4" t="s">
        <v>11</v>
      </c>
      <c r="C79" s="9"/>
      <c r="D79" s="10">
        <f t="shared" ref="D79:M79" si="21">D40</f>
        <v>-5950</v>
      </c>
      <c r="E79" s="10">
        <f t="shared" si="21"/>
        <v>-8330</v>
      </c>
      <c r="F79" s="10">
        <f t="shared" si="21"/>
        <v>-9044</v>
      </c>
      <c r="G79" s="10">
        <f t="shared" si="21"/>
        <v>-11528.720000000001</v>
      </c>
      <c r="H79" s="10">
        <f t="shared" si="21"/>
        <v>-11878.294400000002</v>
      </c>
      <c r="I79" s="10">
        <f t="shared" si="21"/>
        <v>-13934.860288000005</v>
      </c>
      <c r="J79" s="10">
        <f t="shared" si="21"/>
        <v>-12598.557493760001</v>
      </c>
      <c r="K79" s="10">
        <f t="shared" si="21"/>
        <v>-12969.528643635203</v>
      </c>
      <c r="L79" s="10">
        <f t="shared" si="21"/>
        <v>-13347.919216507909</v>
      </c>
      <c r="M79" s="101">
        <f t="shared" si="21"/>
        <v>-13733.87760083807</v>
      </c>
    </row>
    <row r="80" spans="2:13" ht="13.5" thickBot="1" x14ac:dyDescent="0.25">
      <c r="B80" s="11" t="s">
        <v>12</v>
      </c>
      <c r="C80" s="12"/>
      <c r="D80" s="12">
        <f>SUM(D76:D79)</f>
        <v>44050</v>
      </c>
      <c r="E80" s="12">
        <f t="shared" ref="E80:M80" si="22">SUM(E76:E79)</f>
        <v>55670</v>
      </c>
      <c r="F80" s="12">
        <f t="shared" si="22"/>
        <v>59156</v>
      </c>
      <c r="G80" s="12">
        <f t="shared" si="22"/>
        <v>71287.28</v>
      </c>
      <c r="H80" s="12">
        <f t="shared" si="22"/>
        <v>72994.025600000008</v>
      </c>
      <c r="I80" s="12">
        <f t="shared" si="22"/>
        <v>73034.906112000011</v>
      </c>
      <c r="J80" s="12">
        <f t="shared" si="22"/>
        <v>76510.604234240003</v>
      </c>
      <c r="K80" s="12">
        <f t="shared" si="22"/>
        <v>78321.816318924815</v>
      </c>
      <c r="L80" s="12">
        <f t="shared" si="22"/>
        <v>80169.252645303306</v>
      </c>
      <c r="M80" s="102">
        <f t="shared" si="22"/>
        <v>82053.637698209393</v>
      </c>
    </row>
    <row r="81" spans="2:13" ht="13.5" thickBot="1" x14ac:dyDescent="0.25">
      <c r="B81" s="13" t="s">
        <v>13</v>
      </c>
      <c r="C81" s="70">
        <f>C74+C80</f>
        <v>-405000</v>
      </c>
      <c r="D81" s="70">
        <f t="shared" ref="D81:M81" si="23">D74+D80</f>
        <v>41050</v>
      </c>
      <c r="E81" s="70">
        <f t="shared" si="23"/>
        <v>54770</v>
      </c>
      <c r="F81" s="70">
        <f t="shared" si="23"/>
        <v>58778</v>
      </c>
      <c r="G81" s="70">
        <f t="shared" si="23"/>
        <v>70901.72</v>
      </c>
      <c r="H81" s="70">
        <f t="shared" si="23"/>
        <v>72600.754400000005</v>
      </c>
      <c r="I81" s="70">
        <f t="shared" si="23"/>
        <v>22633.769488000005</v>
      </c>
      <c r="J81" s="70">
        <f t="shared" si="23"/>
        <v>76101.444877760005</v>
      </c>
      <c r="K81" s="70">
        <f t="shared" si="23"/>
        <v>77904.473775315215</v>
      </c>
      <c r="L81" s="70">
        <f t="shared" si="23"/>
        <v>79743.56325082152</v>
      </c>
      <c r="M81" s="103">
        <f t="shared" si="23"/>
        <v>403763.79681678076</v>
      </c>
    </row>
    <row r="82" spans="2:13" x14ac:dyDescent="0.2">
      <c r="B82" s="146" t="s">
        <v>14</v>
      </c>
      <c r="C82" s="147"/>
      <c r="D82" s="147"/>
      <c r="E82" s="147"/>
      <c r="F82" s="147"/>
      <c r="G82" s="147"/>
      <c r="H82" s="148"/>
      <c r="I82" s="72"/>
      <c r="J82" s="72"/>
      <c r="K82" s="72"/>
      <c r="L82" s="72"/>
      <c r="M82" s="73"/>
    </row>
    <row r="83" spans="2:13" x14ac:dyDescent="0.2">
      <c r="B83" s="65" t="s">
        <v>15</v>
      </c>
      <c r="C83" s="15">
        <f>C56</f>
        <v>228000</v>
      </c>
      <c r="D83" s="15"/>
      <c r="E83" s="15"/>
      <c r="F83" s="15"/>
      <c r="G83" s="15"/>
      <c r="H83" s="15"/>
      <c r="I83" s="19"/>
      <c r="J83" s="19"/>
      <c r="K83" s="19"/>
      <c r="L83" s="19"/>
      <c r="M83" s="26"/>
    </row>
    <row r="84" spans="2:13" x14ac:dyDescent="0.2">
      <c r="B84" s="65" t="s">
        <v>75</v>
      </c>
      <c r="C84" s="15"/>
      <c r="D84" s="15">
        <f>-D58</f>
        <v>-20673.758146949163</v>
      </c>
      <c r="E84" s="15">
        <f t="shared" ref="E84:K84" si="24">-E58</f>
        <v>-22534.396380174589</v>
      </c>
      <c r="F84" s="15">
        <f t="shared" si="24"/>
        <v>-24562.492054390303</v>
      </c>
      <c r="G84" s="15">
        <f t="shared" si="24"/>
        <v>-26773.116339285429</v>
      </c>
      <c r="H84" s="15">
        <f t="shared" si="24"/>
        <v>-29182.696809821118</v>
      </c>
      <c r="I84" s="15">
        <f t="shared" si="24"/>
        <v>-31809.139522705016</v>
      </c>
      <c r="J84" s="15">
        <f t="shared" si="24"/>
        <v>-34671.962079748468</v>
      </c>
      <c r="K84" s="15">
        <f t="shared" si="24"/>
        <v>-37792.438666925831</v>
      </c>
      <c r="L84" s="19"/>
      <c r="M84" s="26"/>
    </row>
    <row r="85" spans="2:13" x14ac:dyDescent="0.2">
      <c r="B85" s="65" t="s">
        <v>16</v>
      </c>
      <c r="C85" s="15"/>
      <c r="D85" s="15">
        <f>-D57</f>
        <v>-20520</v>
      </c>
      <c r="E85" s="15">
        <f t="shared" ref="E85:K85" si="25">-E57</f>
        <v>-18659.361766774575</v>
      </c>
      <c r="F85" s="15">
        <f t="shared" si="25"/>
        <v>-16631.266092558861</v>
      </c>
      <c r="G85" s="15">
        <f t="shared" si="25"/>
        <v>-14420.641807663733</v>
      </c>
      <c r="H85" s="15">
        <f t="shared" si="25"/>
        <v>-12011.061337128045</v>
      </c>
      <c r="I85" s="15">
        <f t="shared" si="25"/>
        <v>-9384.6186242441454</v>
      </c>
      <c r="J85" s="15">
        <f t="shared" si="25"/>
        <v>-6521.796067200693</v>
      </c>
      <c r="K85" s="15">
        <f t="shared" si="25"/>
        <v>-3401.3194800233305</v>
      </c>
      <c r="L85" s="19"/>
      <c r="M85" s="26"/>
    </row>
    <row r="86" spans="2:13" x14ac:dyDescent="0.2">
      <c r="B86" s="65" t="s">
        <v>17</v>
      </c>
      <c r="C86" s="17"/>
      <c r="D86" s="71">
        <f>-D85*0.17</f>
        <v>3488.4</v>
      </c>
      <c r="E86" s="71">
        <f t="shared" ref="E86:K86" si="26">-E85*0.17</f>
        <v>3172.091500351678</v>
      </c>
      <c r="F86" s="71">
        <f t="shared" si="26"/>
        <v>2827.3152357350064</v>
      </c>
      <c r="G86" s="71">
        <f t="shared" si="26"/>
        <v>2451.5091073028348</v>
      </c>
      <c r="H86" s="71">
        <f t="shared" si="26"/>
        <v>2041.8804273117678</v>
      </c>
      <c r="I86" s="71">
        <f t="shared" si="26"/>
        <v>1595.3851661215049</v>
      </c>
      <c r="J86" s="71">
        <f t="shared" si="26"/>
        <v>1108.705331424118</v>
      </c>
      <c r="K86" s="71">
        <f t="shared" si="26"/>
        <v>578.22431160396627</v>
      </c>
      <c r="L86" s="19"/>
      <c r="M86" s="26"/>
    </row>
    <row r="87" spans="2:13" x14ac:dyDescent="0.2">
      <c r="B87" s="51" t="s">
        <v>92</v>
      </c>
      <c r="C87" s="15">
        <f>SUM(C83:C86)</f>
        <v>228000</v>
      </c>
      <c r="D87" s="15">
        <f t="shared" ref="D87:K87" si="27">SUM(D83:D86)</f>
        <v>-37705.358146949162</v>
      </c>
      <c r="E87" s="15">
        <f t="shared" si="27"/>
        <v>-38021.666646597485</v>
      </c>
      <c r="F87" s="15">
        <f t="shared" si="27"/>
        <v>-38366.442911214159</v>
      </c>
      <c r="G87" s="15">
        <f t="shared" si="27"/>
        <v>-38742.249039646325</v>
      </c>
      <c r="H87" s="15">
        <f t="shared" si="27"/>
        <v>-39151.877719637392</v>
      </c>
      <c r="I87" s="15">
        <f t="shared" si="27"/>
        <v>-39598.372980827655</v>
      </c>
      <c r="J87" s="15">
        <f t="shared" si="27"/>
        <v>-40085.052815525043</v>
      </c>
      <c r="K87" s="15">
        <f t="shared" si="27"/>
        <v>-40615.533835345195</v>
      </c>
      <c r="L87" s="19"/>
      <c r="M87" s="26"/>
    </row>
    <row r="88" spans="2:13" ht="13.5" thickBot="1" x14ac:dyDescent="0.25">
      <c r="B88" s="74" t="s">
        <v>19</v>
      </c>
      <c r="C88" s="106">
        <f>C81+C87</f>
        <v>-177000</v>
      </c>
      <c r="D88" s="106">
        <f t="shared" ref="D88:M88" si="28">D81+D87</f>
        <v>3344.6418530508381</v>
      </c>
      <c r="E88" s="106">
        <f t="shared" si="28"/>
        <v>16748.333353402515</v>
      </c>
      <c r="F88" s="106">
        <f t="shared" si="28"/>
        <v>20411.557088785841</v>
      </c>
      <c r="G88" s="106">
        <f t="shared" si="28"/>
        <v>32159.470960353676</v>
      </c>
      <c r="H88" s="106">
        <f t="shared" si="28"/>
        <v>33448.876680362613</v>
      </c>
      <c r="I88" s="106">
        <f t="shared" si="28"/>
        <v>-16964.603492827649</v>
      </c>
      <c r="J88" s="106">
        <f t="shared" si="28"/>
        <v>36016.392062234961</v>
      </c>
      <c r="K88" s="106">
        <f t="shared" si="28"/>
        <v>37288.93993997002</v>
      </c>
      <c r="L88" s="106">
        <f t="shared" si="28"/>
        <v>79743.56325082152</v>
      </c>
      <c r="M88" s="107">
        <f t="shared" si="28"/>
        <v>403763.79681678076</v>
      </c>
    </row>
    <row r="89" spans="2:13" x14ac:dyDescent="0.2">
      <c r="B89" s="16" t="s">
        <v>20</v>
      </c>
      <c r="C89" s="16"/>
      <c r="D89" s="16"/>
      <c r="E89" s="16"/>
      <c r="F89" s="16"/>
      <c r="G89" s="16"/>
      <c r="H89" s="16"/>
    </row>
    <row r="90" spans="2:13" x14ac:dyDescent="0.2">
      <c r="B90" s="16" t="s">
        <v>21</v>
      </c>
      <c r="C90" s="16"/>
      <c r="D90" s="16"/>
      <c r="E90" s="16"/>
      <c r="F90" s="16"/>
      <c r="G90" s="16"/>
      <c r="H90" s="16"/>
    </row>
    <row r="92" spans="2:13" x14ac:dyDescent="0.2">
      <c r="B92" t="s">
        <v>88</v>
      </c>
      <c r="C92" s="114">
        <f>C81+C86</f>
        <v>-405000</v>
      </c>
      <c r="D92" s="114">
        <f t="shared" ref="D92:M92" si="29">D81+D86</f>
        <v>44538.400000000001</v>
      </c>
      <c r="E92" s="114">
        <f t="shared" si="29"/>
        <v>57942.091500351678</v>
      </c>
      <c r="F92" s="114">
        <f t="shared" si="29"/>
        <v>61605.315235735005</v>
      </c>
      <c r="G92" s="114">
        <f t="shared" si="29"/>
        <v>73353.229107302832</v>
      </c>
      <c r="H92" s="114">
        <f t="shared" si="29"/>
        <v>74642.634827311776</v>
      </c>
      <c r="I92" s="114">
        <f t="shared" si="29"/>
        <v>24229.15465412151</v>
      </c>
      <c r="J92" s="114">
        <f t="shared" si="29"/>
        <v>77210.150209184125</v>
      </c>
      <c r="K92" s="114">
        <f t="shared" si="29"/>
        <v>78482.698086919176</v>
      </c>
      <c r="L92" s="114">
        <f t="shared" si="29"/>
        <v>79743.56325082152</v>
      </c>
      <c r="M92" s="114">
        <f t="shared" si="29"/>
        <v>403763.79681678076</v>
      </c>
    </row>
    <row r="95" spans="2:13" x14ac:dyDescent="0.2">
      <c r="B95" t="s">
        <v>89</v>
      </c>
      <c r="C95" s="132">
        <f>IRR(C81:M81)</f>
        <v>0.13717084626668163</v>
      </c>
    </row>
    <row r="97" spans="2:3" x14ac:dyDescent="0.2">
      <c r="B97" t="s">
        <v>90</v>
      </c>
      <c r="C97" s="132">
        <f>IRR(C92:M92)</f>
        <v>0.14249567654445827</v>
      </c>
    </row>
    <row r="100" spans="2:3" x14ac:dyDescent="0.2">
      <c r="C100" s="131">
        <f>IRR(C88:M88)</f>
        <v>0.17232911533535877</v>
      </c>
    </row>
  </sheetData>
  <mergeCells count="15">
    <mergeCell ref="B67:M67"/>
    <mergeCell ref="C32:M32"/>
    <mergeCell ref="B32:B33"/>
    <mergeCell ref="B63:M63"/>
    <mergeCell ref="B82:H82"/>
    <mergeCell ref="B31:H31"/>
    <mergeCell ref="B65:B66"/>
    <mergeCell ref="B75:H75"/>
    <mergeCell ref="C65:M65"/>
    <mergeCell ref="B1:M1"/>
    <mergeCell ref="B2:M2"/>
    <mergeCell ref="C7:M7"/>
    <mergeCell ref="B7:B8"/>
    <mergeCell ref="C54:K54"/>
    <mergeCell ref="B54:B55"/>
  </mergeCell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5"/>
  <sheetViews>
    <sheetView topLeftCell="A58" workbookViewId="0">
      <selection activeCell="I79" sqref="I79"/>
    </sheetView>
  </sheetViews>
  <sheetFormatPr baseColWidth="10" defaultColWidth="9.140625" defaultRowHeight="12.75" x14ac:dyDescent="0.2"/>
  <cols>
    <col min="1" max="1" width="11.42578125" customWidth="1"/>
    <col min="2" max="2" width="31.28515625" customWidth="1"/>
    <col min="3" max="3" width="13.28515625" customWidth="1"/>
    <col min="4" max="4" width="11.7109375" customWidth="1"/>
    <col min="5" max="5" width="13.28515625" customWidth="1"/>
    <col min="6" max="6" width="12.7109375" customWidth="1"/>
    <col min="7" max="7" width="11.85546875" customWidth="1"/>
    <col min="8" max="8" width="12.7109375" customWidth="1"/>
    <col min="9" max="9" width="11.28515625" customWidth="1"/>
    <col min="10" max="10" width="15.140625" customWidth="1"/>
    <col min="11" max="11" width="11.42578125" customWidth="1"/>
    <col min="12" max="12" width="11.140625" customWidth="1"/>
    <col min="13" max="13" width="10.7109375" customWidth="1"/>
  </cols>
  <sheetData>
    <row r="1" spans="2:13" ht="18" x14ac:dyDescent="0.25">
      <c r="B1" s="133" t="s">
        <v>57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</row>
    <row r="2" spans="2:13" ht="15.75" customHeight="1" x14ac:dyDescent="0.25">
      <c r="B2" s="134" t="s">
        <v>58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</row>
    <row r="4" spans="2:13" x14ac:dyDescent="0.2">
      <c r="B4" s="1" t="s">
        <v>59</v>
      </c>
    </row>
    <row r="6" spans="2:13" ht="13.5" thickBot="1" x14ac:dyDescent="0.25">
      <c r="B6" s="1" t="s">
        <v>0</v>
      </c>
    </row>
    <row r="7" spans="2:13" x14ac:dyDescent="0.2">
      <c r="B7" s="137" t="s">
        <v>35</v>
      </c>
      <c r="C7" s="135" t="s">
        <v>3</v>
      </c>
      <c r="D7" s="135"/>
      <c r="E7" s="135"/>
      <c r="F7" s="135"/>
      <c r="G7" s="135"/>
      <c r="H7" s="135"/>
      <c r="I7" s="135"/>
      <c r="J7" s="135"/>
      <c r="K7" s="135"/>
      <c r="L7" s="135"/>
      <c r="M7" s="136"/>
    </row>
    <row r="8" spans="2:13" ht="13.5" thickBot="1" x14ac:dyDescent="0.25">
      <c r="B8" s="138"/>
      <c r="C8" s="42">
        <v>0</v>
      </c>
      <c r="D8" s="42">
        <v>1</v>
      </c>
      <c r="E8" s="42">
        <f>D8+1</f>
        <v>2</v>
      </c>
      <c r="F8" s="42">
        <f t="shared" ref="F8:M8" si="0">E8+1</f>
        <v>3</v>
      </c>
      <c r="G8" s="42">
        <f t="shared" si="0"/>
        <v>4</v>
      </c>
      <c r="H8" s="42">
        <f t="shared" si="0"/>
        <v>5</v>
      </c>
      <c r="I8" s="42">
        <f t="shared" si="0"/>
        <v>6</v>
      </c>
      <c r="J8" s="42">
        <f t="shared" si="0"/>
        <v>7</v>
      </c>
      <c r="K8" s="42">
        <f t="shared" si="0"/>
        <v>8</v>
      </c>
      <c r="L8" s="42">
        <f t="shared" si="0"/>
        <v>9</v>
      </c>
      <c r="M8" s="43">
        <f t="shared" si="0"/>
        <v>10</v>
      </c>
    </row>
    <row r="9" spans="2:13" x14ac:dyDescent="0.2">
      <c r="B9" s="40" t="s">
        <v>60</v>
      </c>
      <c r="C9" s="41"/>
      <c r="D9" s="41">
        <v>1000</v>
      </c>
      <c r="E9" s="41">
        <f>D9*1.2</f>
        <v>1200</v>
      </c>
      <c r="F9" s="41">
        <f>E9*1.05</f>
        <v>1260</v>
      </c>
      <c r="G9" s="44">
        <f>F9*1.02</f>
        <v>1285.2</v>
      </c>
      <c r="H9" s="44">
        <f t="shared" ref="H9:M9" si="1">G9*1.02</f>
        <v>1310.904</v>
      </c>
      <c r="I9" s="44">
        <f t="shared" si="1"/>
        <v>1337.1220800000001</v>
      </c>
      <c r="J9" s="44">
        <f t="shared" si="1"/>
        <v>1363.8645216000002</v>
      </c>
      <c r="K9" s="44">
        <f t="shared" si="1"/>
        <v>1391.1418120320002</v>
      </c>
      <c r="L9" s="44">
        <f t="shared" si="1"/>
        <v>1418.9646482726403</v>
      </c>
      <c r="M9" s="44">
        <f t="shared" si="1"/>
        <v>1447.3439412380931</v>
      </c>
    </row>
    <row r="10" spans="2:13" x14ac:dyDescent="0.2">
      <c r="B10" s="27" t="s">
        <v>61</v>
      </c>
      <c r="C10" s="19"/>
      <c r="D10" s="19">
        <v>100</v>
      </c>
      <c r="E10" s="19">
        <v>100</v>
      </c>
      <c r="F10" s="19">
        <v>100</v>
      </c>
      <c r="G10" s="19">
        <v>110</v>
      </c>
      <c r="H10" s="19">
        <v>110</v>
      </c>
      <c r="I10" s="19">
        <v>110</v>
      </c>
      <c r="J10" s="19">
        <v>110</v>
      </c>
      <c r="K10" s="19">
        <v>110</v>
      </c>
      <c r="L10" s="19">
        <v>110</v>
      </c>
      <c r="M10" s="19">
        <v>110</v>
      </c>
    </row>
    <row r="11" spans="2:13" ht="13.5" thickBot="1" x14ac:dyDescent="0.25">
      <c r="B11" s="28" t="s">
        <v>34</v>
      </c>
      <c r="C11" s="29"/>
      <c r="D11" s="30">
        <f>D9*D10</f>
        <v>100000</v>
      </c>
      <c r="E11" s="30">
        <f t="shared" ref="E11:M11" si="2">E9*E10</f>
        <v>120000</v>
      </c>
      <c r="F11" s="30">
        <f t="shared" si="2"/>
        <v>126000</v>
      </c>
      <c r="G11" s="30">
        <f t="shared" si="2"/>
        <v>141372</v>
      </c>
      <c r="H11" s="30">
        <f t="shared" si="2"/>
        <v>144199.44</v>
      </c>
      <c r="I11" s="30">
        <f t="shared" si="2"/>
        <v>147083.42880000002</v>
      </c>
      <c r="J11" s="30">
        <f t="shared" si="2"/>
        <v>150025.09737600002</v>
      </c>
      <c r="K11" s="30">
        <f t="shared" si="2"/>
        <v>153025.59932352003</v>
      </c>
      <c r="L11" s="30">
        <f t="shared" si="2"/>
        <v>156086.11130999043</v>
      </c>
      <c r="M11" s="30">
        <f t="shared" si="2"/>
        <v>159207.83353619024</v>
      </c>
    </row>
    <row r="12" spans="2:13" x14ac:dyDescent="0.2">
      <c r="B12" s="2"/>
    </row>
    <row r="13" spans="2:13" ht="13.5" thickBot="1" x14ac:dyDescent="0.25">
      <c r="B13" s="22" t="s">
        <v>36</v>
      </c>
    </row>
    <row r="14" spans="2:13" x14ac:dyDescent="0.2">
      <c r="B14" s="78" t="s">
        <v>24</v>
      </c>
      <c r="C14" s="78" t="s">
        <v>31</v>
      </c>
      <c r="D14" s="22"/>
    </row>
    <row r="15" spans="2:13" x14ac:dyDescent="0.2">
      <c r="B15" s="14" t="s">
        <v>28</v>
      </c>
      <c r="C15" s="79">
        <v>80000</v>
      </c>
      <c r="D15" s="61"/>
    </row>
    <row r="16" spans="2:13" x14ac:dyDescent="0.2">
      <c r="B16" s="14" t="s">
        <v>29</v>
      </c>
      <c r="C16" s="79">
        <v>200000</v>
      </c>
      <c r="D16" s="61"/>
    </row>
    <row r="17" spans="2:13" x14ac:dyDescent="0.2">
      <c r="B17" s="14" t="s">
        <v>62</v>
      </c>
      <c r="C17" s="79">
        <f>100000*0.4</f>
        <v>40000</v>
      </c>
      <c r="D17" s="75"/>
    </row>
    <row r="18" spans="2:13" x14ac:dyDescent="0.2">
      <c r="B18" s="82" t="s">
        <v>30</v>
      </c>
      <c r="C18" s="80">
        <f>SUM(C15:C17)</f>
        <v>320000</v>
      </c>
      <c r="D18" s="22"/>
    </row>
    <row r="19" spans="2:13" x14ac:dyDescent="0.2">
      <c r="B19" s="82" t="s">
        <v>37</v>
      </c>
      <c r="C19" s="84">
        <f>-C65</f>
        <v>25000</v>
      </c>
      <c r="D19" s="76"/>
    </row>
    <row r="20" spans="2:13" x14ac:dyDescent="0.2">
      <c r="B20" s="82" t="s">
        <v>38</v>
      </c>
      <c r="C20" s="80">
        <f>C19</f>
        <v>25000</v>
      </c>
      <c r="D20" s="77"/>
    </row>
    <row r="21" spans="2:13" ht="13.5" thickBot="1" x14ac:dyDescent="0.25">
      <c r="B21" s="83" t="s">
        <v>39</v>
      </c>
      <c r="C21" s="81">
        <f>C18+C20</f>
        <v>345000</v>
      </c>
      <c r="D21" s="77"/>
    </row>
    <row r="23" spans="2:13" ht="13.5" thickBot="1" x14ac:dyDescent="0.25">
      <c r="B23" s="1" t="s">
        <v>56</v>
      </c>
    </row>
    <row r="24" spans="2:13" x14ac:dyDescent="0.2">
      <c r="B24" s="62" t="s">
        <v>24</v>
      </c>
      <c r="C24" s="63" t="s">
        <v>25</v>
      </c>
      <c r="D24" s="63" t="s">
        <v>26</v>
      </c>
      <c r="E24" s="63" t="s">
        <v>65</v>
      </c>
      <c r="F24" s="63" t="s">
        <v>66</v>
      </c>
      <c r="G24" s="63" t="s">
        <v>27</v>
      </c>
      <c r="H24" s="64" t="s">
        <v>32</v>
      </c>
      <c r="I24" s="22"/>
      <c r="J24" s="22"/>
    </row>
    <row r="25" spans="2:13" x14ac:dyDescent="0.2">
      <c r="B25" s="65" t="s">
        <v>23</v>
      </c>
      <c r="C25" s="18">
        <f>C16</f>
        <v>200000</v>
      </c>
      <c r="D25" s="19">
        <v>40</v>
      </c>
      <c r="E25" s="19">
        <f>C25*(1/D25)</f>
        <v>5000</v>
      </c>
      <c r="F25" s="19">
        <f>E25</f>
        <v>5000</v>
      </c>
      <c r="G25" s="19">
        <f>F25*10</f>
        <v>50000</v>
      </c>
      <c r="H25" s="66">
        <f>C25-G25</f>
        <v>150000</v>
      </c>
      <c r="I25" s="59"/>
      <c r="J25" s="60"/>
    </row>
    <row r="26" spans="2:13" x14ac:dyDescent="0.2">
      <c r="B26" s="65" t="s">
        <v>63</v>
      </c>
      <c r="C26" s="18">
        <f>C17</f>
        <v>40000</v>
      </c>
      <c r="D26" s="19">
        <v>10</v>
      </c>
      <c r="E26" s="19">
        <f>C26*(1/D26)</f>
        <v>4000</v>
      </c>
      <c r="F26" s="19">
        <v>0</v>
      </c>
      <c r="G26" s="19">
        <f>F26*5</f>
        <v>0</v>
      </c>
      <c r="H26" s="66"/>
      <c r="I26" s="61"/>
      <c r="J26" s="61"/>
    </row>
    <row r="27" spans="2:13" x14ac:dyDescent="0.2">
      <c r="B27" s="65" t="s">
        <v>64</v>
      </c>
      <c r="C27" s="20">
        <v>100000</v>
      </c>
      <c r="D27" s="19">
        <v>10</v>
      </c>
      <c r="E27" s="19">
        <v>0</v>
      </c>
      <c r="F27" s="19">
        <f>C27*(1/D27)</f>
        <v>10000</v>
      </c>
      <c r="G27" s="19">
        <f>F27*4</f>
        <v>40000</v>
      </c>
      <c r="H27" s="66">
        <f>C27-G27</f>
        <v>60000</v>
      </c>
      <c r="I27" s="59"/>
      <c r="J27" s="60"/>
    </row>
    <row r="28" spans="2:13" ht="13.5" thickBot="1" x14ac:dyDescent="0.25">
      <c r="B28" s="104" t="s">
        <v>33</v>
      </c>
      <c r="C28" s="29"/>
      <c r="D28" s="29"/>
      <c r="E28" s="68">
        <f>SUM(E25:E27)</f>
        <v>9000</v>
      </c>
      <c r="F28" s="68">
        <f>SUM(F25:F27)</f>
        <v>15000</v>
      </c>
      <c r="G28" s="29">
        <f>SUM(G25:G27)</f>
        <v>90000</v>
      </c>
      <c r="H28" s="69">
        <f>SUM(H25:H27)</f>
        <v>210000</v>
      </c>
      <c r="I28" s="22"/>
      <c r="J28" s="22"/>
    </row>
    <row r="31" spans="2:13" ht="13.5" thickBot="1" x14ac:dyDescent="0.25">
      <c r="B31" s="149" t="s">
        <v>40</v>
      </c>
      <c r="C31" s="149"/>
      <c r="D31" s="149"/>
      <c r="E31" s="149"/>
      <c r="F31" s="149"/>
      <c r="G31" s="149"/>
      <c r="H31" s="149"/>
    </row>
    <row r="32" spans="2:13" x14ac:dyDescent="0.2">
      <c r="B32" s="142" t="s">
        <v>35</v>
      </c>
      <c r="C32" s="135" t="s">
        <v>46</v>
      </c>
      <c r="D32" s="135"/>
      <c r="E32" s="135"/>
      <c r="F32" s="135"/>
      <c r="G32" s="135"/>
      <c r="H32" s="135"/>
      <c r="I32" s="135"/>
      <c r="J32" s="135"/>
      <c r="K32" s="135"/>
      <c r="L32" s="135"/>
      <c r="M32" s="136"/>
    </row>
    <row r="33" spans="2:13" ht="13.5" thickBot="1" x14ac:dyDescent="0.25">
      <c r="B33" s="143"/>
      <c r="C33" s="42">
        <v>0</v>
      </c>
      <c r="D33" s="42">
        <v>1</v>
      </c>
      <c r="E33" s="42">
        <f>D33+1</f>
        <v>2</v>
      </c>
      <c r="F33" s="42">
        <f t="shared" ref="F33:M33" si="3">E33+1</f>
        <v>3</v>
      </c>
      <c r="G33" s="42">
        <f t="shared" si="3"/>
        <v>4</v>
      </c>
      <c r="H33" s="42">
        <f t="shared" si="3"/>
        <v>5</v>
      </c>
      <c r="I33" s="42">
        <f t="shared" si="3"/>
        <v>6</v>
      </c>
      <c r="J33" s="42">
        <f t="shared" si="3"/>
        <v>7</v>
      </c>
      <c r="K33" s="42">
        <f t="shared" si="3"/>
        <v>8</v>
      </c>
      <c r="L33" s="42">
        <f>K33+1</f>
        <v>9</v>
      </c>
      <c r="M33" s="43">
        <f t="shared" si="3"/>
        <v>10</v>
      </c>
    </row>
    <row r="34" spans="2:13" x14ac:dyDescent="0.2">
      <c r="B34" s="85" t="s">
        <v>41</v>
      </c>
      <c r="C34" s="86"/>
      <c r="D34" s="86">
        <f t="shared" ref="D34:M34" si="4">D11</f>
        <v>100000</v>
      </c>
      <c r="E34" s="86">
        <f t="shared" si="4"/>
        <v>120000</v>
      </c>
      <c r="F34" s="86">
        <f t="shared" si="4"/>
        <v>126000</v>
      </c>
      <c r="G34" s="86">
        <f t="shared" si="4"/>
        <v>141372</v>
      </c>
      <c r="H34" s="86">
        <f t="shared" si="4"/>
        <v>144199.44</v>
      </c>
      <c r="I34" s="86">
        <f t="shared" si="4"/>
        <v>147083.42880000002</v>
      </c>
      <c r="J34" s="86">
        <f t="shared" si="4"/>
        <v>150025.09737600002</v>
      </c>
      <c r="K34" s="86">
        <f t="shared" si="4"/>
        <v>153025.59932352003</v>
      </c>
      <c r="L34" s="86">
        <f t="shared" si="4"/>
        <v>156086.11130999043</v>
      </c>
      <c r="M34" s="87">
        <f t="shared" si="4"/>
        <v>159207.83353619024</v>
      </c>
    </row>
    <row r="35" spans="2:13" x14ac:dyDescent="0.2">
      <c r="B35" s="27" t="s">
        <v>67</v>
      </c>
      <c r="C35" s="19"/>
      <c r="D35" s="19">
        <f>-D9*30</f>
        <v>-30000</v>
      </c>
      <c r="E35" s="19">
        <f t="shared" ref="E35:M35" si="5">-E9*30</f>
        <v>-36000</v>
      </c>
      <c r="F35" s="19">
        <f t="shared" si="5"/>
        <v>-37800</v>
      </c>
      <c r="G35" s="19">
        <f t="shared" si="5"/>
        <v>-38556</v>
      </c>
      <c r="H35" s="19">
        <f t="shared" si="5"/>
        <v>-39327.120000000003</v>
      </c>
      <c r="I35" s="113">
        <f t="shared" si="5"/>
        <v>-40113.662400000001</v>
      </c>
      <c r="J35" s="113">
        <f t="shared" si="5"/>
        <v>-40915.935648000006</v>
      </c>
      <c r="K35" s="113">
        <f t="shared" si="5"/>
        <v>-41734.254360960003</v>
      </c>
      <c r="L35" s="113">
        <f t="shared" si="5"/>
        <v>-42568.939448179211</v>
      </c>
      <c r="M35" s="97">
        <f t="shared" si="5"/>
        <v>-43420.31823714279</v>
      </c>
    </row>
    <row r="36" spans="2:13" x14ac:dyDescent="0.2">
      <c r="B36" s="27" t="s">
        <v>68</v>
      </c>
      <c r="C36" s="19"/>
      <c r="D36" s="19">
        <v>-20000</v>
      </c>
      <c r="E36" s="19">
        <v>-20000</v>
      </c>
      <c r="F36" s="19">
        <v>-20000</v>
      </c>
      <c r="G36" s="19">
        <v>-20000</v>
      </c>
      <c r="H36" s="19">
        <v>-20000</v>
      </c>
      <c r="I36" s="19">
        <v>-20000</v>
      </c>
      <c r="J36" s="19">
        <v>-20000</v>
      </c>
      <c r="K36" s="19">
        <v>-20000</v>
      </c>
      <c r="L36" s="19">
        <v>-20000</v>
      </c>
      <c r="M36" s="26">
        <v>-20000</v>
      </c>
    </row>
    <row r="37" spans="2:13" x14ac:dyDescent="0.2">
      <c r="B37" s="27" t="s">
        <v>22</v>
      </c>
      <c r="C37" s="19"/>
      <c r="D37" s="39">
        <f t="shared" ref="D37:I37" si="6">-$E$28</f>
        <v>-9000</v>
      </c>
      <c r="E37" s="39">
        <f t="shared" si="6"/>
        <v>-9000</v>
      </c>
      <c r="F37" s="39">
        <f t="shared" si="6"/>
        <v>-9000</v>
      </c>
      <c r="G37" s="39">
        <f t="shared" si="6"/>
        <v>-9000</v>
      </c>
      <c r="H37" s="39">
        <f t="shared" si="6"/>
        <v>-9000</v>
      </c>
      <c r="I37" s="39">
        <f t="shared" si="6"/>
        <v>-9000</v>
      </c>
      <c r="J37" s="39">
        <f>-$F$28</f>
        <v>-15000</v>
      </c>
      <c r="K37" s="39">
        <f>-$F$28</f>
        <v>-15000</v>
      </c>
      <c r="L37" s="39">
        <f>-$F$28</f>
        <v>-15000</v>
      </c>
      <c r="M37" s="39">
        <f>-$F$28</f>
        <v>-15000</v>
      </c>
    </row>
    <row r="38" spans="2:13" x14ac:dyDescent="0.2">
      <c r="B38" s="27" t="s">
        <v>69</v>
      </c>
      <c r="C38" s="19"/>
      <c r="D38" s="18"/>
      <c r="E38" s="19"/>
      <c r="F38" s="19"/>
      <c r="G38" s="19"/>
      <c r="H38" s="18"/>
      <c r="I38" s="89">
        <f>C27*0.5-E26*4</f>
        <v>34000</v>
      </c>
      <c r="J38" s="25"/>
      <c r="K38" s="25"/>
      <c r="L38" s="25"/>
      <c r="M38" s="90"/>
    </row>
    <row r="39" spans="2:13" x14ac:dyDescent="0.2">
      <c r="B39" s="91" t="s">
        <v>42</v>
      </c>
      <c r="C39" s="3"/>
      <c r="D39" s="23">
        <f>SUM(D34:D38)</f>
        <v>41000</v>
      </c>
      <c r="E39" s="23">
        <f t="shared" ref="E39:M39" si="7">SUM(E34:E38)</f>
        <v>55000</v>
      </c>
      <c r="F39" s="23">
        <f t="shared" si="7"/>
        <v>59200</v>
      </c>
      <c r="G39" s="23">
        <f t="shared" si="7"/>
        <v>73816</v>
      </c>
      <c r="H39" s="23">
        <f t="shared" si="7"/>
        <v>75872.320000000007</v>
      </c>
      <c r="I39" s="23">
        <f t="shared" si="7"/>
        <v>111969.76640000002</v>
      </c>
      <c r="J39" s="23">
        <f t="shared" si="7"/>
        <v>74109.161728000006</v>
      </c>
      <c r="K39" s="23">
        <f t="shared" si="7"/>
        <v>76291.344962560019</v>
      </c>
      <c r="L39" s="23">
        <f t="shared" si="7"/>
        <v>78517.171861811221</v>
      </c>
      <c r="M39" s="92">
        <f t="shared" si="7"/>
        <v>80787.51529904746</v>
      </c>
    </row>
    <row r="40" spans="2:13" x14ac:dyDescent="0.2">
      <c r="B40" s="27" t="s">
        <v>43</v>
      </c>
      <c r="C40" s="19"/>
      <c r="D40" s="24">
        <f>-D39*0.17</f>
        <v>-6970.0000000000009</v>
      </c>
      <c r="E40" s="24">
        <f t="shared" ref="E40:M40" si="8">-E39*0.17</f>
        <v>-9350</v>
      </c>
      <c r="F40" s="24">
        <f t="shared" si="8"/>
        <v>-10064</v>
      </c>
      <c r="G40" s="24">
        <f t="shared" si="8"/>
        <v>-12548.720000000001</v>
      </c>
      <c r="H40" s="24">
        <f t="shared" si="8"/>
        <v>-12898.294400000002</v>
      </c>
      <c r="I40" s="24">
        <f t="shared" si="8"/>
        <v>-19034.860288000003</v>
      </c>
      <c r="J40" s="24">
        <f t="shared" si="8"/>
        <v>-12598.557493760001</v>
      </c>
      <c r="K40" s="24">
        <f t="shared" si="8"/>
        <v>-12969.528643635203</v>
      </c>
      <c r="L40" s="24">
        <f t="shared" si="8"/>
        <v>-13347.919216507909</v>
      </c>
      <c r="M40" s="93">
        <f t="shared" si="8"/>
        <v>-13733.87760083807</v>
      </c>
    </row>
    <row r="41" spans="2:13" ht="13.5" thickBot="1" x14ac:dyDescent="0.25">
      <c r="B41" s="28" t="s">
        <v>44</v>
      </c>
      <c r="C41" s="29"/>
      <c r="D41" s="94">
        <f>D39+D40</f>
        <v>34030</v>
      </c>
      <c r="E41" s="94">
        <f t="shared" ref="E41:M41" si="9">E39+E40</f>
        <v>45650</v>
      </c>
      <c r="F41" s="94">
        <f t="shared" si="9"/>
        <v>49136</v>
      </c>
      <c r="G41" s="94">
        <f t="shared" si="9"/>
        <v>61267.28</v>
      </c>
      <c r="H41" s="94">
        <f t="shared" si="9"/>
        <v>62974.025600000008</v>
      </c>
      <c r="I41" s="94">
        <f t="shared" si="9"/>
        <v>92934.906112000026</v>
      </c>
      <c r="J41" s="94">
        <f t="shared" si="9"/>
        <v>61510.604234240003</v>
      </c>
      <c r="K41" s="94">
        <f t="shared" si="9"/>
        <v>63321.816318924815</v>
      </c>
      <c r="L41" s="94">
        <f t="shared" si="9"/>
        <v>65169.252645303313</v>
      </c>
      <c r="M41" s="95">
        <f t="shared" si="9"/>
        <v>67053.637698209393</v>
      </c>
    </row>
    <row r="42" spans="2:13" x14ac:dyDescent="0.2">
      <c r="B42" s="22"/>
      <c r="C42" s="22"/>
      <c r="D42" s="31"/>
      <c r="E42" s="31"/>
      <c r="F42" s="31"/>
      <c r="G42" s="31"/>
      <c r="H42" s="31"/>
    </row>
    <row r="43" spans="2:13" x14ac:dyDescent="0.2">
      <c r="B43" s="22"/>
      <c r="C43" s="22"/>
      <c r="D43" s="31"/>
      <c r="E43" s="31"/>
      <c r="F43" s="31"/>
      <c r="G43" s="31"/>
      <c r="H43" s="31"/>
    </row>
    <row r="44" spans="2:13" x14ac:dyDescent="0.2">
      <c r="B44" s="22"/>
      <c r="C44" s="22"/>
      <c r="D44" s="31"/>
      <c r="E44" s="31"/>
      <c r="F44" s="31"/>
      <c r="G44" s="31"/>
      <c r="H44" s="31"/>
    </row>
    <row r="45" spans="2:13" x14ac:dyDescent="0.2">
      <c r="B45" s="22" t="s">
        <v>76</v>
      </c>
      <c r="C45" s="22"/>
      <c r="D45" s="31"/>
      <c r="E45" s="31"/>
      <c r="F45" s="31"/>
      <c r="G45" s="31"/>
      <c r="H45" s="31"/>
    </row>
    <row r="46" spans="2:13" x14ac:dyDescent="0.2">
      <c r="B46" s="22"/>
      <c r="C46" s="22"/>
      <c r="D46" s="31"/>
      <c r="E46" s="31"/>
      <c r="F46" s="31"/>
      <c r="G46" s="31"/>
      <c r="H46" s="31"/>
    </row>
    <row r="47" spans="2:13" x14ac:dyDescent="0.2">
      <c r="B47" s="22" t="s">
        <v>77</v>
      </c>
      <c r="C47" s="22"/>
      <c r="D47" s="31"/>
      <c r="E47" s="31"/>
      <c r="F47" s="31"/>
      <c r="G47" s="31"/>
      <c r="H47" s="31"/>
    </row>
    <row r="48" spans="2:13" x14ac:dyDescent="0.2">
      <c r="B48" s="22"/>
      <c r="C48" s="22"/>
      <c r="D48" s="31"/>
      <c r="E48" s="31"/>
      <c r="F48" s="31"/>
      <c r="G48" s="31"/>
      <c r="H48" s="31"/>
    </row>
    <row r="49" spans="2:14" x14ac:dyDescent="0.2">
      <c r="B49" s="22" t="s">
        <v>78</v>
      </c>
      <c r="C49" s="34">
        <f>100000*0.6</f>
        <v>60000</v>
      </c>
      <c r="D49" s="33"/>
      <c r="E49" s="31"/>
      <c r="F49" s="31"/>
      <c r="G49" s="31"/>
      <c r="H49" s="31"/>
    </row>
    <row r="50" spans="2:14" x14ac:dyDescent="0.2">
      <c r="B50" s="22" t="s">
        <v>49</v>
      </c>
      <c r="C50" s="22">
        <v>6</v>
      </c>
      <c r="D50" s="31"/>
      <c r="E50" s="31"/>
      <c r="F50" s="31"/>
      <c r="G50" s="31"/>
      <c r="H50" s="31"/>
    </row>
    <row r="51" spans="2:14" x14ac:dyDescent="0.2">
      <c r="B51" s="22" t="s">
        <v>79</v>
      </c>
      <c r="C51" s="35">
        <v>15000</v>
      </c>
      <c r="D51" s="31"/>
      <c r="E51" s="31"/>
      <c r="F51" s="31"/>
      <c r="G51" s="31"/>
      <c r="H51" s="31"/>
    </row>
    <row r="52" spans="2:14" ht="13.5" thickBot="1" x14ac:dyDescent="0.25">
      <c r="B52" s="22"/>
      <c r="C52" s="35"/>
      <c r="D52" s="31"/>
      <c r="E52" s="31"/>
      <c r="F52" s="31"/>
      <c r="G52" s="31"/>
      <c r="H52" s="31"/>
    </row>
    <row r="53" spans="2:14" x14ac:dyDescent="0.2">
      <c r="B53" s="137" t="s">
        <v>46</v>
      </c>
      <c r="C53" s="158" t="s">
        <v>46</v>
      </c>
      <c r="D53" s="159"/>
      <c r="E53" s="159"/>
      <c r="F53" s="159"/>
      <c r="G53" s="159"/>
      <c r="H53" s="159"/>
      <c r="I53" s="160"/>
      <c r="J53" s="109"/>
      <c r="K53" s="109"/>
    </row>
    <row r="54" spans="2:14" ht="13.5" thickBot="1" x14ac:dyDescent="0.25">
      <c r="B54" s="138"/>
      <c r="C54" s="42">
        <v>0</v>
      </c>
      <c r="D54" s="46">
        <v>1</v>
      </c>
      <c r="E54" s="46">
        <f>D54+1</f>
        <v>2</v>
      </c>
      <c r="F54" s="46">
        <f>E54+1</f>
        <v>3</v>
      </c>
      <c r="G54" s="46">
        <f>F54+1</f>
        <v>4</v>
      </c>
      <c r="H54" s="46">
        <f>G54+1</f>
        <v>5</v>
      </c>
      <c r="I54" s="47">
        <f>H54+1</f>
        <v>6</v>
      </c>
      <c r="J54" s="45"/>
      <c r="K54" s="45"/>
      <c r="L54" s="45"/>
      <c r="M54" s="45"/>
      <c r="N54" s="45"/>
    </row>
    <row r="55" spans="2:14" x14ac:dyDescent="0.2">
      <c r="B55" s="48" t="s">
        <v>81</v>
      </c>
      <c r="C55" s="105">
        <f>C49</f>
        <v>60000</v>
      </c>
      <c r="D55" s="49"/>
      <c r="E55" s="49"/>
      <c r="F55" s="49"/>
      <c r="G55" s="49"/>
      <c r="H55" s="49"/>
      <c r="I55" s="50"/>
      <c r="J55" s="108"/>
      <c r="K55" s="108"/>
    </row>
    <row r="56" spans="2:14" ht="13.5" thickBot="1" x14ac:dyDescent="0.25">
      <c r="B56" s="55" t="s">
        <v>80</v>
      </c>
      <c r="C56" s="110">
        <v>0</v>
      </c>
      <c r="D56" s="111">
        <f t="shared" ref="D56:I56" si="10">$C$51</f>
        <v>15000</v>
      </c>
      <c r="E56" s="111">
        <f t="shared" si="10"/>
        <v>15000</v>
      </c>
      <c r="F56" s="111">
        <f t="shared" si="10"/>
        <v>15000</v>
      </c>
      <c r="G56" s="111">
        <f t="shared" si="10"/>
        <v>15000</v>
      </c>
      <c r="H56" s="111">
        <f t="shared" si="10"/>
        <v>15000</v>
      </c>
      <c r="I56" s="112">
        <f t="shared" si="10"/>
        <v>15000</v>
      </c>
      <c r="J56" s="108"/>
      <c r="K56" s="108"/>
    </row>
    <row r="57" spans="2:14" x14ac:dyDescent="0.2">
      <c r="B57" s="22"/>
      <c r="C57" s="22"/>
      <c r="D57" s="31"/>
      <c r="E57" s="31"/>
      <c r="F57" s="31"/>
      <c r="G57" s="31"/>
      <c r="H57" s="31"/>
      <c r="J57" s="61"/>
      <c r="K57" s="61"/>
    </row>
    <row r="59" spans="2:14" ht="15.75" x14ac:dyDescent="0.25">
      <c r="B59" s="144" t="s">
        <v>1</v>
      </c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</row>
    <row r="60" spans="2:14" ht="13.5" thickBot="1" x14ac:dyDescent="0.25"/>
    <row r="61" spans="2:14" x14ac:dyDescent="0.2">
      <c r="B61" s="150" t="s">
        <v>2</v>
      </c>
      <c r="C61" s="155" t="s">
        <v>3</v>
      </c>
      <c r="D61" s="156"/>
      <c r="E61" s="156"/>
      <c r="F61" s="156"/>
      <c r="G61" s="156"/>
      <c r="H61" s="156"/>
      <c r="I61" s="156"/>
      <c r="J61" s="156"/>
      <c r="K61" s="156"/>
      <c r="L61" s="156"/>
      <c r="M61" s="157"/>
    </row>
    <row r="62" spans="2:14" ht="13.5" thickBot="1" x14ac:dyDescent="0.25">
      <c r="B62" s="151"/>
      <c r="C62" s="42">
        <v>0</v>
      </c>
      <c r="D62" s="42">
        <f>C62+1</f>
        <v>1</v>
      </c>
      <c r="E62" s="42">
        <f t="shared" ref="E62:M62" si="11">D62+1</f>
        <v>2</v>
      </c>
      <c r="F62" s="42">
        <f t="shared" si="11"/>
        <v>3</v>
      </c>
      <c r="G62" s="42">
        <f t="shared" si="11"/>
        <v>4</v>
      </c>
      <c r="H62" s="42">
        <f t="shared" si="11"/>
        <v>5</v>
      </c>
      <c r="I62" s="42">
        <f t="shared" si="11"/>
        <v>6</v>
      </c>
      <c r="J62" s="42">
        <f t="shared" si="11"/>
        <v>7</v>
      </c>
      <c r="K62" s="42">
        <f t="shared" si="11"/>
        <v>8</v>
      </c>
      <c r="L62" s="42">
        <f>K62+1</f>
        <v>9</v>
      </c>
      <c r="M62" s="43">
        <f t="shared" si="11"/>
        <v>10</v>
      </c>
    </row>
    <row r="63" spans="2:14" x14ac:dyDescent="0.2">
      <c r="B63" s="139" t="s">
        <v>4</v>
      </c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1"/>
    </row>
    <row r="64" spans="2:14" x14ac:dyDescent="0.2">
      <c r="B64" s="65" t="s">
        <v>72</v>
      </c>
      <c r="C64" s="7">
        <f>-C18</f>
        <v>-320000</v>
      </c>
      <c r="D64" s="7"/>
      <c r="E64" s="7"/>
      <c r="F64" s="7"/>
      <c r="G64" s="7"/>
      <c r="H64" s="7"/>
      <c r="I64" s="18">
        <f>-C27</f>
        <v>-100000</v>
      </c>
      <c r="J64" s="19"/>
      <c r="K64" s="19"/>
      <c r="L64" s="19"/>
      <c r="M64" s="26"/>
    </row>
    <row r="65" spans="2:13" x14ac:dyDescent="0.2">
      <c r="B65" s="65" t="s">
        <v>5</v>
      </c>
      <c r="C65" s="7">
        <f>(D35+D36)/2</f>
        <v>-25000</v>
      </c>
      <c r="D65" s="7">
        <f>(E35+E36)/2-C65</f>
        <v>-3000</v>
      </c>
      <c r="E65" s="7">
        <f>(F35+F36)/2-D65-C65</f>
        <v>-900</v>
      </c>
      <c r="F65" s="7">
        <f>(G35+G36)/2-E65-D65-C65</f>
        <v>-378</v>
      </c>
      <c r="G65" s="7">
        <f>(H35+H36)/2-F65-E65-D65-C65</f>
        <v>-385.56000000000131</v>
      </c>
      <c r="H65" s="7">
        <f>(I35+I36)/2-G65-F65-E65-D65-C65</f>
        <v>-393.27119999999923</v>
      </c>
      <c r="I65" s="7">
        <f>(J35+J36)/2-H65-G65-F65-E65-D65-C65</f>
        <v>-401.13662400000248</v>
      </c>
      <c r="J65" s="7">
        <f>(K35+K36)/2-I65-H65-G65-F65-E65-D65-C65</f>
        <v>-409.15935647999868</v>
      </c>
      <c r="K65" s="7">
        <f>(L35+L36)/2-J65-I65-H65-G65-F65-E65-D65-C65</f>
        <v>-417.34254360960404</v>
      </c>
      <c r="L65" s="7">
        <f>(M35+M36)/2-K65-J65-I65-H65-G65-F65-E65-D65-C65</f>
        <v>-425.68939448178935</v>
      </c>
      <c r="M65" s="90"/>
    </row>
    <row r="66" spans="2:13" x14ac:dyDescent="0.2">
      <c r="B66" s="65" t="s">
        <v>73</v>
      </c>
      <c r="C66" s="7"/>
      <c r="D66" s="7"/>
      <c r="E66" s="7"/>
      <c r="F66" s="7"/>
      <c r="G66" s="7"/>
      <c r="H66" s="7"/>
      <c r="I66" s="24">
        <f>C27*0.5</f>
        <v>50000</v>
      </c>
      <c r="J66" s="19"/>
      <c r="K66" s="19"/>
      <c r="L66" s="19"/>
      <c r="M66" s="26"/>
    </row>
    <row r="67" spans="2:13" x14ac:dyDescent="0.2">
      <c r="B67" s="65" t="s">
        <v>6</v>
      </c>
      <c r="C67" s="7"/>
      <c r="D67" s="7"/>
      <c r="E67" s="7"/>
      <c r="F67" s="7"/>
      <c r="G67" s="7"/>
      <c r="H67" s="7"/>
      <c r="I67" s="19"/>
      <c r="J67" s="19"/>
      <c r="K67" s="19"/>
      <c r="L67" s="19"/>
      <c r="M67" s="96">
        <f>-SUM(C65:L65)</f>
        <v>31710.159118571395</v>
      </c>
    </row>
    <row r="68" spans="2:13" x14ac:dyDescent="0.2">
      <c r="B68" s="65" t="s">
        <v>7</v>
      </c>
      <c r="C68" s="7"/>
      <c r="D68" s="7"/>
      <c r="E68" s="7"/>
      <c r="F68" s="7"/>
      <c r="G68" s="7"/>
      <c r="H68" s="7"/>
      <c r="I68" s="19"/>
      <c r="J68" s="19"/>
      <c r="K68" s="19"/>
      <c r="L68" s="19"/>
      <c r="M68" s="66">
        <f>C15</f>
        <v>80000</v>
      </c>
    </row>
    <row r="69" spans="2:13" x14ac:dyDescent="0.2">
      <c r="B69" s="65" t="s">
        <v>74</v>
      </c>
      <c r="C69" s="7"/>
      <c r="D69" s="7"/>
      <c r="E69" s="7"/>
      <c r="F69" s="7"/>
      <c r="G69" s="7"/>
      <c r="H69" s="7"/>
      <c r="I69" s="19"/>
      <c r="J69" s="19"/>
      <c r="K69" s="19"/>
      <c r="L69" s="19"/>
      <c r="M69" s="97">
        <f>H28</f>
        <v>210000</v>
      </c>
    </row>
    <row r="70" spans="2:13" x14ac:dyDescent="0.2">
      <c r="B70" s="98" t="s">
        <v>8</v>
      </c>
      <c r="C70" s="58">
        <f>SUM(C64:C69)</f>
        <v>-345000</v>
      </c>
      <c r="D70" s="58">
        <f t="shared" ref="D70:M70" si="12">SUM(D64:D69)</f>
        <v>-3000</v>
      </c>
      <c r="E70" s="58">
        <f t="shared" si="12"/>
        <v>-900</v>
      </c>
      <c r="F70" s="58">
        <f t="shared" si="12"/>
        <v>-378</v>
      </c>
      <c r="G70" s="58">
        <f t="shared" si="12"/>
        <v>-385.56000000000131</v>
      </c>
      <c r="H70" s="58">
        <f t="shared" si="12"/>
        <v>-393.27119999999923</v>
      </c>
      <c r="I70" s="58">
        <f t="shared" si="12"/>
        <v>-50401.136624000006</v>
      </c>
      <c r="J70" s="58">
        <f t="shared" si="12"/>
        <v>-409.15935647999868</v>
      </c>
      <c r="K70" s="58">
        <f t="shared" si="12"/>
        <v>-417.34254360960404</v>
      </c>
      <c r="L70" s="58">
        <f t="shared" si="12"/>
        <v>-425.68939448178935</v>
      </c>
      <c r="M70" s="99">
        <f t="shared" si="12"/>
        <v>321710.15911857138</v>
      </c>
    </row>
    <row r="71" spans="2:13" ht="13.5" thickBot="1" x14ac:dyDescent="0.25">
      <c r="B71" s="152" t="s">
        <v>9</v>
      </c>
      <c r="C71" s="153"/>
      <c r="D71" s="153"/>
      <c r="E71" s="153"/>
      <c r="F71" s="153"/>
      <c r="G71" s="153"/>
      <c r="H71" s="154"/>
      <c r="I71" s="25"/>
      <c r="J71" s="25"/>
      <c r="K71" s="25"/>
      <c r="L71" s="25"/>
      <c r="M71" s="90"/>
    </row>
    <row r="72" spans="2:13" x14ac:dyDescent="0.2">
      <c r="B72" s="4" t="s">
        <v>10</v>
      </c>
      <c r="C72" s="5">
        <f t="shared" ref="C72:M72" si="13">C11</f>
        <v>0</v>
      </c>
      <c r="D72" s="5">
        <f t="shared" si="13"/>
        <v>100000</v>
      </c>
      <c r="E72" s="5">
        <f t="shared" si="13"/>
        <v>120000</v>
      </c>
      <c r="F72" s="5">
        <f t="shared" si="13"/>
        <v>126000</v>
      </c>
      <c r="G72" s="5">
        <f t="shared" si="13"/>
        <v>141372</v>
      </c>
      <c r="H72" s="5">
        <f t="shared" si="13"/>
        <v>144199.44</v>
      </c>
      <c r="I72" s="5">
        <f t="shared" si="13"/>
        <v>147083.42880000002</v>
      </c>
      <c r="J72" s="5">
        <f t="shared" si="13"/>
        <v>150025.09737600002</v>
      </c>
      <c r="K72" s="5">
        <f t="shared" si="13"/>
        <v>153025.59932352003</v>
      </c>
      <c r="L72" s="5">
        <f t="shared" si="13"/>
        <v>156086.11130999043</v>
      </c>
      <c r="M72" s="100">
        <f t="shared" si="13"/>
        <v>159207.83353619024</v>
      </c>
    </row>
    <row r="73" spans="2:13" x14ac:dyDescent="0.2">
      <c r="B73" s="4" t="s">
        <v>70</v>
      </c>
      <c r="C73" s="6"/>
      <c r="D73" s="7">
        <f t="shared" ref="D73:M73" si="14">D36</f>
        <v>-20000</v>
      </c>
      <c r="E73" s="7">
        <f t="shared" si="14"/>
        <v>-20000</v>
      </c>
      <c r="F73" s="7">
        <f t="shared" si="14"/>
        <v>-20000</v>
      </c>
      <c r="G73" s="7">
        <f t="shared" si="14"/>
        <v>-20000</v>
      </c>
      <c r="H73" s="7">
        <f t="shared" si="14"/>
        <v>-20000</v>
      </c>
      <c r="I73" s="7">
        <f t="shared" si="14"/>
        <v>-20000</v>
      </c>
      <c r="J73" s="7">
        <f t="shared" si="14"/>
        <v>-20000</v>
      </c>
      <c r="K73" s="7">
        <f t="shared" si="14"/>
        <v>-20000</v>
      </c>
      <c r="L73" s="7">
        <f t="shared" si="14"/>
        <v>-20000</v>
      </c>
      <c r="M73" s="8">
        <f t="shared" si="14"/>
        <v>-20000</v>
      </c>
    </row>
    <row r="74" spans="2:13" x14ac:dyDescent="0.2">
      <c r="B74" s="4" t="s">
        <v>71</v>
      </c>
      <c r="C74" s="6"/>
      <c r="D74" s="7">
        <f t="shared" ref="D74:M74" si="15">D35</f>
        <v>-30000</v>
      </c>
      <c r="E74" s="7">
        <f t="shared" si="15"/>
        <v>-36000</v>
      </c>
      <c r="F74" s="7">
        <f t="shared" si="15"/>
        <v>-37800</v>
      </c>
      <c r="G74" s="7">
        <f t="shared" si="15"/>
        <v>-38556</v>
      </c>
      <c r="H74" s="7">
        <f t="shared" si="15"/>
        <v>-39327.120000000003</v>
      </c>
      <c r="I74" s="7">
        <f t="shared" si="15"/>
        <v>-40113.662400000001</v>
      </c>
      <c r="J74" s="7">
        <f t="shared" si="15"/>
        <v>-40915.935648000006</v>
      </c>
      <c r="K74" s="7">
        <f t="shared" si="15"/>
        <v>-41734.254360960003</v>
      </c>
      <c r="L74" s="7">
        <f t="shared" si="15"/>
        <v>-42568.939448179211</v>
      </c>
      <c r="M74" s="8">
        <f t="shared" si="15"/>
        <v>-43420.31823714279</v>
      </c>
    </row>
    <row r="75" spans="2:13" ht="13.5" thickBot="1" x14ac:dyDescent="0.25">
      <c r="B75" s="4" t="s">
        <v>11</v>
      </c>
      <c r="C75" s="9"/>
      <c r="D75" s="10">
        <f t="shared" ref="D75:M75" si="16">D40</f>
        <v>-6970.0000000000009</v>
      </c>
      <c r="E75" s="10">
        <f t="shared" si="16"/>
        <v>-9350</v>
      </c>
      <c r="F75" s="10">
        <f t="shared" si="16"/>
        <v>-10064</v>
      </c>
      <c r="G75" s="10">
        <f t="shared" si="16"/>
        <v>-12548.720000000001</v>
      </c>
      <c r="H75" s="10">
        <f t="shared" si="16"/>
        <v>-12898.294400000002</v>
      </c>
      <c r="I75" s="10">
        <f t="shared" si="16"/>
        <v>-19034.860288000003</v>
      </c>
      <c r="J75" s="10">
        <f t="shared" si="16"/>
        <v>-12598.557493760001</v>
      </c>
      <c r="K75" s="10">
        <f t="shared" si="16"/>
        <v>-12969.528643635203</v>
      </c>
      <c r="L75" s="10">
        <f t="shared" si="16"/>
        <v>-13347.919216507909</v>
      </c>
      <c r="M75" s="101">
        <f t="shared" si="16"/>
        <v>-13733.87760083807</v>
      </c>
    </row>
    <row r="76" spans="2:13" ht="13.5" thickBot="1" x14ac:dyDescent="0.25">
      <c r="B76" s="11" t="s">
        <v>12</v>
      </c>
      <c r="C76" s="12"/>
      <c r="D76" s="12">
        <f>SUM(D72:D75)</f>
        <v>43030</v>
      </c>
      <c r="E76" s="12">
        <f t="shared" ref="E76:M76" si="17">SUM(E72:E75)</f>
        <v>54650</v>
      </c>
      <c r="F76" s="12">
        <f t="shared" si="17"/>
        <v>58136</v>
      </c>
      <c r="G76" s="12">
        <f t="shared" si="17"/>
        <v>70267.28</v>
      </c>
      <c r="H76" s="12">
        <f t="shared" si="17"/>
        <v>71974.025600000008</v>
      </c>
      <c r="I76" s="12">
        <f t="shared" si="17"/>
        <v>67934.906112000026</v>
      </c>
      <c r="J76" s="12">
        <f t="shared" si="17"/>
        <v>76510.604234240003</v>
      </c>
      <c r="K76" s="12">
        <f t="shared" si="17"/>
        <v>78321.816318924815</v>
      </c>
      <c r="L76" s="12">
        <f t="shared" si="17"/>
        <v>80169.252645303306</v>
      </c>
      <c r="M76" s="102">
        <f t="shared" si="17"/>
        <v>82053.637698209393</v>
      </c>
    </row>
    <row r="77" spans="2:13" ht="13.5" thickBot="1" x14ac:dyDescent="0.25">
      <c r="B77" s="13" t="s">
        <v>13</v>
      </c>
      <c r="C77" s="70">
        <f>C70+C76</f>
        <v>-345000</v>
      </c>
      <c r="D77" s="70">
        <f t="shared" ref="D77:M77" si="18">D70+D76</f>
        <v>40030</v>
      </c>
      <c r="E77" s="70">
        <f t="shared" si="18"/>
        <v>53750</v>
      </c>
      <c r="F77" s="70">
        <f t="shared" si="18"/>
        <v>57758</v>
      </c>
      <c r="G77" s="70">
        <f t="shared" si="18"/>
        <v>69881.72</v>
      </c>
      <c r="H77" s="70">
        <f t="shared" si="18"/>
        <v>71580.754400000005</v>
      </c>
      <c r="I77" s="70">
        <f t="shared" si="18"/>
        <v>17533.76948800002</v>
      </c>
      <c r="J77" s="70">
        <f t="shared" si="18"/>
        <v>76101.444877760005</v>
      </c>
      <c r="K77" s="70">
        <f t="shared" si="18"/>
        <v>77904.473775315215</v>
      </c>
      <c r="L77" s="70">
        <f t="shared" si="18"/>
        <v>79743.56325082152</v>
      </c>
      <c r="M77" s="103">
        <f t="shared" si="18"/>
        <v>403763.79681678076</v>
      </c>
    </row>
    <row r="78" spans="2:13" x14ac:dyDescent="0.2">
      <c r="B78" s="146" t="s">
        <v>14</v>
      </c>
      <c r="C78" s="147"/>
      <c r="D78" s="147"/>
      <c r="E78" s="147"/>
      <c r="F78" s="147"/>
      <c r="G78" s="147"/>
      <c r="H78" s="148"/>
      <c r="I78" s="72"/>
      <c r="J78" s="72"/>
      <c r="K78" s="72"/>
      <c r="L78" s="72"/>
      <c r="M78" s="73"/>
    </row>
    <row r="79" spans="2:13" x14ac:dyDescent="0.2">
      <c r="B79" s="65" t="s">
        <v>82</v>
      </c>
      <c r="C79" s="15"/>
      <c r="D79" s="15">
        <f t="shared" ref="D79:I79" si="19">-D56</f>
        <v>-15000</v>
      </c>
      <c r="E79" s="15">
        <f t="shared" si="19"/>
        <v>-15000</v>
      </c>
      <c r="F79" s="15">
        <f t="shared" si="19"/>
        <v>-15000</v>
      </c>
      <c r="G79" s="15">
        <f t="shared" si="19"/>
        <v>-15000</v>
      </c>
      <c r="H79" s="15">
        <f t="shared" si="19"/>
        <v>-15000</v>
      </c>
      <c r="I79" s="15">
        <f t="shared" si="19"/>
        <v>-15000</v>
      </c>
      <c r="J79" s="15"/>
      <c r="K79" s="15"/>
      <c r="L79" s="19"/>
      <c r="M79" s="26"/>
    </row>
    <row r="80" spans="2:13" x14ac:dyDescent="0.2">
      <c r="B80" s="65" t="s">
        <v>83</v>
      </c>
      <c r="C80" s="17"/>
      <c r="D80" s="71">
        <f t="shared" ref="D80:I80" si="20">-D79*0.17</f>
        <v>2550</v>
      </c>
      <c r="E80" s="71">
        <f t="shared" si="20"/>
        <v>2550</v>
      </c>
      <c r="F80" s="71">
        <f t="shared" si="20"/>
        <v>2550</v>
      </c>
      <c r="G80" s="71">
        <f t="shared" si="20"/>
        <v>2550</v>
      </c>
      <c r="H80" s="71">
        <f t="shared" si="20"/>
        <v>2550</v>
      </c>
      <c r="I80" s="71">
        <f t="shared" si="20"/>
        <v>2550</v>
      </c>
      <c r="J80" s="71"/>
      <c r="K80" s="71"/>
      <c r="L80" s="19"/>
      <c r="M80" s="26"/>
    </row>
    <row r="81" spans="2:13" x14ac:dyDescent="0.2">
      <c r="B81" s="51" t="s">
        <v>18</v>
      </c>
      <c r="C81" s="15">
        <f t="shared" ref="C81:I81" si="21">SUM(C79:C80)</f>
        <v>0</v>
      </c>
      <c r="D81" s="15">
        <f t="shared" si="21"/>
        <v>-12450</v>
      </c>
      <c r="E81" s="15">
        <f t="shared" si="21"/>
        <v>-12450</v>
      </c>
      <c r="F81" s="15">
        <f t="shared" si="21"/>
        <v>-12450</v>
      </c>
      <c r="G81" s="15">
        <f t="shared" si="21"/>
        <v>-12450</v>
      </c>
      <c r="H81" s="15">
        <f t="shared" si="21"/>
        <v>-12450</v>
      </c>
      <c r="I81" s="15">
        <f t="shared" si="21"/>
        <v>-12450</v>
      </c>
      <c r="J81" s="15"/>
      <c r="K81" s="15"/>
      <c r="L81" s="19"/>
      <c r="M81" s="26"/>
    </row>
    <row r="82" spans="2:13" ht="13.5" thickBot="1" x14ac:dyDescent="0.25">
      <c r="B82" s="74" t="s">
        <v>19</v>
      </c>
      <c r="C82" s="106">
        <f t="shared" ref="C82:M82" si="22">C77+C81</f>
        <v>-345000</v>
      </c>
      <c r="D82" s="106">
        <f t="shared" si="22"/>
        <v>27580</v>
      </c>
      <c r="E82" s="106">
        <f t="shared" si="22"/>
        <v>41300</v>
      </c>
      <c r="F82" s="106">
        <f t="shared" si="22"/>
        <v>45308</v>
      </c>
      <c r="G82" s="106">
        <f t="shared" si="22"/>
        <v>57431.72</v>
      </c>
      <c r="H82" s="106">
        <f t="shared" si="22"/>
        <v>59130.754400000005</v>
      </c>
      <c r="I82" s="106">
        <f t="shared" si="22"/>
        <v>5083.7694880000199</v>
      </c>
      <c r="J82" s="106">
        <f t="shared" si="22"/>
        <v>76101.444877760005</v>
      </c>
      <c r="K82" s="106">
        <f t="shared" si="22"/>
        <v>77904.473775315215</v>
      </c>
      <c r="L82" s="106">
        <f t="shared" si="22"/>
        <v>79743.56325082152</v>
      </c>
      <c r="M82" s="107">
        <f t="shared" si="22"/>
        <v>403763.79681678076</v>
      </c>
    </row>
    <row r="83" spans="2:13" x14ac:dyDescent="0.2">
      <c r="B83" s="16" t="s">
        <v>20</v>
      </c>
      <c r="C83" s="16"/>
      <c r="D83" s="16"/>
      <c r="E83" s="16"/>
      <c r="F83" s="16"/>
      <c r="G83" s="16"/>
      <c r="H83" s="16"/>
    </row>
    <row r="84" spans="2:13" x14ac:dyDescent="0.2">
      <c r="B84" s="16" t="s">
        <v>21</v>
      </c>
      <c r="C84" s="16"/>
      <c r="D84" s="16"/>
      <c r="E84" s="16"/>
      <c r="F84" s="16"/>
      <c r="G84" s="16"/>
      <c r="H84" s="16"/>
    </row>
    <row r="85" spans="2:13" x14ac:dyDescent="0.2">
      <c r="B85" t="s">
        <v>93</v>
      </c>
      <c r="D85" s="114">
        <f>D75+D80</f>
        <v>-4420.0000000000009</v>
      </c>
      <c r="E85" s="114">
        <f t="shared" ref="E85:M85" si="23">E75+E80</f>
        <v>-6800</v>
      </c>
      <c r="F85" s="114">
        <f t="shared" si="23"/>
        <v>-7514</v>
      </c>
      <c r="G85" s="114">
        <f t="shared" si="23"/>
        <v>-9998.7200000000012</v>
      </c>
      <c r="H85" s="114">
        <f t="shared" si="23"/>
        <v>-10348.294400000002</v>
      </c>
      <c r="I85" s="114">
        <f t="shared" si="23"/>
        <v>-16484.860288000003</v>
      </c>
      <c r="J85" s="114">
        <f t="shared" si="23"/>
        <v>-12598.557493760001</v>
      </c>
      <c r="K85" s="114">
        <f t="shared" si="23"/>
        <v>-12969.528643635203</v>
      </c>
      <c r="L85" s="114">
        <f t="shared" si="23"/>
        <v>-13347.919216507909</v>
      </c>
      <c r="M85" s="114">
        <f t="shared" si="23"/>
        <v>-13733.87760083807</v>
      </c>
    </row>
  </sheetData>
  <mergeCells count="15">
    <mergeCell ref="B71:H71"/>
    <mergeCell ref="B78:H78"/>
    <mergeCell ref="C53:I53"/>
    <mergeCell ref="B53:B54"/>
    <mergeCell ref="B59:M59"/>
    <mergeCell ref="B61:B62"/>
    <mergeCell ref="C61:M61"/>
    <mergeCell ref="B63:M63"/>
    <mergeCell ref="B1:M1"/>
    <mergeCell ref="B2:M2"/>
    <mergeCell ref="B7:B8"/>
    <mergeCell ref="C7:M7"/>
    <mergeCell ref="B31:H31"/>
    <mergeCell ref="B32:B33"/>
    <mergeCell ref="C32:M32"/>
  </mergeCell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3"/>
  <sheetViews>
    <sheetView tabSelected="1" topLeftCell="A61" workbookViewId="0">
      <selection activeCell="I88" sqref="I88"/>
    </sheetView>
  </sheetViews>
  <sheetFormatPr baseColWidth="10" defaultColWidth="9.140625" defaultRowHeight="12.75" x14ac:dyDescent="0.2"/>
  <cols>
    <col min="1" max="1" width="11.42578125" customWidth="1"/>
    <col min="2" max="2" width="31.28515625" customWidth="1"/>
    <col min="3" max="3" width="13.28515625" customWidth="1"/>
    <col min="4" max="4" width="11.7109375" customWidth="1"/>
    <col min="5" max="5" width="13.28515625" customWidth="1"/>
    <col min="6" max="6" width="12.7109375" customWidth="1"/>
    <col min="7" max="7" width="11.85546875" customWidth="1"/>
    <col min="8" max="8" width="12.7109375" customWidth="1"/>
    <col min="9" max="9" width="11.28515625" customWidth="1"/>
    <col min="10" max="10" width="15.140625" customWidth="1"/>
    <col min="11" max="11" width="11.42578125" customWidth="1"/>
    <col min="12" max="12" width="11.140625" customWidth="1"/>
    <col min="13" max="13" width="10.7109375" customWidth="1"/>
  </cols>
  <sheetData>
    <row r="1" spans="2:13" ht="18" x14ac:dyDescent="0.25">
      <c r="B1" s="133" t="s">
        <v>57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</row>
    <row r="2" spans="2:13" ht="15.75" customHeight="1" x14ac:dyDescent="0.25">
      <c r="B2" s="134" t="s">
        <v>58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</row>
    <row r="4" spans="2:13" x14ac:dyDescent="0.2">
      <c r="B4" s="1" t="s">
        <v>59</v>
      </c>
    </row>
    <row r="6" spans="2:13" ht="13.5" thickBot="1" x14ac:dyDescent="0.25">
      <c r="B6" s="1" t="s">
        <v>0</v>
      </c>
    </row>
    <row r="7" spans="2:13" x14ac:dyDescent="0.2">
      <c r="B7" s="137" t="s">
        <v>35</v>
      </c>
      <c r="C7" s="135" t="s">
        <v>3</v>
      </c>
      <c r="D7" s="135"/>
      <c r="E7" s="135"/>
      <c r="F7" s="135"/>
      <c r="G7" s="135"/>
      <c r="H7" s="135"/>
      <c r="I7" s="135"/>
      <c r="J7" s="135"/>
      <c r="K7" s="135"/>
      <c r="L7" s="135"/>
      <c r="M7" s="136"/>
    </row>
    <row r="8" spans="2:13" ht="13.5" thickBot="1" x14ac:dyDescent="0.25">
      <c r="B8" s="138"/>
      <c r="C8" s="42">
        <v>0</v>
      </c>
      <c r="D8" s="42">
        <v>1</v>
      </c>
      <c r="E8" s="42">
        <f>D8+1</f>
        <v>2</v>
      </c>
      <c r="F8" s="42">
        <f t="shared" ref="F8:M8" si="0">E8+1</f>
        <v>3</v>
      </c>
      <c r="G8" s="42">
        <f t="shared" si="0"/>
        <v>4</v>
      </c>
      <c r="H8" s="42">
        <f t="shared" si="0"/>
        <v>5</v>
      </c>
      <c r="I8" s="42">
        <f t="shared" si="0"/>
        <v>6</v>
      </c>
      <c r="J8" s="42">
        <f t="shared" si="0"/>
        <v>7</v>
      </c>
      <c r="K8" s="42">
        <f t="shared" si="0"/>
        <v>8</v>
      </c>
      <c r="L8" s="42">
        <f t="shared" si="0"/>
        <v>9</v>
      </c>
      <c r="M8" s="43">
        <f t="shared" si="0"/>
        <v>10</v>
      </c>
    </row>
    <row r="9" spans="2:13" x14ac:dyDescent="0.2">
      <c r="B9" s="40" t="s">
        <v>60</v>
      </c>
      <c r="C9" s="41"/>
      <c r="D9" s="41">
        <v>1000</v>
      </c>
      <c r="E9" s="41">
        <f>D9*1.2</f>
        <v>1200</v>
      </c>
      <c r="F9" s="41">
        <f>E9*1.05</f>
        <v>1260</v>
      </c>
      <c r="G9" s="44">
        <f>F9*1.02</f>
        <v>1285.2</v>
      </c>
      <c r="H9" s="44">
        <f t="shared" ref="H9:M9" si="1">G9*1.02</f>
        <v>1310.904</v>
      </c>
      <c r="I9" s="44">
        <f t="shared" si="1"/>
        <v>1337.1220800000001</v>
      </c>
      <c r="J9" s="44">
        <f t="shared" si="1"/>
        <v>1363.8645216000002</v>
      </c>
      <c r="K9" s="44">
        <f t="shared" si="1"/>
        <v>1391.1418120320002</v>
      </c>
      <c r="L9" s="44">
        <f t="shared" si="1"/>
        <v>1418.9646482726403</v>
      </c>
      <c r="M9" s="44">
        <f t="shared" si="1"/>
        <v>1447.3439412380931</v>
      </c>
    </row>
    <row r="10" spans="2:13" x14ac:dyDescent="0.2">
      <c r="B10" s="27" t="s">
        <v>61</v>
      </c>
      <c r="C10" s="19"/>
      <c r="D10" s="19">
        <v>100</v>
      </c>
      <c r="E10" s="19">
        <v>100</v>
      </c>
      <c r="F10" s="19">
        <v>100</v>
      </c>
      <c r="G10" s="19">
        <v>110</v>
      </c>
      <c r="H10" s="19">
        <v>110</v>
      </c>
      <c r="I10" s="19">
        <v>110</v>
      </c>
      <c r="J10" s="19">
        <v>110</v>
      </c>
      <c r="K10" s="19">
        <v>110</v>
      </c>
      <c r="L10" s="19">
        <v>110</v>
      </c>
      <c r="M10" s="19">
        <v>110</v>
      </c>
    </row>
    <row r="11" spans="2:13" ht="13.5" thickBot="1" x14ac:dyDescent="0.25">
      <c r="B11" s="28" t="s">
        <v>34</v>
      </c>
      <c r="C11" s="29"/>
      <c r="D11" s="30">
        <f>D9*D10</f>
        <v>100000</v>
      </c>
      <c r="E11" s="30">
        <f t="shared" ref="E11:M11" si="2">E9*E10</f>
        <v>120000</v>
      </c>
      <c r="F11" s="30">
        <f t="shared" si="2"/>
        <v>126000</v>
      </c>
      <c r="G11" s="30">
        <f t="shared" si="2"/>
        <v>141372</v>
      </c>
      <c r="H11" s="30">
        <f t="shared" si="2"/>
        <v>144199.44</v>
      </c>
      <c r="I11" s="30">
        <f t="shared" si="2"/>
        <v>147083.42880000002</v>
      </c>
      <c r="J11" s="30">
        <f t="shared" si="2"/>
        <v>150025.09737600002</v>
      </c>
      <c r="K11" s="30">
        <f t="shared" si="2"/>
        <v>153025.59932352003</v>
      </c>
      <c r="L11" s="30">
        <f t="shared" si="2"/>
        <v>156086.11130999043</v>
      </c>
      <c r="M11" s="30">
        <f t="shared" si="2"/>
        <v>159207.83353619024</v>
      </c>
    </row>
    <row r="12" spans="2:13" x14ac:dyDescent="0.2">
      <c r="B12" s="2"/>
    </row>
    <row r="13" spans="2:13" ht="13.5" thickBot="1" x14ac:dyDescent="0.25">
      <c r="B13" s="22" t="s">
        <v>36</v>
      </c>
    </row>
    <row r="14" spans="2:13" x14ac:dyDescent="0.2">
      <c r="B14" s="78" t="s">
        <v>24</v>
      </c>
      <c r="C14" s="78" t="s">
        <v>31</v>
      </c>
      <c r="D14" s="22"/>
    </row>
    <row r="15" spans="2:13" x14ac:dyDescent="0.2">
      <c r="B15" s="14" t="s">
        <v>28</v>
      </c>
      <c r="C15" s="79">
        <v>80000</v>
      </c>
      <c r="D15" s="61"/>
    </row>
    <row r="16" spans="2:13" x14ac:dyDescent="0.2">
      <c r="B16" s="14" t="s">
        <v>29</v>
      </c>
      <c r="C16" s="79">
        <v>200000</v>
      </c>
      <c r="D16" s="61"/>
    </row>
    <row r="17" spans="2:13" x14ac:dyDescent="0.2">
      <c r="B17" s="14" t="s">
        <v>62</v>
      </c>
      <c r="C17" s="79">
        <v>100000</v>
      </c>
      <c r="D17" s="75"/>
    </row>
    <row r="18" spans="2:13" x14ac:dyDescent="0.2">
      <c r="B18" s="82" t="s">
        <v>30</v>
      </c>
      <c r="C18" s="80">
        <f>SUM(C15:C17)</f>
        <v>380000</v>
      </c>
      <c r="D18" s="22"/>
    </row>
    <row r="19" spans="2:13" x14ac:dyDescent="0.2">
      <c r="B19" s="82" t="s">
        <v>37</v>
      </c>
      <c r="C19" s="84">
        <f>-C69</f>
        <v>25000</v>
      </c>
      <c r="D19" s="76"/>
    </row>
    <row r="20" spans="2:13" x14ac:dyDescent="0.2">
      <c r="B20" s="82" t="s">
        <v>38</v>
      </c>
      <c r="C20" s="80">
        <f>C19</f>
        <v>25000</v>
      </c>
      <c r="D20" s="77"/>
    </row>
    <row r="21" spans="2:13" ht="13.5" thickBot="1" x14ac:dyDescent="0.25">
      <c r="B21" s="83" t="s">
        <v>39</v>
      </c>
      <c r="C21" s="81">
        <f>C18+C20</f>
        <v>405000</v>
      </c>
      <c r="D21" s="77"/>
    </row>
    <row r="23" spans="2:13" ht="13.5" thickBot="1" x14ac:dyDescent="0.25">
      <c r="B23" s="1" t="s">
        <v>56</v>
      </c>
    </row>
    <row r="24" spans="2:13" x14ac:dyDescent="0.2">
      <c r="B24" s="62" t="s">
        <v>24</v>
      </c>
      <c r="C24" s="63" t="s">
        <v>25</v>
      </c>
      <c r="D24" s="63" t="s">
        <v>26</v>
      </c>
      <c r="E24" s="63" t="s">
        <v>65</v>
      </c>
      <c r="F24" s="63" t="s">
        <v>66</v>
      </c>
      <c r="G24" s="63" t="s">
        <v>27</v>
      </c>
      <c r="H24" s="64" t="s">
        <v>32</v>
      </c>
      <c r="I24" s="22"/>
      <c r="J24" s="22"/>
    </row>
    <row r="25" spans="2:13" x14ac:dyDescent="0.2">
      <c r="B25" s="65" t="s">
        <v>23</v>
      </c>
      <c r="C25" s="18">
        <f>C16</f>
        <v>200000</v>
      </c>
      <c r="D25" s="19">
        <v>40</v>
      </c>
      <c r="E25" s="19">
        <f>C25*(1/D25)</f>
        <v>5000</v>
      </c>
      <c r="F25" s="19">
        <f>E25</f>
        <v>5000</v>
      </c>
      <c r="G25" s="19">
        <f>F25*10</f>
        <v>50000</v>
      </c>
      <c r="H25" s="66">
        <f>C25-G25</f>
        <v>150000</v>
      </c>
      <c r="I25" s="59"/>
      <c r="J25" s="60"/>
    </row>
    <row r="26" spans="2:13" x14ac:dyDescent="0.2">
      <c r="B26" s="65" t="s">
        <v>63</v>
      </c>
      <c r="C26" s="18">
        <f>C17</f>
        <v>100000</v>
      </c>
      <c r="D26" s="19">
        <v>10</v>
      </c>
      <c r="E26" s="19">
        <f>C26*(1/D26)</f>
        <v>10000</v>
      </c>
      <c r="F26" s="19">
        <v>0</v>
      </c>
      <c r="G26" s="19">
        <f>F26*5</f>
        <v>0</v>
      </c>
      <c r="H26" s="66"/>
      <c r="I26" s="61"/>
      <c r="J26" s="61"/>
    </row>
    <row r="27" spans="2:13" x14ac:dyDescent="0.2">
      <c r="B27" s="65" t="s">
        <v>64</v>
      </c>
      <c r="C27" s="20">
        <v>100000</v>
      </c>
      <c r="D27" s="19">
        <v>10</v>
      </c>
      <c r="E27" s="19">
        <v>0</v>
      </c>
      <c r="F27" s="19">
        <f>C27*(1/D27)</f>
        <v>10000</v>
      </c>
      <c r="G27" s="19">
        <f>F27*4</f>
        <v>40000</v>
      </c>
      <c r="H27" s="66">
        <f>C27-G27</f>
        <v>60000</v>
      </c>
      <c r="I27" s="59"/>
      <c r="J27" s="60"/>
    </row>
    <row r="28" spans="2:13" ht="13.5" thickBot="1" x14ac:dyDescent="0.25">
      <c r="B28" s="104" t="s">
        <v>33</v>
      </c>
      <c r="C28" s="29"/>
      <c r="D28" s="29"/>
      <c r="E28" s="68">
        <f>SUM(E25:E27)</f>
        <v>15000</v>
      </c>
      <c r="F28" s="68">
        <f>SUM(F25:F27)</f>
        <v>15000</v>
      </c>
      <c r="G28" s="29">
        <f>SUM(G25:G27)</f>
        <v>90000</v>
      </c>
      <c r="H28" s="69">
        <f>SUM(H25:H27)</f>
        <v>210000</v>
      </c>
      <c r="I28" s="22"/>
      <c r="J28" s="22"/>
    </row>
    <row r="31" spans="2:13" ht="13.5" thickBot="1" x14ac:dyDescent="0.25">
      <c r="B31" s="149" t="s">
        <v>91</v>
      </c>
      <c r="C31" s="149"/>
      <c r="D31" s="149"/>
      <c r="E31" s="149"/>
      <c r="F31" s="149"/>
      <c r="G31" s="149"/>
      <c r="H31" s="149"/>
    </row>
    <row r="32" spans="2:13" x14ac:dyDescent="0.2">
      <c r="B32" s="142" t="s">
        <v>35</v>
      </c>
      <c r="C32" s="135" t="s">
        <v>46</v>
      </c>
      <c r="D32" s="135"/>
      <c r="E32" s="135"/>
      <c r="F32" s="135"/>
      <c r="G32" s="135"/>
      <c r="H32" s="135"/>
      <c r="I32" s="135"/>
      <c r="J32" s="135"/>
      <c r="K32" s="135"/>
      <c r="L32" s="135"/>
      <c r="M32" s="136"/>
    </row>
    <row r="33" spans="2:13" ht="13.5" thickBot="1" x14ac:dyDescent="0.25">
      <c r="B33" s="143"/>
      <c r="C33" s="42">
        <v>0</v>
      </c>
      <c r="D33" s="42">
        <v>1</v>
      </c>
      <c r="E33" s="42">
        <f>D33+1</f>
        <v>2</v>
      </c>
      <c r="F33" s="42">
        <f t="shared" ref="F33:M33" si="3">E33+1</f>
        <v>3</v>
      </c>
      <c r="G33" s="42">
        <f t="shared" si="3"/>
        <v>4</v>
      </c>
      <c r="H33" s="42">
        <f t="shared" si="3"/>
        <v>5</v>
      </c>
      <c r="I33" s="42">
        <f t="shared" si="3"/>
        <v>6</v>
      </c>
      <c r="J33" s="42">
        <f t="shared" si="3"/>
        <v>7</v>
      </c>
      <c r="K33" s="42">
        <f t="shared" si="3"/>
        <v>8</v>
      </c>
      <c r="L33" s="42">
        <f>K33+1</f>
        <v>9</v>
      </c>
      <c r="M33" s="43">
        <f t="shared" si="3"/>
        <v>10</v>
      </c>
    </row>
    <row r="34" spans="2:13" x14ac:dyDescent="0.2">
      <c r="B34" s="85" t="s">
        <v>41</v>
      </c>
      <c r="C34" s="86"/>
      <c r="D34" s="86">
        <f t="shared" ref="D34:M34" si="4">D11</f>
        <v>100000</v>
      </c>
      <c r="E34" s="86">
        <f t="shared" si="4"/>
        <v>120000</v>
      </c>
      <c r="F34" s="86">
        <f t="shared" si="4"/>
        <v>126000</v>
      </c>
      <c r="G34" s="86">
        <f t="shared" si="4"/>
        <v>141372</v>
      </c>
      <c r="H34" s="86">
        <f t="shared" si="4"/>
        <v>144199.44</v>
      </c>
      <c r="I34" s="86">
        <f t="shared" si="4"/>
        <v>147083.42880000002</v>
      </c>
      <c r="J34" s="86">
        <f t="shared" si="4"/>
        <v>150025.09737600002</v>
      </c>
      <c r="K34" s="86">
        <f t="shared" si="4"/>
        <v>153025.59932352003</v>
      </c>
      <c r="L34" s="86">
        <f t="shared" si="4"/>
        <v>156086.11130999043</v>
      </c>
      <c r="M34" s="87">
        <f t="shared" si="4"/>
        <v>159207.83353619024</v>
      </c>
    </row>
    <row r="35" spans="2:13" x14ac:dyDescent="0.2">
      <c r="B35" s="27" t="s">
        <v>67</v>
      </c>
      <c r="C35" s="19"/>
      <c r="D35" s="19">
        <f>-D9*30</f>
        <v>-30000</v>
      </c>
      <c r="E35" s="19">
        <f t="shared" ref="E35:M35" si="5">-E9*30</f>
        <v>-36000</v>
      </c>
      <c r="F35" s="19">
        <f t="shared" si="5"/>
        <v>-37800</v>
      </c>
      <c r="G35" s="19">
        <f t="shared" si="5"/>
        <v>-38556</v>
      </c>
      <c r="H35" s="19">
        <f t="shared" si="5"/>
        <v>-39327.120000000003</v>
      </c>
      <c r="I35" s="19">
        <f t="shared" si="5"/>
        <v>-40113.662400000001</v>
      </c>
      <c r="J35" s="19">
        <f t="shared" si="5"/>
        <v>-40915.935648000006</v>
      </c>
      <c r="K35" s="19">
        <f t="shared" si="5"/>
        <v>-41734.254360960003</v>
      </c>
      <c r="L35" s="19">
        <f t="shared" si="5"/>
        <v>-42568.939448179211</v>
      </c>
      <c r="M35" s="26">
        <f t="shared" si="5"/>
        <v>-43420.31823714279</v>
      </c>
    </row>
    <row r="36" spans="2:13" x14ac:dyDescent="0.2">
      <c r="B36" s="27" t="s">
        <v>68</v>
      </c>
      <c r="C36" s="19"/>
      <c r="D36" s="19">
        <v>-20000</v>
      </c>
      <c r="E36" s="19">
        <v>-20000</v>
      </c>
      <c r="F36" s="19">
        <v>-20000</v>
      </c>
      <c r="G36" s="19">
        <v>-20000</v>
      </c>
      <c r="H36" s="19">
        <v>-20000</v>
      </c>
      <c r="I36" s="19">
        <v>-20000</v>
      </c>
      <c r="J36" s="19">
        <v>-20000</v>
      </c>
      <c r="K36" s="19">
        <v>-20000</v>
      </c>
      <c r="L36" s="19">
        <v>-20000</v>
      </c>
      <c r="M36" s="26">
        <v>-20000</v>
      </c>
    </row>
    <row r="37" spans="2:13" x14ac:dyDescent="0.2">
      <c r="B37" s="27" t="s">
        <v>22</v>
      </c>
      <c r="C37" s="19"/>
      <c r="D37" s="39">
        <f>-$E$28</f>
        <v>-15000</v>
      </c>
      <c r="E37" s="39">
        <f t="shared" ref="E37:M37" si="6">-$E$28</f>
        <v>-15000</v>
      </c>
      <c r="F37" s="39">
        <f t="shared" si="6"/>
        <v>-15000</v>
      </c>
      <c r="G37" s="39">
        <f t="shared" si="6"/>
        <v>-15000</v>
      </c>
      <c r="H37" s="39">
        <f t="shared" si="6"/>
        <v>-15000</v>
      </c>
      <c r="I37" s="39">
        <f t="shared" si="6"/>
        <v>-15000</v>
      </c>
      <c r="J37" s="39">
        <f t="shared" si="6"/>
        <v>-15000</v>
      </c>
      <c r="K37" s="39">
        <f t="shared" si="6"/>
        <v>-15000</v>
      </c>
      <c r="L37" s="39">
        <f t="shared" si="6"/>
        <v>-15000</v>
      </c>
      <c r="M37" s="88">
        <f t="shared" si="6"/>
        <v>-15000</v>
      </c>
    </row>
    <row r="38" spans="2:13" x14ac:dyDescent="0.2">
      <c r="B38" s="27" t="s">
        <v>69</v>
      </c>
      <c r="C38" s="19"/>
      <c r="D38" s="18"/>
      <c r="E38" s="19"/>
      <c r="F38" s="19"/>
      <c r="G38" s="19"/>
      <c r="H38" s="18"/>
      <c r="I38" s="89">
        <f>C17*0.5-E26*4</f>
        <v>10000</v>
      </c>
      <c r="J38" s="25"/>
      <c r="K38" s="25"/>
      <c r="L38" s="25"/>
      <c r="M38" s="90"/>
    </row>
    <row r="39" spans="2:13" x14ac:dyDescent="0.2">
      <c r="B39" s="91" t="s">
        <v>42</v>
      </c>
      <c r="C39" s="3"/>
      <c r="D39" s="23">
        <f>SUM(D34:D38)</f>
        <v>35000</v>
      </c>
      <c r="E39" s="23">
        <f t="shared" ref="E39:M39" si="7">SUM(E34:E38)</f>
        <v>49000</v>
      </c>
      <c r="F39" s="23">
        <f t="shared" si="7"/>
        <v>53200</v>
      </c>
      <c r="G39" s="23">
        <f t="shared" si="7"/>
        <v>67816</v>
      </c>
      <c r="H39" s="23">
        <f t="shared" si="7"/>
        <v>69872.320000000007</v>
      </c>
      <c r="I39" s="23">
        <f t="shared" si="7"/>
        <v>81969.766400000022</v>
      </c>
      <c r="J39" s="23">
        <f t="shared" si="7"/>
        <v>74109.161728000006</v>
      </c>
      <c r="K39" s="23">
        <f t="shared" si="7"/>
        <v>76291.344962560019</v>
      </c>
      <c r="L39" s="23">
        <f t="shared" si="7"/>
        <v>78517.171861811221</v>
      </c>
      <c r="M39" s="92">
        <f t="shared" si="7"/>
        <v>80787.51529904746</v>
      </c>
    </row>
    <row r="40" spans="2:13" x14ac:dyDescent="0.2">
      <c r="B40" s="27" t="s">
        <v>43</v>
      </c>
      <c r="C40" s="19"/>
      <c r="D40" s="24">
        <f>-D39*0.17</f>
        <v>-5950</v>
      </c>
      <c r="E40" s="24">
        <f t="shared" ref="E40:M40" si="8">-E39*0.17</f>
        <v>-8330</v>
      </c>
      <c r="F40" s="24">
        <f t="shared" si="8"/>
        <v>-9044</v>
      </c>
      <c r="G40" s="24">
        <f t="shared" si="8"/>
        <v>-11528.720000000001</v>
      </c>
      <c r="H40" s="24">
        <f t="shared" si="8"/>
        <v>-11878.294400000002</v>
      </c>
      <c r="I40" s="24">
        <f t="shared" si="8"/>
        <v>-13934.860288000005</v>
      </c>
      <c r="J40" s="24">
        <f t="shared" si="8"/>
        <v>-12598.557493760001</v>
      </c>
      <c r="K40" s="24">
        <f t="shared" si="8"/>
        <v>-12969.528643635203</v>
      </c>
      <c r="L40" s="24">
        <f t="shared" si="8"/>
        <v>-13347.919216507909</v>
      </c>
      <c r="M40" s="93">
        <f t="shared" si="8"/>
        <v>-13733.87760083807</v>
      </c>
    </row>
    <row r="41" spans="2:13" ht="13.5" thickBot="1" x14ac:dyDescent="0.25">
      <c r="B41" s="28" t="s">
        <v>44</v>
      </c>
      <c r="C41" s="29"/>
      <c r="D41" s="94">
        <f>D39+D40</f>
        <v>29050</v>
      </c>
      <c r="E41" s="94">
        <f t="shared" ref="E41:M41" si="9">E39+E40</f>
        <v>40670</v>
      </c>
      <c r="F41" s="94">
        <f t="shared" si="9"/>
        <v>44156</v>
      </c>
      <c r="G41" s="94">
        <f t="shared" si="9"/>
        <v>56287.28</v>
      </c>
      <c r="H41" s="94">
        <f t="shared" si="9"/>
        <v>57994.025600000008</v>
      </c>
      <c r="I41" s="94">
        <f t="shared" si="9"/>
        <v>68034.906112000011</v>
      </c>
      <c r="J41" s="94">
        <f t="shared" si="9"/>
        <v>61510.604234240003</v>
      </c>
      <c r="K41" s="94">
        <f t="shared" si="9"/>
        <v>63321.816318924815</v>
      </c>
      <c r="L41" s="94">
        <f t="shared" si="9"/>
        <v>65169.252645303313</v>
      </c>
      <c r="M41" s="95">
        <f t="shared" si="9"/>
        <v>67053.637698209393</v>
      </c>
    </row>
    <row r="42" spans="2:13" x14ac:dyDescent="0.2">
      <c r="B42" s="22"/>
      <c r="C42" s="22"/>
      <c r="D42" s="31"/>
      <c r="E42" s="31"/>
      <c r="F42" s="31"/>
      <c r="G42" s="31"/>
      <c r="H42" s="31"/>
    </row>
    <row r="43" spans="2:13" x14ac:dyDescent="0.2">
      <c r="B43" s="22"/>
      <c r="C43" s="22"/>
      <c r="D43" s="31"/>
      <c r="E43" s="31"/>
      <c r="F43" s="31"/>
      <c r="G43" s="31"/>
      <c r="H43" s="31"/>
    </row>
    <row r="44" spans="2:13" x14ac:dyDescent="0.2">
      <c r="B44" s="22"/>
      <c r="C44" s="22"/>
      <c r="D44" s="31"/>
      <c r="E44" s="31"/>
      <c r="F44" s="31"/>
      <c r="G44" s="31"/>
      <c r="H44" s="31"/>
    </row>
    <row r="45" spans="2:13" x14ac:dyDescent="0.2">
      <c r="B45" s="22" t="s">
        <v>76</v>
      </c>
      <c r="C45" s="22"/>
      <c r="D45" s="31"/>
      <c r="E45" s="31"/>
      <c r="F45" s="31"/>
      <c r="G45" s="31"/>
      <c r="H45" s="31"/>
    </row>
    <row r="46" spans="2:13" x14ac:dyDescent="0.2">
      <c r="B46" s="22"/>
      <c r="C46" s="22"/>
      <c r="D46" s="31"/>
      <c r="E46" s="31"/>
      <c r="F46" s="31"/>
      <c r="G46" s="31"/>
      <c r="H46" s="31"/>
    </row>
    <row r="47" spans="2:13" x14ac:dyDescent="0.2">
      <c r="B47" s="22" t="s">
        <v>45</v>
      </c>
      <c r="C47" s="22"/>
      <c r="D47" s="31"/>
      <c r="E47" s="31"/>
      <c r="F47" s="31"/>
      <c r="G47" s="31"/>
      <c r="H47" s="31"/>
    </row>
    <row r="48" spans="2:13" x14ac:dyDescent="0.2">
      <c r="B48" s="22"/>
      <c r="C48" s="22"/>
      <c r="D48" s="31"/>
      <c r="E48" s="31"/>
      <c r="F48" s="31"/>
      <c r="G48" s="31"/>
      <c r="H48" s="31"/>
    </row>
    <row r="49" spans="2:14" x14ac:dyDescent="0.2">
      <c r="B49" s="22" t="s">
        <v>47</v>
      </c>
      <c r="C49" s="34">
        <f>C18*0.6</f>
        <v>228000</v>
      </c>
      <c r="D49" s="33"/>
      <c r="E49" s="31"/>
      <c r="F49" s="31"/>
      <c r="G49" s="31"/>
      <c r="H49" s="31"/>
    </row>
    <row r="50" spans="2:14" x14ac:dyDescent="0.2">
      <c r="B50" s="22" t="s">
        <v>48</v>
      </c>
      <c r="C50" s="32">
        <v>0.09</v>
      </c>
      <c r="D50" s="31"/>
      <c r="E50" s="31"/>
      <c r="F50" s="31"/>
      <c r="G50" s="31"/>
      <c r="H50" s="31"/>
    </row>
    <row r="51" spans="2:14" x14ac:dyDescent="0.2">
      <c r="B51" s="22" t="s">
        <v>49</v>
      </c>
      <c r="C51" s="22">
        <v>8</v>
      </c>
      <c r="D51" s="31"/>
      <c r="E51" s="31"/>
      <c r="F51" s="31"/>
      <c r="G51" s="31"/>
      <c r="H51" s="31"/>
    </row>
    <row r="52" spans="2:14" x14ac:dyDescent="0.2">
      <c r="B52" s="22" t="s">
        <v>50</v>
      </c>
      <c r="C52" s="35">
        <f>-PMT(C50,C51,C49)</f>
        <v>41193.758146949163</v>
      </c>
      <c r="D52" s="31"/>
      <c r="E52" s="31"/>
      <c r="F52" s="31"/>
      <c r="G52" s="31"/>
      <c r="H52" s="31"/>
    </row>
    <row r="53" spans="2:14" ht="13.5" thickBot="1" x14ac:dyDescent="0.25">
      <c r="B53" s="22"/>
      <c r="C53" s="35"/>
      <c r="D53" s="31"/>
      <c r="E53" s="31"/>
      <c r="F53" s="31"/>
      <c r="G53" s="31"/>
      <c r="H53" s="31"/>
    </row>
    <row r="54" spans="2:14" x14ac:dyDescent="0.2">
      <c r="B54" s="137" t="s">
        <v>46</v>
      </c>
      <c r="C54" s="135" t="s">
        <v>46</v>
      </c>
      <c r="D54" s="135"/>
      <c r="E54" s="135"/>
      <c r="F54" s="135"/>
      <c r="G54" s="135"/>
      <c r="H54" s="135"/>
      <c r="I54" s="135"/>
      <c r="J54" s="135"/>
      <c r="K54" s="136"/>
    </row>
    <row r="55" spans="2:14" ht="13.5" thickBot="1" x14ac:dyDescent="0.25">
      <c r="B55" s="138"/>
      <c r="C55" s="42">
        <v>0</v>
      </c>
      <c r="D55" s="46">
        <v>1</v>
      </c>
      <c r="E55" s="46">
        <f>D55+1</f>
        <v>2</v>
      </c>
      <c r="F55" s="46">
        <f t="shared" ref="F55:K55" si="10">E55+1</f>
        <v>3</v>
      </c>
      <c r="G55" s="46">
        <f t="shared" si="10"/>
        <v>4</v>
      </c>
      <c r="H55" s="46">
        <f t="shared" si="10"/>
        <v>5</v>
      </c>
      <c r="I55" s="46">
        <f t="shared" si="10"/>
        <v>6</v>
      </c>
      <c r="J55" s="46">
        <f t="shared" si="10"/>
        <v>7</v>
      </c>
      <c r="K55" s="47">
        <f t="shared" si="10"/>
        <v>8</v>
      </c>
      <c r="L55" s="45"/>
      <c r="M55" s="45"/>
      <c r="N55" s="45"/>
    </row>
    <row r="56" spans="2:14" x14ac:dyDescent="0.2">
      <c r="B56" s="48" t="s">
        <v>51</v>
      </c>
      <c r="C56" s="105">
        <f>C49</f>
        <v>228000</v>
      </c>
      <c r="D56" s="49">
        <f>C60</f>
        <v>228000</v>
      </c>
      <c r="E56" s="49">
        <f>D60</f>
        <v>207326.24185305083</v>
      </c>
      <c r="F56" s="49">
        <f t="shared" ref="F56:K56" si="11">E60</f>
        <v>184791.84547287624</v>
      </c>
      <c r="G56" s="49">
        <f t="shared" si="11"/>
        <v>160229.35341848593</v>
      </c>
      <c r="H56" s="49">
        <f t="shared" si="11"/>
        <v>133456.23707920051</v>
      </c>
      <c r="I56" s="49">
        <f t="shared" si="11"/>
        <v>104273.54026937939</v>
      </c>
      <c r="J56" s="49">
        <f t="shared" si="11"/>
        <v>72464.400746674364</v>
      </c>
      <c r="K56" s="50">
        <f t="shared" si="11"/>
        <v>37792.438666925897</v>
      </c>
    </row>
    <row r="57" spans="2:14" x14ac:dyDescent="0.2">
      <c r="B57" s="51" t="s">
        <v>52</v>
      </c>
      <c r="C57" s="21">
        <v>0</v>
      </c>
      <c r="D57" s="36">
        <f>D56*$C$50</f>
        <v>20520</v>
      </c>
      <c r="E57" s="36">
        <f t="shared" ref="E57:K57" si="12">E56*$C$50</f>
        <v>18659.361766774575</v>
      </c>
      <c r="F57" s="36">
        <f t="shared" si="12"/>
        <v>16631.266092558861</v>
      </c>
      <c r="G57" s="36">
        <f t="shared" si="12"/>
        <v>14420.641807663733</v>
      </c>
      <c r="H57" s="36">
        <f t="shared" si="12"/>
        <v>12011.061337128045</v>
      </c>
      <c r="I57" s="36">
        <f t="shared" si="12"/>
        <v>9384.6186242441454</v>
      </c>
      <c r="J57" s="36">
        <f t="shared" si="12"/>
        <v>6521.796067200693</v>
      </c>
      <c r="K57" s="52">
        <f t="shared" si="12"/>
        <v>3401.3194800233305</v>
      </c>
    </row>
    <row r="58" spans="2:14" x14ac:dyDescent="0.2">
      <c r="B58" s="51" t="s">
        <v>54</v>
      </c>
      <c r="C58" s="21">
        <v>0</v>
      </c>
      <c r="D58" s="38">
        <f>D59-D57</f>
        <v>20673.758146949163</v>
      </c>
      <c r="E58" s="38">
        <f t="shared" ref="E58:K58" si="13">E59-E57</f>
        <v>22534.396380174589</v>
      </c>
      <c r="F58" s="38">
        <f t="shared" si="13"/>
        <v>24562.492054390303</v>
      </c>
      <c r="G58" s="38">
        <f t="shared" si="13"/>
        <v>26773.116339285429</v>
      </c>
      <c r="H58" s="38">
        <f t="shared" si="13"/>
        <v>29182.696809821118</v>
      </c>
      <c r="I58" s="38">
        <f t="shared" si="13"/>
        <v>31809.139522705016</v>
      </c>
      <c r="J58" s="38">
        <f t="shared" si="13"/>
        <v>34671.962079748468</v>
      </c>
      <c r="K58" s="53">
        <f t="shared" si="13"/>
        <v>37792.438666925831</v>
      </c>
    </row>
    <row r="59" spans="2:14" x14ac:dyDescent="0.2">
      <c r="B59" s="51" t="s">
        <v>53</v>
      </c>
      <c r="C59" s="21">
        <v>0</v>
      </c>
      <c r="D59" s="37">
        <f>$C$52</f>
        <v>41193.758146949163</v>
      </c>
      <c r="E59" s="37">
        <f t="shared" ref="E59:K59" si="14">$C$52</f>
        <v>41193.758146949163</v>
      </c>
      <c r="F59" s="37">
        <f t="shared" si="14"/>
        <v>41193.758146949163</v>
      </c>
      <c r="G59" s="37">
        <f t="shared" si="14"/>
        <v>41193.758146949163</v>
      </c>
      <c r="H59" s="37">
        <f t="shared" si="14"/>
        <v>41193.758146949163</v>
      </c>
      <c r="I59" s="37">
        <f t="shared" si="14"/>
        <v>41193.758146949163</v>
      </c>
      <c r="J59" s="37">
        <f t="shared" si="14"/>
        <v>41193.758146949163</v>
      </c>
      <c r="K59" s="54">
        <f t="shared" si="14"/>
        <v>41193.758146949163</v>
      </c>
    </row>
    <row r="60" spans="2:14" ht="13.5" thickBot="1" x14ac:dyDescent="0.25">
      <c r="B60" s="55" t="s">
        <v>55</v>
      </c>
      <c r="C60" s="56">
        <f t="shared" ref="C60:K60" si="15">C56-C58</f>
        <v>228000</v>
      </c>
      <c r="D60" s="56">
        <f t="shared" si="15"/>
        <v>207326.24185305083</v>
      </c>
      <c r="E60" s="56">
        <f t="shared" si="15"/>
        <v>184791.84547287624</v>
      </c>
      <c r="F60" s="56">
        <f t="shared" si="15"/>
        <v>160229.35341848593</v>
      </c>
      <c r="G60" s="56">
        <f t="shared" si="15"/>
        <v>133456.23707920051</v>
      </c>
      <c r="H60" s="56">
        <f t="shared" si="15"/>
        <v>104273.54026937939</v>
      </c>
      <c r="I60" s="56">
        <f t="shared" si="15"/>
        <v>72464.400746674364</v>
      </c>
      <c r="J60" s="56">
        <f t="shared" si="15"/>
        <v>37792.438666925897</v>
      </c>
      <c r="K60" s="57">
        <f t="shared" si="15"/>
        <v>6.5483618527650833E-11</v>
      </c>
    </row>
    <row r="61" spans="2:14" x14ac:dyDescent="0.2">
      <c r="B61" s="22"/>
      <c r="C61" s="22"/>
      <c r="D61" s="31"/>
      <c r="E61" s="31"/>
      <c r="F61" s="31"/>
      <c r="G61" s="31"/>
      <c r="H61" s="31"/>
    </row>
    <row r="63" spans="2:14" ht="15.75" x14ac:dyDescent="0.25">
      <c r="B63" s="144" t="s">
        <v>1</v>
      </c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</row>
    <row r="64" spans="2:14" ht="13.5" thickBot="1" x14ac:dyDescent="0.25"/>
    <row r="65" spans="2:13" x14ac:dyDescent="0.2">
      <c r="B65" s="150" t="s">
        <v>2</v>
      </c>
      <c r="C65" s="155" t="s">
        <v>3</v>
      </c>
      <c r="D65" s="156"/>
      <c r="E65" s="156"/>
      <c r="F65" s="156"/>
      <c r="G65" s="156"/>
      <c r="H65" s="156"/>
      <c r="I65" s="156"/>
      <c r="J65" s="156"/>
      <c r="K65" s="156"/>
      <c r="L65" s="156"/>
      <c r="M65" s="157"/>
    </row>
    <row r="66" spans="2:13" ht="13.5" thickBot="1" x14ac:dyDescent="0.25">
      <c r="B66" s="151"/>
      <c r="C66" s="42">
        <v>0</v>
      </c>
      <c r="D66" s="42">
        <f>C66+1</f>
        <v>1</v>
      </c>
      <c r="E66" s="42">
        <f t="shared" ref="E66:M66" si="16">D66+1</f>
        <v>2</v>
      </c>
      <c r="F66" s="42">
        <f t="shared" si="16"/>
        <v>3</v>
      </c>
      <c r="G66" s="42">
        <f t="shared" si="16"/>
        <v>4</v>
      </c>
      <c r="H66" s="42">
        <f t="shared" si="16"/>
        <v>5</v>
      </c>
      <c r="I66" s="42">
        <f t="shared" si="16"/>
        <v>6</v>
      </c>
      <c r="J66" s="42">
        <f t="shared" si="16"/>
        <v>7</v>
      </c>
      <c r="K66" s="42">
        <f t="shared" si="16"/>
        <v>8</v>
      </c>
      <c r="L66" s="42">
        <f>K66+1</f>
        <v>9</v>
      </c>
      <c r="M66" s="43">
        <f t="shared" si="16"/>
        <v>10</v>
      </c>
    </row>
    <row r="67" spans="2:13" x14ac:dyDescent="0.2">
      <c r="B67" s="139" t="s">
        <v>4</v>
      </c>
      <c r="C67" s="140"/>
      <c r="D67" s="140"/>
      <c r="E67" s="140"/>
      <c r="F67" s="140"/>
      <c r="G67" s="140"/>
      <c r="H67" s="140"/>
      <c r="I67" s="140"/>
      <c r="J67" s="140"/>
      <c r="K67" s="140"/>
      <c r="L67" s="140"/>
      <c r="M67" s="141"/>
    </row>
    <row r="68" spans="2:13" x14ac:dyDescent="0.2">
      <c r="B68" s="65" t="s">
        <v>72</v>
      </c>
      <c r="C68" s="7">
        <f>-C18</f>
        <v>-380000</v>
      </c>
      <c r="D68" s="7"/>
      <c r="E68" s="7"/>
      <c r="F68" s="7"/>
      <c r="G68" s="7"/>
      <c r="H68" s="7"/>
      <c r="I68" s="18">
        <f>-C17</f>
        <v>-100000</v>
      </c>
      <c r="J68" s="19"/>
      <c r="K68" s="19"/>
      <c r="L68" s="19"/>
      <c r="M68" s="26"/>
    </row>
    <row r="69" spans="2:13" x14ac:dyDescent="0.2">
      <c r="B69" s="65" t="s">
        <v>5</v>
      </c>
      <c r="C69" s="7">
        <f>(D35+D36)/2</f>
        <v>-25000</v>
      </c>
      <c r="D69" s="7">
        <f>(E35+E36)/2-C69</f>
        <v>-3000</v>
      </c>
      <c r="E69" s="7">
        <f>(F35+F36)/2-D69-C69</f>
        <v>-900</v>
      </c>
      <c r="F69" s="7">
        <f>(G35+G36)/2-E69-D69-C69</f>
        <v>-378</v>
      </c>
      <c r="G69" s="7">
        <f>(H35+H36)/2-F69-E69-D69-C69</f>
        <v>-385.56000000000131</v>
      </c>
      <c r="H69" s="7">
        <f>(I35+I36)/2-G69-F69-E69-D69-C69</f>
        <v>-393.27119999999923</v>
      </c>
      <c r="I69" s="7">
        <f>(J35+J36)/2-H69-G69-F69-E69-D69-C69</f>
        <v>-401.13662400000248</v>
      </c>
      <c r="J69" s="7">
        <f>(K35+K36)/2-I69-H69-G69-F69-E69-D69-C69</f>
        <v>-409.15935647999868</v>
      </c>
      <c r="K69" s="7">
        <f>(L35+L36)/2-J69-I69-H69-G69-F69-E69-D69-C69</f>
        <v>-417.34254360960404</v>
      </c>
      <c r="L69" s="7">
        <f>(M35+M36)/2-K69-J69-I69-H69-G69-F69-E69-D69-C69</f>
        <v>-425.68939448178935</v>
      </c>
      <c r="M69" s="90"/>
    </row>
    <row r="70" spans="2:13" x14ac:dyDescent="0.2">
      <c r="B70" s="65" t="s">
        <v>73</v>
      </c>
      <c r="C70" s="7"/>
      <c r="D70" s="7"/>
      <c r="E70" s="7"/>
      <c r="F70" s="7"/>
      <c r="G70" s="7"/>
      <c r="H70" s="7"/>
      <c r="I70" s="24">
        <f>C17*0.5</f>
        <v>50000</v>
      </c>
      <c r="J70" s="19"/>
      <c r="K70" s="19"/>
      <c r="L70" s="19"/>
      <c r="M70" s="26"/>
    </row>
    <row r="71" spans="2:13" x14ac:dyDescent="0.2">
      <c r="B71" s="65" t="s">
        <v>6</v>
      </c>
      <c r="C71" s="7"/>
      <c r="D71" s="7"/>
      <c r="E71" s="7"/>
      <c r="F71" s="7"/>
      <c r="G71" s="7"/>
      <c r="H71" s="7"/>
      <c r="I71" s="19"/>
      <c r="J71" s="19"/>
      <c r="K71" s="19"/>
      <c r="L71" s="19"/>
      <c r="M71" s="96"/>
    </row>
    <row r="72" spans="2:13" x14ac:dyDescent="0.2">
      <c r="B72" s="65" t="s">
        <v>7</v>
      </c>
      <c r="C72" s="7"/>
      <c r="D72" s="7"/>
      <c r="E72" s="7"/>
      <c r="F72" s="7"/>
      <c r="G72" s="7"/>
      <c r="H72" s="7"/>
      <c r="I72" s="19"/>
      <c r="J72" s="19"/>
      <c r="K72" s="19"/>
      <c r="L72" s="19"/>
      <c r="M72" s="66"/>
    </row>
    <row r="73" spans="2:13" x14ac:dyDescent="0.2">
      <c r="B73" s="65" t="s">
        <v>74</v>
      </c>
      <c r="C73" s="7"/>
      <c r="D73" s="7"/>
      <c r="E73" s="7"/>
      <c r="F73" s="7"/>
      <c r="G73" s="7"/>
      <c r="H73" s="7"/>
      <c r="I73" s="19"/>
      <c r="J73" s="19"/>
      <c r="K73" s="19"/>
      <c r="L73" s="19"/>
      <c r="M73" s="97"/>
    </row>
    <row r="74" spans="2:13" x14ac:dyDescent="0.2">
      <c r="B74" s="98" t="s">
        <v>8</v>
      </c>
      <c r="C74" s="58">
        <f>SUM(C68:C73)</f>
        <v>-405000</v>
      </c>
      <c r="D74" s="58">
        <f t="shared" ref="D74:M74" si="17">SUM(D68:D73)</f>
        <v>-3000</v>
      </c>
      <c r="E74" s="58">
        <f t="shared" si="17"/>
        <v>-900</v>
      </c>
      <c r="F74" s="58">
        <f t="shared" si="17"/>
        <v>-378</v>
      </c>
      <c r="G74" s="58">
        <f t="shared" si="17"/>
        <v>-385.56000000000131</v>
      </c>
      <c r="H74" s="58">
        <f t="shared" si="17"/>
        <v>-393.27119999999923</v>
      </c>
      <c r="I74" s="58">
        <f t="shared" si="17"/>
        <v>-50401.136624000006</v>
      </c>
      <c r="J74" s="58">
        <f t="shared" si="17"/>
        <v>-409.15935647999868</v>
      </c>
      <c r="K74" s="58">
        <f t="shared" si="17"/>
        <v>-417.34254360960404</v>
      </c>
      <c r="L74" s="58">
        <f t="shared" si="17"/>
        <v>-425.68939448178935</v>
      </c>
      <c r="M74" s="99">
        <f t="shared" si="17"/>
        <v>0</v>
      </c>
    </row>
    <row r="75" spans="2:13" ht="13.5" thickBot="1" x14ac:dyDescent="0.25">
      <c r="B75" s="152" t="s">
        <v>9</v>
      </c>
      <c r="C75" s="153"/>
      <c r="D75" s="153"/>
      <c r="E75" s="153"/>
      <c r="F75" s="153"/>
      <c r="G75" s="153"/>
      <c r="H75" s="154"/>
      <c r="I75" s="25"/>
      <c r="J75" s="25"/>
      <c r="K75" s="25"/>
      <c r="L75" s="25"/>
      <c r="M75" s="90"/>
    </row>
    <row r="76" spans="2:13" x14ac:dyDescent="0.2">
      <c r="B76" s="4" t="s">
        <v>10</v>
      </c>
      <c r="C76" s="5">
        <f t="shared" ref="C76:M76" si="18">C11</f>
        <v>0</v>
      </c>
      <c r="D76" s="5">
        <f t="shared" si="18"/>
        <v>100000</v>
      </c>
      <c r="E76" s="5">
        <f t="shared" si="18"/>
        <v>120000</v>
      </c>
      <c r="F76" s="5">
        <f t="shared" si="18"/>
        <v>126000</v>
      </c>
      <c r="G76" s="5">
        <f t="shared" si="18"/>
        <v>141372</v>
      </c>
      <c r="H76" s="5">
        <f t="shared" si="18"/>
        <v>144199.44</v>
      </c>
      <c r="I76" s="5">
        <f t="shared" si="18"/>
        <v>147083.42880000002</v>
      </c>
      <c r="J76" s="5">
        <f t="shared" si="18"/>
        <v>150025.09737600002</v>
      </c>
      <c r="K76" s="5">
        <f t="shared" si="18"/>
        <v>153025.59932352003</v>
      </c>
      <c r="L76" s="5">
        <f t="shared" si="18"/>
        <v>156086.11130999043</v>
      </c>
      <c r="M76" s="100">
        <f t="shared" si="18"/>
        <v>159207.83353619024</v>
      </c>
    </row>
    <row r="77" spans="2:13" x14ac:dyDescent="0.2">
      <c r="B77" s="4" t="s">
        <v>70</v>
      </c>
      <c r="C77" s="6"/>
      <c r="D77" s="7">
        <f>D36</f>
        <v>-20000</v>
      </c>
      <c r="E77" s="7">
        <f t="shared" ref="E77:M77" si="19">E36</f>
        <v>-20000</v>
      </c>
      <c r="F77" s="7">
        <f t="shared" si="19"/>
        <v>-20000</v>
      </c>
      <c r="G77" s="7">
        <f t="shared" si="19"/>
        <v>-20000</v>
      </c>
      <c r="H77" s="7">
        <f t="shared" si="19"/>
        <v>-20000</v>
      </c>
      <c r="I77" s="7">
        <f t="shared" si="19"/>
        <v>-20000</v>
      </c>
      <c r="J77" s="7">
        <f t="shared" si="19"/>
        <v>-20000</v>
      </c>
      <c r="K77" s="7">
        <f t="shared" si="19"/>
        <v>-20000</v>
      </c>
      <c r="L77" s="7">
        <f t="shared" si="19"/>
        <v>-20000</v>
      </c>
      <c r="M77" s="8">
        <f t="shared" si="19"/>
        <v>-20000</v>
      </c>
    </row>
    <row r="78" spans="2:13" x14ac:dyDescent="0.2">
      <c r="B78" s="4" t="s">
        <v>71</v>
      </c>
      <c r="C78" s="6"/>
      <c r="D78" s="7">
        <f>D35</f>
        <v>-30000</v>
      </c>
      <c r="E78" s="7">
        <f t="shared" ref="E78:M78" si="20">E35</f>
        <v>-36000</v>
      </c>
      <c r="F78" s="7">
        <f t="shared" si="20"/>
        <v>-37800</v>
      </c>
      <c r="G78" s="7">
        <f t="shared" si="20"/>
        <v>-38556</v>
      </c>
      <c r="H78" s="7">
        <f t="shared" si="20"/>
        <v>-39327.120000000003</v>
      </c>
      <c r="I78" s="7">
        <f t="shared" si="20"/>
        <v>-40113.662400000001</v>
      </c>
      <c r="J78" s="7">
        <f t="shared" si="20"/>
        <v>-40915.935648000006</v>
      </c>
      <c r="K78" s="7">
        <f t="shared" si="20"/>
        <v>-41734.254360960003</v>
      </c>
      <c r="L78" s="7">
        <f t="shared" si="20"/>
        <v>-42568.939448179211</v>
      </c>
      <c r="M78" s="8">
        <f t="shared" si="20"/>
        <v>-43420.31823714279</v>
      </c>
    </row>
    <row r="79" spans="2:13" ht="13.5" thickBot="1" x14ac:dyDescent="0.25">
      <c r="B79" s="4" t="s">
        <v>11</v>
      </c>
      <c r="C79" s="9"/>
      <c r="D79" s="10">
        <f t="shared" ref="D79:M79" si="21">D40</f>
        <v>-5950</v>
      </c>
      <c r="E79" s="10">
        <f t="shared" si="21"/>
        <v>-8330</v>
      </c>
      <c r="F79" s="10">
        <f t="shared" si="21"/>
        <v>-9044</v>
      </c>
      <c r="G79" s="10">
        <f t="shared" si="21"/>
        <v>-11528.720000000001</v>
      </c>
      <c r="H79" s="10">
        <f t="shared" si="21"/>
        <v>-11878.294400000002</v>
      </c>
      <c r="I79" s="10">
        <f t="shared" si="21"/>
        <v>-13934.860288000005</v>
      </c>
      <c r="J79" s="10">
        <f t="shared" si="21"/>
        <v>-12598.557493760001</v>
      </c>
      <c r="K79" s="10">
        <f t="shared" si="21"/>
        <v>-12969.528643635203</v>
      </c>
      <c r="L79" s="10">
        <f t="shared" si="21"/>
        <v>-13347.919216507909</v>
      </c>
      <c r="M79" s="101">
        <f t="shared" si="21"/>
        <v>-13733.87760083807</v>
      </c>
    </row>
    <row r="80" spans="2:13" ht="13.5" thickBot="1" x14ac:dyDescent="0.25">
      <c r="B80" s="11" t="s">
        <v>12</v>
      </c>
      <c r="C80" s="12"/>
      <c r="D80" s="12">
        <f>SUM(D76:D79)</f>
        <v>44050</v>
      </c>
      <c r="E80" s="12">
        <f t="shared" ref="E80:M80" si="22">SUM(E76:E79)</f>
        <v>55670</v>
      </c>
      <c r="F80" s="12">
        <f t="shared" si="22"/>
        <v>59156</v>
      </c>
      <c r="G80" s="12">
        <f t="shared" si="22"/>
        <v>71287.28</v>
      </c>
      <c r="H80" s="12">
        <f t="shared" si="22"/>
        <v>72994.025600000008</v>
      </c>
      <c r="I80" s="12">
        <f t="shared" si="22"/>
        <v>73034.906112000011</v>
      </c>
      <c r="J80" s="12">
        <f t="shared" si="22"/>
        <v>76510.604234240003</v>
      </c>
      <c r="K80" s="12">
        <f t="shared" si="22"/>
        <v>78321.816318924815</v>
      </c>
      <c r="L80" s="12">
        <f t="shared" si="22"/>
        <v>80169.252645303306</v>
      </c>
      <c r="M80" s="102">
        <f t="shared" si="22"/>
        <v>82053.637698209393</v>
      </c>
    </row>
    <row r="81" spans="2:13" ht="13.5" thickBot="1" x14ac:dyDescent="0.25">
      <c r="B81" s="115" t="s">
        <v>13</v>
      </c>
      <c r="C81" s="116">
        <f>C74+C80</f>
        <v>-405000</v>
      </c>
      <c r="D81" s="116">
        <f t="shared" ref="D81:M81" si="23">D74+D80</f>
        <v>41050</v>
      </c>
      <c r="E81" s="116">
        <f t="shared" si="23"/>
        <v>54770</v>
      </c>
      <c r="F81" s="116">
        <f t="shared" si="23"/>
        <v>58778</v>
      </c>
      <c r="G81" s="116">
        <f t="shared" si="23"/>
        <v>70901.72</v>
      </c>
      <c r="H81" s="116">
        <f t="shared" si="23"/>
        <v>72600.754400000005</v>
      </c>
      <c r="I81" s="116">
        <f t="shared" si="23"/>
        <v>22633.769488000005</v>
      </c>
      <c r="J81" s="116">
        <f t="shared" si="23"/>
        <v>76101.444877760005</v>
      </c>
      <c r="K81" s="116">
        <f t="shared" si="23"/>
        <v>77904.473775315215</v>
      </c>
      <c r="L81" s="116">
        <f t="shared" si="23"/>
        <v>79743.56325082152</v>
      </c>
      <c r="M81" s="117">
        <f t="shared" si="23"/>
        <v>82053.637698209393</v>
      </c>
    </row>
    <row r="82" spans="2:13" x14ac:dyDescent="0.2">
      <c r="B82" s="146" t="s">
        <v>14</v>
      </c>
      <c r="C82" s="147"/>
      <c r="D82" s="147"/>
      <c r="E82" s="147"/>
      <c r="F82" s="147"/>
      <c r="G82" s="147"/>
      <c r="H82" s="148"/>
      <c r="I82" s="72"/>
      <c r="J82" s="72"/>
      <c r="K82" s="72"/>
      <c r="L82" s="72"/>
      <c r="M82" s="73"/>
    </row>
    <row r="83" spans="2:13" x14ac:dyDescent="0.2">
      <c r="B83" s="65" t="s">
        <v>15</v>
      </c>
      <c r="C83" s="15">
        <f>C56</f>
        <v>228000</v>
      </c>
      <c r="D83" s="15"/>
      <c r="E83" s="15"/>
      <c r="F83" s="15"/>
      <c r="G83" s="15"/>
      <c r="H83" s="15"/>
      <c r="I83" s="19"/>
      <c r="J83" s="19"/>
      <c r="K83" s="19"/>
      <c r="L83" s="19"/>
      <c r="M83" s="26"/>
    </row>
    <row r="84" spans="2:13" x14ac:dyDescent="0.2">
      <c r="B84" s="65" t="s">
        <v>75</v>
      </c>
      <c r="C84" s="15"/>
      <c r="D84" s="15">
        <f>-D58</f>
        <v>-20673.758146949163</v>
      </c>
      <c r="E84" s="15">
        <f t="shared" ref="E84:K84" si="24">-E58</f>
        <v>-22534.396380174589</v>
      </c>
      <c r="F84" s="15">
        <f t="shared" si="24"/>
        <v>-24562.492054390303</v>
      </c>
      <c r="G84" s="15">
        <f t="shared" si="24"/>
        <v>-26773.116339285429</v>
      </c>
      <c r="H84" s="15">
        <f t="shared" si="24"/>
        <v>-29182.696809821118</v>
      </c>
      <c r="I84" s="15">
        <f t="shared" si="24"/>
        <v>-31809.139522705016</v>
      </c>
      <c r="J84" s="15">
        <f t="shared" si="24"/>
        <v>-34671.962079748468</v>
      </c>
      <c r="K84" s="15">
        <f t="shared" si="24"/>
        <v>-37792.438666925831</v>
      </c>
      <c r="L84" s="19"/>
      <c r="M84" s="26"/>
    </row>
    <row r="85" spans="2:13" x14ac:dyDescent="0.2">
      <c r="B85" s="65" t="s">
        <v>16</v>
      </c>
      <c r="C85" s="15"/>
      <c r="D85" s="15">
        <f>-D57</f>
        <v>-20520</v>
      </c>
      <c r="E85" s="15">
        <f t="shared" ref="E85:K85" si="25">-E57</f>
        <v>-18659.361766774575</v>
      </c>
      <c r="F85" s="15">
        <f t="shared" si="25"/>
        <v>-16631.266092558861</v>
      </c>
      <c r="G85" s="15">
        <f t="shared" si="25"/>
        <v>-14420.641807663733</v>
      </c>
      <c r="H85" s="15">
        <f t="shared" si="25"/>
        <v>-12011.061337128045</v>
      </c>
      <c r="I85" s="15">
        <f t="shared" si="25"/>
        <v>-9384.6186242441454</v>
      </c>
      <c r="J85" s="15">
        <f t="shared" si="25"/>
        <v>-6521.796067200693</v>
      </c>
      <c r="K85" s="15">
        <f t="shared" si="25"/>
        <v>-3401.3194800233305</v>
      </c>
      <c r="L85" s="19"/>
      <c r="M85" s="26"/>
    </row>
    <row r="86" spans="2:13" ht="13.5" thickBot="1" x14ac:dyDescent="0.25">
      <c r="B86" s="118" t="s">
        <v>17</v>
      </c>
      <c r="C86" s="119"/>
      <c r="D86" s="120">
        <f>-D85*0.17</f>
        <v>3488.4</v>
      </c>
      <c r="E86" s="120">
        <f t="shared" ref="E86:K86" si="26">-E85*0.17</f>
        <v>3172.091500351678</v>
      </c>
      <c r="F86" s="120">
        <f t="shared" si="26"/>
        <v>2827.3152357350064</v>
      </c>
      <c r="G86" s="120">
        <f t="shared" si="26"/>
        <v>2451.5091073028348</v>
      </c>
      <c r="H86" s="120">
        <f t="shared" si="26"/>
        <v>2041.8804273117678</v>
      </c>
      <c r="I86" s="120">
        <f t="shared" si="26"/>
        <v>1595.3851661215049</v>
      </c>
      <c r="J86" s="120">
        <f t="shared" si="26"/>
        <v>1108.705331424118</v>
      </c>
      <c r="K86" s="120">
        <f t="shared" si="26"/>
        <v>578.22431160396627</v>
      </c>
      <c r="L86" s="121"/>
      <c r="M86" s="122"/>
    </row>
    <row r="87" spans="2:13" ht="13.5" thickBot="1" x14ac:dyDescent="0.25">
      <c r="B87" s="126" t="s">
        <v>92</v>
      </c>
      <c r="C87" s="129">
        <f>SUM(C83:C86)</f>
        <v>228000</v>
      </c>
      <c r="D87" s="129">
        <f t="shared" ref="D87:K87" si="27">SUM(D83:D86)</f>
        <v>-37705.358146949162</v>
      </c>
      <c r="E87" s="129">
        <f t="shared" si="27"/>
        <v>-38021.666646597485</v>
      </c>
      <c r="F87" s="129">
        <f t="shared" si="27"/>
        <v>-38366.442911214159</v>
      </c>
      <c r="G87" s="129">
        <f t="shared" si="27"/>
        <v>-38742.249039646325</v>
      </c>
      <c r="H87" s="129">
        <f t="shared" si="27"/>
        <v>-39151.877719637392</v>
      </c>
      <c r="I87" s="129">
        <f t="shared" si="27"/>
        <v>-39598.372980827655</v>
      </c>
      <c r="J87" s="129">
        <f t="shared" si="27"/>
        <v>-40085.052815525043</v>
      </c>
      <c r="K87" s="129">
        <f t="shared" si="27"/>
        <v>-40615.533835345195</v>
      </c>
      <c r="L87" s="127"/>
      <c r="M87" s="128"/>
    </row>
    <row r="88" spans="2:13" ht="13.5" thickBot="1" x14ac:dyDescent="0.25">
      <c r="B88" s="123" t="s">
        <v>19</v>
      </c>
      <c r="C88" s="124">
        <f>C81+C87</f>
        <v>-177000</v>
      </c>
      <c r="D88" s="124">
        <f t="shared" ref="D88:M88" si="28">D81+D87</f>
        <v>3344.6418530508381</v>
      </c>
      <c r="E88" s="124">
        <f t="shared" si="28"/>
        <v>16748.333353402515</v>
      </c>
      <c r="F88" s="124">
        <f t="shared" si="28"/>
        <v>20411.557088785841</v>
      </c>
      <c r="G88" s="124">
        <f t="shared" si="28"/>
        <v>32159.470960353676</v>
      </c>
      <c r="H88" s="124">
        <f t="shared" si="28"/>
        <v>33448.876680362613</v>
      </c>
      <c r="I88" s="124">
        <f t="shared" si="28"/>
        <v>-16964.603492827649</v>
      </c>
      <c r="J88" s="124">
        <f t="shared" si="28"/>
        <v>36016.392062234961</v>
      </c>
      <c r="K88" s="124">
        <f t="shared" si="28"/>
        <v>37288.93993997002</v>
      </c>
      <c r="L88" s="124">
        <f t="shared" si="28"/>
        <v>79743.56325082152</v>
      </c>
      <c r="M88" s="125">
        <f t="shared" si="28"/>
        <v>82053.637698209393</v>
      </c>
    </row>
    <row r="89" spans="2:13" x14ac:dyDescent="0.2">
      <c r="B89" s="16" t="s">
        <v>20</v>
      </c>
      <c r="C89" s="16"/>
      <c r="D89" s="16"/>
      <c r="E89" s="16"/>
      <c r="F89" s="16"/>
      <c r="G89" s="16"/>
      <c r="H89" s="16"/>
    </row>
    <row r="90" spans="2:13" x14ac:dyDescent="0.2">
      <c r="B90" s="16" t="s">
        <v>21</v>
      </c>
      <c r="C90" s="16"/>
      <c r="D90" s="16"/>
      <c r="E90" s="16"/>
      <c r="F90" s="16"/>
      <c r="G90" s="16"/>
      <c r="H90" s="16"/>
    </row>
    <row r="92" spans="2:13" x14ac:dyDescent="0.2">
      <c r="B92" s="2" t="s">
        <v>94</v>
      </c>
    </row>
    <row r="93" spans="2:13" x14ac:dyDescent="0.2">
      <c r="B93" s="2" t="s">
        <v>84</v>
      </c>
    </row>
  </sheetData>
  <mergeCells count="15">
    <mergeCell ref="B75:H75"/>
    <mergeCell ref="B82:H82"/>
    <mergeCell ref="B54:B55"/>
    <mergeCell ref="C54:K54"/>
    <mergeCell ref="B63:M63"/>
    <mergeCell ref="B65:B66"/>
    <mergeCell ref="C65:M65"/>
    <mergeCell ref="B67:M67"/>
    <mergeCell ref="B1:M1"/>
    <mergeCell ref="B2:M2"/>
    <mergeCell ref="B7:B8"/>
    <mergeCell ref="C7:M7"/>
    <mergeCell ref="B31:H31"/>
    <mergeCell ref="B32:B33"/>
    <mergeCell ref="C32:M32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a) Flujos</vt:lpstr>
      <vt:lpstr>b) Leasing</vt:lpstr>
      <vt:lpstr>c) Capacidad de pago</vt:lpstr>
    </vt:vector>
  </TitlesOfParts>
  <Company>UNIVERSIDAD DE LOS ANDES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Economia</dc:creator>
  <cp:lastModifiedBy>EDISON ACHALMA</cp:lastModifiedBy>
  <cp:lastPrinted>2000-01-13T20:45:18Z</cp:lastPrinted>
  <dcterms:created xsi:type="dcterms:W3CDTF">1999-04-23T15:11:18Z</dcterms:created>
  <dcterms:modified xsi:type="dcterms:W3CDTF">2021-08-04T00:28:30Z</dcterms:modified>
</cp:coreProperties>
</file>