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10. TALLERES FLUJOS DE CAJA/"/>
    </mc:Choice>
  </mc:AlternateContent>
  <xr:revisionPtr revIDLastSave="0" documentId="8_{19215A4E-872E-4371-80EA-F44B606DDBFF}" xr6:coauthVersionLast="47" xr6:coauthVersionMax="47" xr10:uidLastSave="{00000000-0000-0000-0000-000000000000}"/>
  <bookViews>
    <workbookView xWindow="-120" yWindow="-16320" windowWidth="29040" windowHeight="15720"/>
  </bookViews>
  <sheets>
    <sheet name="fluj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0" i="3" l="1"/>
  <c r="G70" i="3"/>
  <c r="F70" i="3"/>
  <c r="E70" i="3"/>
  <c r="D70" i="3"/>
  <c r="H49" i="3"/>
  <c r="G49" i="3"/>
  <c r="F49" i="3"/>
  <c r="E49" i="3"/>
  <c r="D49" i="3"/>
  <c r="E92" i="3"/>
  <c r="F92" i="3"/>
  <c r="G92" i="3"/>
  <c r="H92" i="3"/>
  <c r="D92" i="3"/>
  <c r="E91" i="3"/>
  <c r="F91" i="3"/>
  <c r="G91" i="3"/>
  <c r="H91" i="3"/>
  <c r="D91" i="3"/>
  <c r="D90" i="3"/>
  <c r="H88" i="3"/>
  <c r="C88" i="3"/>
  <c r="E86" i="3"/>
  <c r="F86" i="3"/>
  <c r="G86" i="3"/>
  <c r="H84" i="3"/>
  <c r="H82" i="3"/>
  <c r="H81" i="3"/>
  <c r="C56" i="3"/>
  <c r="C62" i="3" s="1"/>
  <c r="C59" i="3"/>
  <c r="F65" i="3" s="1"/>
  <c r="F37" i="3"/>
  <c r="F90" i="3"/>
  <c r="G37" i="3"/>
  <c r="G90" i="3"/>
  <c r="H37" i="3"/>
  <c r="H90" i="3"/>
  <c r="E37" i="3"/>
  <c r="E90" i="3"/>
  <c r="G33" i="3"/>
  <c r="D17" i="3"/>
  <c r="D78" i="3" s="1"/>
  <c r="C17" i="3"/>
  <c r="C78" i="3"/>
  <c r="D19" i="3"/>
  <c r="D80" i="3" s="1"/>
  <c r="C19" i="3"/>
  <c r="C80" i="3" s="1"/>
  <c r="F10" i="3"/>
  <c r="F88" i="3"/>
  <c r="F33" i="3"/>
  <c r="G10" i="3"/>
  <c r="G88" i="3"/>
  <c r="H10" i="3"/>
  <c r="H33" i="3" s="1"/>
  <c r="D10" i="3"/>
  <c r="D88" i="3" s="1"/>
  <c r="D33" i="3"/>
  <c r="F26" i="3"/>
  <c r="G26" i="3"/>
  <c r="H26" i="3"/>
  <c r="C25" i="3"/>
  <c r="E25" i="3" s="1"/>
  <c r="F25" i="3" s="1"/>
  <c r="G25" i="3" s="1"/>
  <c r="H25" i="3" s="1"/>
  <c r="J26" i="3" s="1"/>
  <c r="H41" i="3" s="1"/>
  <c r="C24" i="3"/>
  <c r="E24" i="3" s="1"/>
  <c r="E8" i="3"/>
  <c r="E10" i="3" s="1"/>
  <c r="E88" i="3" l="1"/>
  <c r="E33" i="3"/>
  <c r="C66" i="3"/>
  <c r="D62" i="3" s="1"/>
  <c r="C97" i="3"/>
  <c r="C101" i="3" s="1"/>
  <c r="H83" i="3"/>
  <c r="H86" i="3" s="1"/>
  <c r="C86" i="3"/>
  <c r="C95" i="3" s="1"/>
  <c r="C103" i="3" s="1"/>
  <c r="E27" i="3"/>
  <c r="D39" i="3" s="1"/>
  <c r="D42" i="3" s="1"/>
  <c r="D45" i="3" s="1"/>
  <c r="F24" i="3"/>
  <c r="D86" i="3"/>
  <c r="E65" i="3"/>
  <c r="D20" i="3"/>
  <c r="H65" i="3"/>
  <c r="G65" i="3"/>
  <c r="D65" i="3"/>
  <c r="C20" i="3"/>
  <c r="D63" i="3" l="1"/>
  <c r="D99" i="3" s="1"/>
  <c r="D100" i="3" s="1"/>
  <c r="D64" i="3"/>
  <c r="D98" i="3" s="1"/>
  <c r="D101" i="3" s="1"/>
  <c r="D102" i="3" s="1"/>
  <c r="G24" i="3"/>
  <c r="H24" i="3" s="1"/>
  <c r="J24" i="3" s="1"/>
  <c r="H40" i="3" s="1"/>
  <c r="F27" i="3"/>
  <c r="D46" i="3"/>
  <c r="D93" i="3" s="1"/>
  <c r="D94" i="3" s="1"/>
  <c r="D95" i="3" s="1"/>
  <c r="D103" i="3" s="1"/>
  <c r="H39" i="3" l="1"/>
  <c r="H42" i="3" s="1"/>
  <c r="H45" i="3" s="1"/>
  <c r="G39" i="3"/>
  <c r="G42" i="3" s="1"/>
  <c r="G45" i="3" s="1"/>
  <c r="E39" i="3"/>
  <c r="E42" i="3" s="1"/>
  <c r="E45" i="3" s="1"/>
  <c r="F39" i="3"/>
  <c r="F42" i="3" s="1"/>
  <c r="F45" i="3" s="1"/>
  <c r="D66" i="3"/>
  <c r="E62" i="3" s="1"/>
  <c r="D47" i="3"/>
  <c r="E63" i="3" l="1"/>
  <c r="F46" i="3"/>
  <c r="F93" i="3" s="1"/>
  <c r="F94" i="3" s="1"/>
  <c r="F95" i="3" s="1"/>
  <c r="E46" i="3"/>
  <c r="E93" i="3" s="1"/>
  <c r="E94" i="3" s="1"/>
  <c r="E95" i="3" s="1"/>
  <c r="G46" i="3"/>
  <c r="G93" i="3" s="1"/>
  <c r="G94" i="3" s="1"/>
  <c r="G95" i="3" s="1"/>
  <c r="G47" i="3"/>
  <c r="H46" i="3"/>
  <c r="H93" i="3" s="1"/>
  <c r="H94" i="3" s="1"/>
  <c r="H95" i="3" s="1"/>
  <c r="H47" i="3"/>
  <c r="E47" i="3" l="1"/>
  <c r="F47" i="3"/>
  <c r="E99" i="3"/>
  <c r="E100" i="3" s="1"/>
  <c r="E64" i="3"/>
  <c r="E98" i="3" l="1"/>
  <c r="E101" i="3" s="1"/>
  <c r="E66" i="3"/>
  <c r="F62" i="3" s="1"/>
  <c r="F63" i="3" l="1"/>
  <c r="E102" i="3"/>
  <c r="E103" i="3"/>
  <c r="F99" i="3" l="1"/>
  <c r="F100" i="3" s="1"/>
  <c r="F64" i="3"/>
  <c r="F98" i="3" l="1"/>
  <c r="F101" i="3" s="1"/>
  <c r="F66" i="3"/>
  <c r="G62" i="3" s="1"/>
  <c r="G63" i="3" l="1"/>
  <c r="F102" i="3"/>
  <c r="F103" i="3"/>
  <c r="G99" i="3" l="1"/>
  <c r="G100" i="3" s="1"/>
  <c r="G64" i="3"/>
  <c r="G98" i="3" l="1"/>
  <c r="G101" i="3" s="1"/>
  <c r="G66" i="3"/>
  <c r="H62" i="3" s="1"/>
  <c r="H63" i="3" l="1"/>
  <c r="G102" i="3"/>
  <c r="G103" i="3"/>
  <c r="H99" i="3" l="1"/>
  <c r="H100" i="3" s="1"/>
  <c r="H64" i="3"/>
  <c r="H98" i="3" l="1"/>
  <c r="H101" i="3" s="1"/>
  <c r="H66" i="3"/>
  <c r="H102" i="3" l="1"/>
  <c r="H103" i="3"/>
</calcChain>
</file>

<file path=xl/sharedStrings.xml><?xml version="1.0" encoding="utf-8"?>
<sst xmlns="http://schemas.openxmlformats.org/spreadsheetml/2006/main" count="112" uniqueCount="105">
  <si>
    <t>FABRICA DE TABLETAS PARA PISOS</t>
  </si>
  <si>
    <t>A. PROYECTO PURO</t>
  </si>
  <si>
    <t>AÑO 0</t>
  </si>
  <si>
    <t>AÑO 1</t>
  </si>
  <si>
    <t>AÑO 2</t>
  </si>
  <si>
    <t>AÑO 3</t>
  </si>
  <si>
    <t>AÑO 4</t>
  </si>
  <si>
    <t>AÑO 5</t>
  </si>
  <si>
    <t>Producción m2 anuales</t>
  </si>
  <si>
    <t>Materia prima y combustible</t>
  </si>
  <si>
    <t>Mano de obra</t>
  </si>
  <si>
    <t>Programa de Produccion</t>
  </si>
  <si>
    <t>FLUJOS DE CAJA ECONOMICO Y FINANCIERO</t>
  </si>
  <si>
    <t>RUBROS</t>
  </si>
  <si>
    <t>PERIODOS</t>
  </si>
  <si>
    <t>Inversiones y Liquidación</t>
  </si>
  <si>
    <t>Activo Fijo Tangible (-)</t>
  </si>
  <si>
    <t>Activo Fijo Intangible(-)</t>
  </si>
  <si>
    <t>Capital de Trabajo (-)</t>
  </si>
  <si>
    <t>Valor recupero Capital Trabajo (+)</t>
  </si>
  <si>
    <t>Valor recupero de Terreno (+)</t>
  </si>
  <si>
    <t>Flujo de Inversiones</t>
  </si>
  <si>
    <t>Costos y Gastos Operativos</t>
  </si>
  <si>
    <t>Ingresos en efectivo (+)</t>
  </si>
  <si>
    <t>Otros Ingresos (+)</t>
  </si>
  <si>
    <t>Costos de Operación (*) (-)</t>
  </si>
  <si>
    <t>Gastos de Administración(**)(-)</t>
  </si>
  <si>
    <t>Gastos de Ventas (-)</t>
  </si>
  <si>
    <t>Impuestos y Tributos (-)</t>
  </si>
  <si>
    <t>Flujo de Caja Operativo</t>
  </si>
  <si>
    <t>Flujo de Caja Económico (FCE)</t>
  </si>
  <si>
    <t>Financiamiento Neto</t>
  </si>
  <si>
    <t xml:space="preserve"> + Préstamos</t>
  </si>
  <si>
    <t xml:space="preserve"> - Amortizaciones</t>
  </si>
  <si>
    <t xml:space="preserve"> - Intereses</t>
  </si>
  <si>
    <t xml:space="preserve"> + Escudo Fiscal o tributario</t>
  </si>
  <si>
    <t>Flujo Financiamiento Neto</t>
  </si>
  <si>
    <t>Flujo de Caja Financiero (FCF)</t>
  </si>
  <si>
    <t>(*) sin depreciaciones</t>
  </si>
  <si>
    <t>(**) sin amortizacion de intangibles</t>
  </si>
  <si>
    <t>Depreciaciones</t>
  </si>
  <si>
    <t>Edificaciones</t>
  </si>
  <si>
    <t>Activos</t>
  </si>
  <si>
    <t>Vc</t>
  </si>
  <si>
    <t>Vida util</t>
  </si>
  <si>
    <t>Dep/año2</t>
  </si>
  <si>
    <t>Dep/año 1</t>
  </si>
  <si>
    <t>Dep Acum</t>
  </si>
  <si>
    <t>Adquisicon de terrenos</t>
  </si>
  <si>
    <t>Construccion de edificios</t>
  </si>
  <si>
    <t>Adquisicion de equipos</t>
  </si>
  <si>
    <t>Total inversion Fija</t>
  </si>
  <si>
    <t xml:space="preserve">Año 0 </t>
  </si>
  <si>
    <t>Año 1</t>
  </si>
  <si>
    <t>Equipos año 0</t>
  </si>
  <si>
    <t>Equipos año 1</t>
  </si>
  <si>
    <t>Valor Cont.</t>
  </si>
  <si>
    <t>Valor Merc.</t>
  </si>
  <si>
    <t>Utilidad/perdida</t>
  </si>
  <si>
    <t>TOTAL</t>
  </si>
  <si>
    <t>Precio de venta (por m2)</t>
  </si>
  <si>
    <t>Ingreso por ventas</t>
  </si>
  <si>
    <t>RUBRO</t>
  </si>
  <si>
    <t>Presupuesto de Inversion</t>
  </si>
  <si>
    <t>Capital de trabajo</t>
  </si>
  <si>
    <t>Total Capital de Trabajo</t>
  </si>
  <si>
    <t xml:space="preserve">Total inversion </t>
  </si>
  <si>
    <t>Ventas netas</t>
  </si>
  <si>
    <t>Mantenimiento y repuestos</t>
  </si>
  <si>
    <t>Otros gastos de operación</t>
  </si>
  <si>
    <t>Utilidad Bruta</t>
  </si>
  <si>
    <t>Costos de Administracion</t>
  </si>
  <si>
    <t>Publicidad y Ventas</t>
  </si>
  <si>
    <t>Utilidad Imponible</t>
  </si>
  <si>
    <t>Impuestos</t>
  </si>
  <si>
    <t>Utlidad Neta</t>
  </si>
  <si>
    <t>Utilidad por venta de edificios</t>
  </si>
  <si>
    <t>Perdida en la venta de equipos</t>
  </si>
  <si>
    <t>Año 2</t>
  </si>
  <si>
    <t>Año 3</t>
  </si>
  <si>
    <t>Año 4</t>
  </si>
  <si>
    <t>Añ0 5</t>
  </si>
  <si>
    <t>Estudios previos</t>
  </si>
  <si>
    <t>Ingresos venta de Edificios (+)</t>
  </si>
  <si>
    <t>Ingresos por venta de Equipos (+)</t>
  </si>
  <si>
    <t>AMORTIZACION DE LA DEUDA</t>
  </si>
  <si>
    <t>PERIODO</t>
  </si>
  <si>
    <t>Año 0</t>
  </si>
  <si>
    <t>Año3</t>
  </si>
  <si>
    <t>Año 5</t>
  </si>
  <si>
    <t>Monto del prestamo</t>
  </si>
  <si>
    <t>TEA</t>
  </si>
  <si>
    <t>n</t>
  </si>
  <si>
    <t>PAGO</t>
  </si>
  <si>
    <t>Deuda Inicial</t>
  </si>
  <si>
    <t>Interes</t>
  </si>
  <si>
    <t>Amortizacion de la deuda</t>
  </si>
  <si>
    <t>Capital</t>
  </si>
  <si>
    <t>Deuda Final</t>
  </si>
  <si>
    <t>TALLER DE FLUJO DE CAJA ECONOMICO Y FINANCIERO</t>
  </si>
  <si>
    <t>Factor de Actualizacion</t>
  </si>
  <si>
    <t>FFN real</t>
  </si>
  <si>
    <t>Tabla de Depreciaciones nominal</t>
  </si>
  <si>
    <t>B. PROYECTO FINANCIADO</t>
  </si>
  <si>
    <t>ESTADO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</si>
</sst>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3" formatCode="&quot;S/.&quot;\ #,##0;[Red]&quot;S/.&quot;\ \-#,##0"/>
    <numFmt numFmtId="187" formatCode="#,##0.0"/>
    <numFmt numFmtId="189" formatCode="_(* #,##0_);_(* \(#,##0\);_(* &quot;-&quot;??_);_(@_)"/>
    <numFmt numFmtId="190" formatCode="_ * #,##0.0_ ;_ * \-#,##0.0_ ;_ * &quot;-&quot;?_ ;_ @_ "/>
    <numFmt numFmtId="193" formatCode="_ [$S/.-280A]\ * #,##0_ ;_ [$S/.-280A]\ * \-#,##0_ ;_ [$S/.-280A]\ * &quot;-&quot;??_ ;_ @_ "/>
    <numFmt numFmtId="195" formatCode="_ * #,##0_ ;_ * \-#,##0_ ;_ * &quot;-&quot;?_ ;_ @_ "/>
    <numFmt numFmtId="197" formatCode="_ * #,##0_ ;_ * \-#,##0_ ;_ * &quot;-&quot;??_ ;_ @_ "/>
    <numFmt numFmtId="200" formatCode="_ * #,##0.0000_ ;_ * \-#,##0.0000_ ;_ * &quot;-&quot;?_ ;_ @_ 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3" fillId="0" borderId="3" xfId="0" applyFont="1" applyFill="1" applyBorder="1"/>
    <xf numFmtId="3" fontId="3" fillId="0" borderId="4" xfId="0" applyNumberFormat="1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3" fontId="3" fillId="0" borderId="7" xfId="0" applyNumberFormat="1" applyFont="1" applyFill="1" applyBorder="1"/>
    <xf numFmtId="3" fontId="3" fillId="0" borderId="1" xfId="0" applyNumberFormat="1" applyFont="1" applyFill="1" applyBorder="1"/>
    <xf numFmtId="3" fontId="3" fillId="0" borderId="8" xfId="0" applyNumberFormat="1" applyFont="1" applyFill="1" applyBorder="1"/>
    <xf numFmtId="3" fontId="3" fillId="0" borderId="9" xfId="0" applyNumberFormat="1" applyFont="1" applyFill="1" applyBorder="1"/>
    <xf numFmtId="3" fontId="3" fillId="0" borderId="10" xfId="0" applyNumberFormat="1" applyFont="1" applyFill="1" applyBorder="1"/>
    <xf numFmtId="3" fontId="3" fillId="0" borderId="11" xfId="0" applyNumberFormat="1" applyFont="1" applyFill="1" applyBorder="1"/>
    <xf numFmtId="0" fontId="2" fillId="0" borderId="12" xfId="0" applyFont="1" applyFill="1" applyBorder="1" applyAlignment="1">
      <alignment horizontal="left" shrinkToFit="1"/>
    </xf>
    <xf numFmtId="3" fontId="3" fillId="0" borderId="13" xfId="0" applyNumberFormat="1" applyFont="1" applyFill="1" applyBorder="1"/>
    <xf numFmtId="3" fontId="3" fillId="0" borderId="2" xfId="0" applyNumberFormat="1" applyFont="1" applyFill="1" applyBorder="1"/>
    <xf numFmtId="0" fontId="2" fillId="0" borderId="14" xfId="0" applyFont="1" applyFill="1" applyBorder="1"/>
    <xf numFmtId="3" fontId="3" fillId="0" borderId="15" xfId="0" applyNumberFormat="1" applyFont="1" applyFill="1" applyBorder="1"/>
    <xf numFmtId="0" fontId="2" fillId="3" borderId="16" xfId="0" applyFont="1" applyFill="1" applyBorder="1"/>
    <xf numFmtId="187" fontId="3" fillId="3" borderId="17" xfId="0" applyNumberFormat="1" applyFont="1" applyFill="1" applyBorder="1"/>
    <xf numFmtId="0" fontId="3" fillId="0" borderId="18" xfId="0" applyFont="1" applyFill="1" applyBorder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0" fontId="3" fillId="0" borderId="19" xfId="0" applyFont="1" applyFill="1" applyBorder="1"/>
    <xf numFmtId="4" fontId="3" fillId="0" borderId="7" xfId="0" applyNumberFormat="1" applyFont="1" applyFill="1" applyBorder="1"/>
    <xf numFmtId="4" fontId="3" fillId="0" borderId="1" xfId="0" applyNumberFormat="1" applyFont="1" applyFill="1" applyBorder="1"/>
    <xf numFmtId="0" fontId="3" fillId="0" borderId="20" xfId="0" applyFont="1" applyFill="1" applyBorder="1"/>
    <xf numFmtId="0" fontId="3" fillId="0" borderId="13" xfId="0" applyFont="1" applyFill="1" applyBorder="1"/>
    <xf numFmtId="2" fontId="3" fillId="0" borderId="2" xfId="0" applyNumberFormat="1" applyFont="1" applyFill="1" applyBorder="1"/>
    <xf numFmtId="0" fontId="2" fillId="3" borderId="21" xfId="0" applyFont="1" applyFill="1" applyBorder="1"/>
    <xf numFmtId="0" fontId="3" fillId="4" borderId="0" xfId="0" applyFont="1" applyFill="1"/>
    <xf numFmtId="0" fontId="3" fillId="0" borderId="1" xfId="0" applyFont="1" applyFill="1" applyBorder="1"/>
    <xf numFmtId="0" fontId="3" fillId="0" borderId="1" xfId="0" applyFont="1" applyBorder="1"/>
    <xf numFmtId="189" fontId="0" fillId="0" borderId="1" xfId="0" applyNumberFormat="1" applyBorder="1"/>
    <xf numFmtId="0" fontId="0" fillId="0" borderId="1" xfId="0" applyBorder="1"/>
    <xf numFmtId="189" fontId="0" fillId="0" borderId="1" xfId="1" applyNumberFormat="1" applyFont="1" applyBorder="1"/>
    <xf numFmtId="0" fontId="2" fillId="0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189" fontId="0" fillId="0" borderId="1" xfId="1" applyNumberFormat="1" applyFont="1" applyBorder="1" applyAlignment="1">
      <alignment horizontal="left"/>
    </xf>
    <xf numFmtId="0" fontId="2" fillId="0" borderId="0" xfId="0" applyFont="1" applyFill="1" applyBorder="1"/>
    <xf numFmtId="189" fontId="2" fillId="0" borderId="1" xfId="0" applyNumberFormat="1" applyFont="1" applyBorder="1"/>
    <xf numFmtId="189" fontId="0" fillId="0" borderId="1" xfId="1" applyNumberFormat="1" applyFont="1" applyFill="1" applyBorder="1"/>
    <xf numFmtId="189" fontId="2" fillId="5" borderId="1" xfId="0" applyNumberFormat="1" applyFont="1" applyFill="1" applyBorder="1"/>
    <xf numFmtId="190" fontId="0" fillId="0" borderId="1" xfId="0" applyNumberFormat="1" applyBorder="1"/>
    <xf numFmtId="190" fontId="2" fillId="5" borderId="1" xfId="0" applyNumberFormat="1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5" borderId="4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2" xfId="0" applyFont="1" applyFill="1" applyBorder="1"/>
    <xf numFmtId="189" fontId="2" fillId="5" borderId="2" xfId="1" applyNumberFormat="1" applyFont="1" applyFill="1" applyBorder="1"/>
    <xf numFmtId="189" fontId="2" fillId="5" borderId="22" xfId="1" applyNumberFormat="1" applyFont="1" applyFill="1" applyBorder="1"/>
    <xf numFmtId="190" fontId="2" fillId="0" borderId="0" xfId="0" applyNumberFormat="1" applyFont="1" applyFill="1" applyBorder="1"/>
    <xf numFmtId="9" fontId="2" fillId="0" borderId="0" xfId="0" applyNumberFormat="1" applyFont="1" applyFill="1" applyBorder="1"/>
    <xf numFmtId="193" fontId="2" fillId="0" borderId="0" xfId="0" applyNumberFormat="1" applyFont="1" applyFill="1" applyBorder="1"/>
    <xf numFmtId="193" fontId="2" fillId="0" borderId="0" xfId="1" applyNumberFormat="1" applyFont="1" applyFill="1" applyBorder="1"/>
    <xf numFmtId="173" fontId="2" fillId="0" borderId="0" xfId="0" applyNumberFormat="1" applyFont="1" applyFill="1" applyBorder="1"/>
    <xf numFmtId="190" fontId="2" fillId="0" borderId="1" xfId="0" applyNumberFormat="1" applyFont="1" applyFill="1" applyBorder="1"/>
    <xf numFmtId="193" fontId="2" fillId="0" borderId="1" xfId="0" applyNumberFormat="1" applyFont="1" applyFill="1" applyBorder="1"/>
    <xf numFmtId="195" fontId="2" fillId="0" borderId="1" xfId="0" applyNumberFormat="1" applyFont="1" applyFill="1" applyBorder="1"/>
    <xf numFmtId="197" fontId="2" fillId="0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190" fontId="2" fillId="6" borderId="1" xfId="0" applyNumberFormat="1" applyFont="1" applyFill="1" applyBorder="1" applyAlignment="1">
      <alignment horizontal="center"/>
    </xf>
    <xf numFmtId="0" fontId="2" fillId="0" borderId="23" xfId="0" applyFont="1" applyFill="1" applyBorder="1"/>
    <xf numFmtId="193" fontId="2" fillId="7" borderId="1" xfId="0" applyNumberFormat="1" applyFont="1" applyFill="1" applyBorder="1"/>
    <xf numFmtId="3" fontId="2" fillId="0" borderId="14" xfId="0" applyNumberFormat="1" applyFont="1" applyFill="1" applyBorder="1" applyAlignment="1">
      <alignment horizontal="left" shrinkToFit="1"/>
    </xf>
    <xf numFmtId="4" fontId="3" fillId="0" borderId="15" xfId="0" applyNumberFormat="1" applyFont="1" applyFill="1" applyBorder="1"/>
    <xf numFmtId="200" fontId="2" fillId="0" borderId="0" xfId="0" applyNumberFormat="1" applyFont="1" applyFill="1" applyBorder="1"/>
    <xf numFmtId="197" fontId="0" fillId="0" borderId="1" xfId="0" applyNumberFormat="1" applyBorder="1"/>
    <xf numFmtId="0" fontId="2" fillId="0" borderId="21" xfId="0" applyFont="1" applyFill="1" applyBorder="1"/>
    <xf numFmtId="4" fontId="3" fillId="0" borderId="17" xfId="0" applyNumberFormat="1" applyFont="1" applyFill="1" applyBorder="1"/>
    <xf numFmtId="0" fontId="2" fillId="0" borderId="12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5"/>
  <sheetViews>
    <sheetView tabSelected="1" topLeftCell="A58" workbookViewId="0">
      <selection activeCell="I75" sqref="I75"/>
    </sheetView>
  </sheetViews>
  <sheetFormatPr baseColWidth="10" defaultColWidth="9.140625" defaultRowHeight="12.75" x14ac:dyDescent="0.2"/>
  <cols>
    <col min="1" max="1" width="11.42578125" customWidth="1"/>
    <col min="2" max="2" width="29.85546875" customWidth="1"/>
    <col min="3" max="3" width="13.28515625" customWidth="1"/>
    <col min="4" max="4" width="14.28515625" customWidth="1"/>
    <col min="5" max="5" width="13.28515625" customWidth="1"/>
    <col min="6" max="6" width="14" customWidth="1"/>
    <col min="7" max="7" width="11.85546875" customWidth="1"/>
    <col min="8" max="8" width="11" customWidth="1"/>
    <col min="9" max="9" width="11.28515625" customWidth="1"/>
    <col min="10" max="10" width="15.140625" customWidth="1"/>
  </cols>
  <sheetData>
    <row r="1" spans="2:9" x14ac:dyDescent="0.2">
      <c r="D1" s="1" t="s">
        <v>99</v>
      </c>
    </row>
    <row r="2" spans="2:9" ht="15.75" x14ac:dyDescent="0.25">
      <c r="D2" s="3" t="s">
        <v>0</v>
      </c>
    </row>
    <row r="4" spans="2:9" x14ac:dyDescent="0.2">
      <c r="B4" s="1" t="s">
        <v>1</v>
      </c>
    </row>
    <row r="6" spans="2:9" ht="13.5" thickBot="1" x14ac:dyDescent="0.25">
      <c r="B6" s="1" t="s">
        <v>11</v>
      </c>
    </row>
    <row r="7" spans="2:9" x14ac:dyDescent="0.2">
      <c r="B7" s="55" t="s">
        <v>62</v>
      </c>
      <c r="C7" s="56" t="s">
        <v>2</v>
      </c>
      <c r="D7" s="56" t="s">
        <v>3</v>
      </c>
      <c r="E7" s="56" t="s">
        <v>4</v>
      </c>
      <c r="F7" s="56" t="s">
        <v>5</v>
      </c>
      <c r="G7" s="56" t="s">
        <v>6</v>
      </c>
      <c r="H7" s="57" t="s">
        <v>7</v>
      </c>
      <c r="I7" s="50"/>
    </row>
    <row r="8" spans="2:9" x14ac:dyDescent="0.2">
      <c r="B8" s="52" t="s">
        <v>8</v>
      </c>
      <c r="C8" s="38"/>
      <c r="D8" s="38">
        <v>8000</v>
      </c>
      <c r="E8" s="38">
        <f>+D8*2</f>
        <v>16000</v>
      </c>
      <c r="F8" s="38">
        <v>16000</v>
      </c>
      <c r="G8" s="38">
        <v>16000</v>
      </c>
      <c r="H8" s="53">
        <v>16000</v>
      </c>
      <c r="I8" s="51"/>
    </row>
    <row r="9" spans="2:9" x14ac:dyDescent="0.2">
      <c r="B9" s="54" t="s">
        <v>60</v>
      </c>
      <c r="C9" s="38"/>
      <c r="D9" s="38">
        <v>150</v>
      </c>
      <c r="E9" s="38">
        <v>150</v>
      </c>
      <c r="F9" s="38">
        <v>150</v>
      </c>
      <c r="G9" s="38">
        <v>150</v>
      </c>
      <c r="H9" s="38">
        <v>150</v>
      </c>
      <c r="I9" s="51"/>
    </row>
    <row r="10" spans="2:9" ht="13.5" thickBot="1" x14ac:dyDescent="0.25">
      <c r="B10" s="58" t="s">
        <v>61</v>
      </c>
      <c r="C10" s="59"/>
      <c r="D10" s="60">
        <f>D8*D9</f>
        <v>1200000</v>
      </c>
      <c r="E10" s="60">
        <f>E8*E9</f>
        <v>2400000</v>
      </c>
      <c r="F10" s="60">
        <f>F8*F9</f>
        <v>2400000</v>
      </c>
      <c r="G10" s="60">
        <f>G8*G9</f>
        <v>2400000</v>
      </c>
      <c r="H10" s="61">
        <f>H8*H9</f>
        <v>2400000</v>
      </c>
      <c r="I10" s="51"/>
    </row>
    <row r="11" spans="2:9" x14ac:dyDescent="0.2">
      <c r="B11" s="2"/>
    </row>
    <row r="12" spans="2:9" x14ac:dyDescent="0.2">
      <c r="B12" s="44" t="s">
        <v>63</v>
      </c>
    </row>
    <row r="13" spans="2:9" x14ac:dyDescent="0.2">
      <c r="B13" s="41" t="s">
        <v>42</v>
      </c>
      <c r="C13" s="41" t="s">
        <v>52</v>
      </c>
      <c r="D13" s="41" t="s">
        <v>53</v>
      </c>
    </row>
    <row r="14" spans="2:9" x14ac:dyDescent="0.2">
      <c r="B14" s="35" t="s">
        <v>48</v>
      </c>
      <c r="C14" s="39">
        <v>300000</v>
      </c>
      <c r="D14" s="38"/>
    </row>
    <row r="15" spans="2:9" x14ac:dyDescent="0.2">
      <c r="B15" s="35" t="s">
        <v>49</v>
      </c>
      <c r="C15" s="39">
        <v>1700000</v>
      </c>
      <c r="D15" s="38"/>
    </row>
    <row r="16" spans="2:9" x14ac:dyDescent="0.2">
      <c r="B16" s="35" t="s">
        <v>50</v>
      </c>
      <c r="C16" s="39">
        <v>3000000</v>
      </c>
      <c r="D16" s="43">
        <v>1000000</v>
      </c>
    </row>
    <row r="17" spans="2:10" x14ac:dyDescent="0.2">
      <c r="B17" s="40" t="s">
        <v>51</v>
      </c>
      <c r="C17" s="45">
        <f>SUM(C14:C16)</f>
        <v>5000000</v>
      </c>
      <c r="D17" s="4">
        <f>SUM(D14:D16)</f>
        <v>1000000</v>
      </c>
    </row>
    <row r="18" spans="2:10" x14ac:dyDescent="0.2">
      <c r="B18" s="40" t="s">
        <v>64</v>
      </c>
      <c r="C18" s="46">
        <v>300000</v>
      </c>
      <c r="D18" s="36">
        <v>300000</v>
      </c>
    </row>
    <row r="19" spans="2:10" x14ac:dyDescent="0.2">
      <c r="B19" s="40" t="s">
        <v>65</v>
      </c>
      <c r="C19" s="45">
        <f>C18</f>
        <v>300000</v>
      </c>
      <c r="D19" s="45">
        <f>D18</f>
        <v>300000</v>
      </c>
    </row>
    <row r="20" spans="2:10" x14ac:dyDescent="0.2">
      <c r="B20" s="41" t="s">
        <v>66</v>
      </c>
      <c r="C20" s="47">
        <f>C17+C19</f>
        <v>5300000</v>
      </c>
      <c r="D20" s="47">
        <f>D17+D19</f>
        <v>1300000</v>
      </c>
    </row>
    <row r="22" spans="2:10" x14ac:dyDescent="0.2">
      <c r="B22" s="1" t="s">
        <v>102</v>
      </c>
    </row>
    <row r="23" spans="2:10" x14ac:dyDescent="0.2">
      <c r="B23" s="41" t="s">
        <v>42</v>
      </c>
      <c r="C23" s="41" t="s">
        <v>43</v>
      </c>
      <c r="D23" s="41" t="s">
        <v>44</v>
      </c>
      <c r="E23" s="41" t="s">
        <v>46</v>
      </c>
      <c r="F23" s="41" t="s">
        <v>45</v>
      </c>
      <c r="G23" s="41" t="s">
        <v>47</v>
      </c>
      <c r="H23" s="41" t="s">
        <v>56</v>
      </c>
      <c r="I23" s="41" t="s">
        <v>57</v>
      </c>
      <c r="J23" s="41" t="s">
        <v>58</v>
      </c>
    </row>
    <row r="24" spans="2:10" x14ac:dyDescent="0.2">
      <c r="B24" s="35" t="s">
        <v>41</v>
      </c>
      <c r="C24" s="37">
        <f>C15</f>
        <v>1700000</v>
      </c>
      <c r="D24" s="38">
        <v>20</v>
      </c>
      <c r="E24" s="38">
        <f>C24*(1/D24)</f>
        <v>85000</v>
      </c>
      <c r="F24" s="38">
        <f>E24</f>
        <v>85000</v>
      </c>
      <c r="G24" s="38">
        <f>F24*5</f>
        <v>425000</v>
      </c>
      <c r="H24" s="37">
        <f>C24-G24</f>
        <v>1275000</v>
      </c>
      <c r="I24" s="39">
        <v>2500000</v>
      </c>
      <c r="J24" s="37">
        <f>I24-H24</f>
        <v>1225000</v>
      </c>
    </row>
    <row r="25" spans="2:10" x14ac:dyDescent="0.2">
      <c r="B25" s="35" t="s">
        <v>54</v>
      </c>
      <c r="C25" s="37">
        <f>C16</f>
        <v>3000000</v>
      </c>
      <c r="D25" s="38">
        <v>10</v>
      </c>
      <c r="E25" s="38">
        <f>C25*(1/D25)</f>
        <v>300000</v>
      </c>
      <c r="F25" s="38">
        <f>E25</f>
        <v>300000</v>
      </c>
      <c r="G25" s="38">
        <f>F25*5</f>
        <v>1500000</v>
      </c>
      <c r="H25" s="37">
        <f>C25-G25</f>
        <v>1500000</v>
      </c>
      <c r="I25" s="38"/>
      <c r="J25" s="38"/>
    </row>
    <row r="26" spans="2:10" x14ac:dyDescent="0.2">
      <c r="B26" s="35" t="s">
        <v>55</v>
      </c>
      <c r="C26" s="39">
        <v>1000000</v>
      </c>
      <c r="D26" s="38">
        <v>10</v>
      </c>
      <c r="E26" s="38">
        <v>0</v>
      </c>
      <c r="F26" s="38">
        <f>C26*(1/D26)</f>
        <v>100000</v>
      </c>
      <c r="G26" s="38">
        <f>F26*4</f>
        <v>400000</v>
      </c>
      <c r="H26" s="37">
        <f>C26-G26</f>
        <v>600000</v>
      </c>
      <c r="I26" s="39">
        <v>600000</v>
      </c>
      <c r="J26" s="37">
        <f>I26-H25-H26</f>
        <v>-1500000</v>
      </c>
    </row>
    <row r="27" spans="2:10" x14ac:dyDescent="0.2">
      <c r="B27" s="42" t="s">
        <v>59</v>
      </c>
      <c r="C27" s="41"/>
      <c r="D27" s="41"/>
      <c r="E27" s="41">
        <f>SUM(E24:E26)</f>
        <v>385000</v>
      </c>
      <c r="F27" s="41">
        <f>SUM(F24:F26)</f>
        <v>485000</v>
      </c>
      <c r="G27" s="41"/>
      <c r="H27" s="41"/>
      <c r="I27" s="41"/>
      <c r="J27" s="41"/>
    </row>
    <row r="30" spans="2:10" x14ac:dyDescent="0.2">
      <c r="B30" s="84" t="s">
        <v>104</v>
      </c>
      <c r="C30" s="84"/>
      <c r="D30" s="84"/>
      <c r="E30" s="84"/>
      <c r="F30" s="84"/>
      <c r="G30" s="84"/>
      <c r="H30" s="84"/>
    </row>
    <row r="32" spans="2:10" x14ac:dyDescent="0.2">
      <c r="B32" s="42" t="s">
        <v>62</v>
      </c>
      <c r="C32" s="42"/>
      <c r="D32" s="42" t="s">
        <v>53</v>
      </c>
      <c r="E32" s="42" t="s">
        <v>78</v>
      </c>
      <c r="F32" s="42" t="s">
        <v>79</v>
      </c>
      <c r="G32" s="42" t="s">
        <v>80</v>
      </c>
      <c r="H32" s="42" t="s">
        <v>81</v>
      </c>
    </row>
    <row r="33" spans="2:8" x14ac:dyDescent="0.2">
      <c r="B33" s="36" t="s">
        <v>67</v>
      </c>
      <c r="C33" s="37"/>
      <c r="D33" s="37">
        <f>D10</f>
        <v>1200000</v>
      </c>
      <c r="E33" s="37">
        <f>E10</f>
        <v>2400000</v>
      </c>
      <c r="F33" s="37">
        <f>F10</f>
        <v>2400000</v>
      </c>
      <c r="G33" s="37">
        <f>G10</f>
        <v>2400000</v>
      </c>
      <c r="H33" s="37">
        <f>H10</f>
        <v>2400000</v>
      </c>
    </row>
    <row r="34" spans="2:8" x14ac:dyDescent="0.2">
      <c r="B34" s="36" t="s">
        <v>10</v>
      </c>
      <c r="C34" s="38"/>
      <c r="D34" s="38">
        <v>-75000</v>
      </c>
      <c r="E34" s="38">
        <v>-150000</v>
      </c>
      <c r="F34" s="38">
        <v>-150000</v>
      </c>
      <c r="G34" s="38">
        <v>-150000</v>
      </c>
      <c r="H34" s="38">
        <v>-150000</v>
      </c>
    </row>
    <row r="35" spans="2:8" x14ac:dyDescent="0.2">
      <c r="B35" s="36" t="s">
        <v>9</v>
      </c>
      <c r="C35" s="38"/>
      <c r="D35" s="38">
        <v>-90000</v>
      </c>
      <c r="E35" s="38">
        <v>-180000</v>
      </c>
      <c r="F35" s="38">
        <v>-180000</v>
      </c>
      <c r="G35" s="38">
        <v>-180000</v>
      </c>
      <c r="H35" s="38">
        <v>-180000</v>
      </c>
    </row>
    <row r="36" spans="2:8" x14ac:dyDescent="0.2">
      <c r="B36" s="36" t="s">
        <v>68</v>
      </c>
      <c r="C36" s="38"/>
      <c r="D36" s="38">
        <v>-15000</v>
      </c>
      <c r="E36" s="38">
        <v>-30000</v>
      </c>
      <c r="F36" s="38">
        <v>-30000</v>
      </c>
      <c r="G36" s="38">
        <v>-30000</v>
      </c>
      <c r="H36" s="38">
        <v>-30000</v>
      </c>
    </row>
    <row r="37" spans="2:8" x14ac:dyDescent="0.2">
      <c r="B37" s="36" t="s">
        <v>69</v>
      </c>
      <c r="C37" s="38"/>
      <c r="D37" s="38">
        <v>-15000</v>
      </c>
      <c r="E37" s="38">
        <f>-30000</f>
        <v>-30000</v>
      </c>
      <c r="F37" s="38">
        <f>-30000</f>
        <v>-30000</v>
      </c>
      <c r="G37" s="38">
        <f>-30000</f>
        <v>-30000</v>
      </c>
      <c r="H37" s="38">
        <f>-30000</f>
        <v>-30000</v>
      </c>
    </row>
    <row r="38" spans="2:8" x14ac:dyDescent="0.2">
      <c r="B38" s="36" t="s">
        <v>82</v>
      </c>
      <c r="C38" s="38"/>
      <c r="D38" s="38">
        <v>-300000</v>
      </c>
      <c r="E38" s="38"/>
      <c r="F38" s="38"/>
      <c r="G38" s="38"/>
      <c r="H38" s="38"/>
    </row>
    <row r="39" spans="2:8" x14ac:dyDescent="0.2">
      <c r="B39" s="36" t="s">
        <v>40</v>
      </c>
      <c r="C39" s="38"/>
      <c r="D39" s="78">
        <f>-E27*D49</f>
        <v>-373786.40776699031</v>
      </c>
      <c r="E39" s="78">
        <f>-$F$27*E49</f>
        <v>-457159.01592987083</v>
      </c>
      <c r="F39" s="78">
        <f>-$F$27*F49</f>
        <v>-443843.70478628238</v>
      </c>
      <c r="G39" s="78">
        <f>-$F$27*G49</f>
        <v>-430916.21823910915</v>
      </c>
      <c r="H39" s="78">
        <f>-$F$27*H49</f>
        <v>-418365.26042631961</v>
      </c>
    </row>
    <row r="40" spans="2:8" x14ac:dyDescent="0.2">
      <c r="B40" s="36" t="s">
        <v>76</v>
      </c>
      <c r="C40" s="38"/>
      <c r="D40" s="38"/>
      <c r="E40" s="38"/>
      <c r="F40" s="38"/>
      <c r="G40" s="38"/>
      <c r="H40" s="37">
        <f>J24</f>
        <v>1225000</v>
      </c>
    </row>
    <row r="41" spans="2:8" x14ac:dyDescent="0.2">
      <c r="B41" s="36" t="s">
        <v>77</v>
      </c>
      <c r="C41" s="38"/>
      <c r="D41" s="37"/>
      <c r="E41" s="38"/>
      <c r="F41" s="38"/>
      <c r="G41" s="38"/>
      <c r="H41" s="37">
        <f>J26</f>
        <v>-1500000</v>
      </c>
    </row>
    <row r="42" spans="2:8" x14ac:dyDescent="0.2">
      <c r="B42" s="4" t="s">
        <v>70</v>
      </c>
      <c r="C42" s="4"/>
      <c r="D42" s="45">
        <f>SUM(D33:D41)</f>
        <v>331213.59223300969</v>
      </c>
      <c r="E42" s="45">
        <f>SUM(E33:E41)</f>
        <v>1552840.9840701292</v>
      </c>
      <c r="F42" s="45">
        <f>SUM(F33:F41)</f>
        <v>1566156.2952137175</v>
      </c>
      <c r="G42" s="45">
        <f>SUM(G33:G41)</f>
        <v>1579083.781760891</v>
      </c>
      <c r="H42" s="45">
        <f>SUM(H33:H41)</f>
        <v>1316634.7395736803</v>
      </c>
    </row>
    <row r="43" spans="2:8" x14ac:dyDescent="0.2">
      <c r="B43" s="36" t="s">
        <v>71</v>
      </c>
      <c r="C43" s="38"/>
      <c r="D43" s="38">
        <v>-75000</v>
      </c>
      <c r="E43" s="38">
        <v>-150000</v>
      </c>
      <c r="F43" s="38">
        <v>-150000</v>
      </c>
      <c r="G43" s="38">
        <v>-150000</v>
      </c>
      <c r="H43" s="38">
        <v>-150000</v>
      </c>
    </row>
    <row r="44" spans="2:8" x14ac:dyDescent="0.2">
      <c r="B44" s="36" t="s">
        <v>72</v>
      </c>
      <c r="C44" s="38"/>
      <c r="D44" s="38">
        <v>-30000</v>
      </c>
      <c r="E44" s="38">
        <v>-60000</v>
      </c>
      <c r="F44" s="38">
        <v>-60000</v>
      </c>
      <c r="G44" s="38">
        <v>-60000</v>
      </c>
      <c r="H44" s="38">
        <v>-60000</v>
      </c>
    </row>
    <row r="45" spans="2:8" x14ac:dyDescent="0.2">
      <c r="B45" s="4" t="s">
        <v>73</v>
      </c>
      <c r="C45" s="4"/>
      <c r="D45" s="45">
        <f>SUM(D42:D44)</f>
        <v>226213.59223300969</v>
      </c>
      <c r="E45" s="45">
        <f>SUM(E42:E44)</f>
        <v>1342840.9840701292</v>
      </c>
      <c r="F45" s="45">
        <f>SUM(F42:F44)</f>
        <v>1356156.2952137175</v>
      </c>
      <c r="G45" s="45">
        <f>SUM(G42:G44)</f>
        <v>1369083.781760891</v>
      </c>
      <c r="H45" s="45">
        <f>SUM(H42:H44)</f>
        <v>1106634.7395736803</v>
      </c>
    </row>
    <row r="46" spans="2:8" x14ac:dyDescent="0.2">
      <c r="B46" s="36" t="s">
        <v>74</v>
      </c>
      <c r="C46" s="38"/>
      <c r="D46" s="48">
        <f>-D45*0.15</f>
        <v>-33932.038834951454</v>
      </c>
      <c r="E46" s="48">
        <f>-E45*0.15</f>
        <v>-201426.14761051937</v>
      </c>
      <c r="F46" s="48">
        <f>-F45*0.15</f>
        <v>-203423.44428205761</v>
      </c>
      <c r="G46" s="48">
        <f>-G45*0.15</f>
        <v>-205362.56726413363</v>
      </c>
      <c r="H46" s="48">
        <f>-H45*0.15</f>
        <v>-165995.21093605206</v>
      </c>
    </row>
    <row r="47" spans="2:8" x14ac:dyDescent="0.2">
      <c r="B47" s="41" t="s">
        <v>75</v>
      </c>
      <c r="C47" s="41"/>
      <c r="D47" s="49">
        <f>D45+D46</f>
        <v>192281.55339805823</v>
      </c>
      <c r="E47" s="49">
        <f>E45+E46</f>
        <v>1141414.8364596099</v>
      </c>
      <c r="F47" s="49">
        <f>F45+F46</f>
        <v>1152732.8509316598</v>
      </c>
      <c r="G47" s="49">
        <f>G45+G46</f>
        <v>1163721.2144967574</v>
      </c>
      <c r="H47" s="49">
        <f>H45+H46</f>
        <v>940639.5286376283</v>
      </c>
    </row>
    <row r="48" spans="2:8" x14ac:dyDescent="0.2">
      <c r="B48" s="44"/>
      <c r="C48" s="44"/>
      <c r="D48" s="62"/>
      <c r="E48" s="62"/>
      <c r="F48" s="62"/>
      <c r="G48" s="62"/>
      <c r="H48" s="62"/>
    </row>
    <row r="49" spans="2:8" x14ac:dyDescent="0.2">
      <c r="B49" s="44" t="s">
        <v>100</v>
      </c>
      <c r="C49" s="44"/>
      <c r="D49" s="77">
        <f>1/POWER(1.03,1)</f>
        <v>0.970873786407767</v>
      </c>
      <c r="E49" s="77">
        <f>1/POWER(1.03,2)</f>
        <v>0.94259590913375435</v>
      </c>
      <c r="F49" s="77">
        <f>1/POWER(1.03,3)</f>
        <v>0.91514165935315961</v>
      </c>
      <c r="G49" s="77">
        <f>1/POWER(1.03,4)</f>
        <v>0.888487047915689</v>
      </c>
      <c r="H49" s="77">
        <f>1/POWER(1.03,5)</f>
        <v>0.86260878438416411</v>
      </c>
    </row>
    <row r="50" spans="2:8" x14ac:dyDescent="0.2">
      <c r="B50" s="44"/>
      <c r="C50" s="44"/>
      <c r="D50" s="62"/>
      <c r="E50" s="62"/>
      <c r="F50" s="62"/>
      <c r="G50" s="62"/>
      <c r="H50" s="62"/>
    </row>
    <row r="51" spans="2:8" x14ac:dyDescent="0.2">
      <c r="B51" s="44"/>
      <c r="C51" s="44"/>
      <c r="D51" s="62"/>
      <c r="E51" s="62"/>
      <c r="F51" s="62"/>
      <c r="G51" s="62"/>
      <c r="H51" s="62"/>
    </row>
    <row r="52" spans="2:8" x14ac:dyDescent="0.2">
      <c r="B52" s="44" t="s">
        <v>103</v>
      </c>
      <c r="C52" s="44"/>
      <c r="D52" s="62"/>
      <c r="E52" s="62"/>
      <c r="F52" s="62"/>
      <c r="G52" s="62"/>
      <c r="H52" s="62"/>
    </row>
    <row r="53" spans="2:8" x14ac:dyDescent="0.2">
      <c r="B53" s="44"/>
      <c r="C53" s="44"/>
      <c r="D53" s="62"/>
      <c r="E53" s="62"/>
      <c r="F53" s="62"/>
      <c r="G53" s="62"/>
      <c r="H53" s="62"/>
    </row>
    <row r="54" spans="2:8" x14ac:dyDescent="0.2">
      <c r="B54" s="44" t="s">
        <v>85</v>
      </c>
      <c r="C54" s="44"/>
      <c r="D54" s="62"/>
      <c r="E54" s="62"/>
      <c r="F54" s="62"/>
      <c r="G54" s="62"/>
      <c r="H54" s="62"/>
    </row>
    <row r="55" spans="2:8" x14ac:dyDescent="0.2">
      <c r="B55" s="44"/>
      <c r="C55" s="44"/>
      <c r="D55" s="62"/>
      <c r="E55" s="62"/>
      <c r="F55" s="62"/>
      <c r="G55" s="62"/>
      <c r="H55" s="62"/>
    </row>
    <row r="56" spans="2:8" x14ac:dyDescent="0.2">
      <c r="B56" s="44" t="s">
        <v>90</v>
      </c>
      <c r="C56" s="65">
        <f>3000000</f>
        <v>3000000</v>
      </c>
      <c r="D56" s="64"/>
      <c r="E56" s="62"/>
      <c r="F56" s="62"/>
      <c r="G56" s="62"/>
      <c r="H56" s="62"/>
    </row>
    <row r="57" spans="2:8" x14ac:dyDescent="0.2">
      <c r="B57" s="44" t="s">
        <v>91</v>
      </c>
      <c r="C57" s="63">
        <v>0.15</v>
      </c>
      <c r="D57" s="62"/>
      <c r="E57" s="62"/>
      <c r="F57" s="62"/>
      <c r="G57" s="62"/>
      <c r="H57" s="62"/>
    </row>
    <row r="58" spans="2:8" x14ac:dyDescent="0.2">
      <c r="B58" s="44" t="s">
        <v>92</v>
      </c>
      <c r="C58" s="44">
        <v>5</v>
      </c>
      <c r="D58" s="62"/>
      <c r="E58" s="62"/>
      <c r="F58" s="62"/>
      <c r="G58" s="62"/>
      <c r="H58" s="62"/>
    </row>
    <row r="59" spans="2:8" x14ac:dyDescent="0.2">
      <c r="B59" s="44" t="s">
        <v>93</v>
      </c>
      <c r="C59" s="66">
        <f>-PMT(C57,C58,C56)</f>
        <v>894946.65738458501</v>
      </c>
      <c r="D59" s="62"/>
      <c r="E59" s="62"/>
      <c r="F59" s="62"/>
      <c r="G59" s="62"/>
      <c r="H59" s="62"/>
    </row>
    <row r="60" spans="2:8" x14ac:dyDescent="0.2">
      <c r="B60" s="44"/>
      <c r="C60" s="44"/>
      <c r="D60" s="62"/>
      <c r="E60" s="62"/>
      <c r="F60" s="62"/>
      <c r="G60" s="62"/>
      <c r="H60" s="62"/>
    </row>
    <row r="61" spans="2:8" x14ac:dyDescent="0.2">
      <c r="B61" s="71" t="s">
        <v>86</v>
      </c>
      <c r="C61" s="71" t="s">
        <v>87</v>
      </c>
      <c r="D61" s="72" t="s">
        <v>53</v>
      </c>
      <c r="E61" s="72" t="s">
        <v>78</v>
      </c>
      <c r="F61" s="72" t="s">
        <v>88</v>
      </c>
      <c r="G61" s="72" t="s">
        <v>80</v>
      </c>
      <c r="H61" s="72" t="s">
        <v>89</v>
      </c>
    </row>
    <row r="62" spans="2:8" x14ac:dyDescent="0.2">
      <c r="B62" s="40" t="s">
        <v>94</v>
      </c>
      <c r="C62" s="74">
        <f>C56</f>
        <v>3000000</v>
      </c>
      <c r="D62" s="69">
        <f>C66</f>
        <v>3000000</v>
      </c>
      <c r="E62" s="69">
        <f>D66</f>
        <v>2555053.3426154149</v>
      </c>
      <c r="F62" s="69">
        <f>E66</f>
        <v>2043364.6866231421</v>
      </c>
      <c r="G62" s="69">
        <f>F66</f>
        <v>1454922.7322320284</v>
      </c>
      <c r="H62" s="69">
        <f>G66</f>
        <v>778214.48468224762</v>
      </c>
    </row>
    <row r="63" spans="2:8" x14ac:dyDescent="0.2">
      <c r="B63" s="40" t="s">
        <v>95</v>
      </c>
      <c r="C63" s="40">
        <v>0</v>
      </c>
      <c r="D63" s="67">
        <f>D62*$C$57</f>
        <v>450000</v>
      </c>
      <c r="E63" s="69">
        <f>E62*$C$57</f>
        <v>383258.00139231223</v>
      </c>
      <c r="F63" s="69">
        <f>F62*$C$57</f>
        <v>306504.70299347129</v>
      </c>
      <c r="G63" s="69">
        <f>G62*$C$57</f>
        <v>218238.40983480425</v>
      </c>
      <c r="H63" s="69">
        <f>H62*$C$57</f>
        <v>116732.17270233713</v>
      </c>
    </row>
    <row r="64" spans="2:8" x14ac:dyDescent="0.2">
      <c r="B64" s="40" t="s">
        <v>97</v>
      </c>
      <c r="C64" s="40">
        <v>0</v>
      </c>
      <c r="D64" s="70">
        <f>D65-D63</f>
        <v>444946.65738458501</v>
      </c>
      <c r="E64" s="70">
        <f>E65-E63</f>
        <v>511688.65599227278</v>
      </c>
      <c r="F64" s="70">
        <f>F65-F63</f>
        <v>588441.95439111372</v>
      </c>
      <c r="G64" s="70">
        <f>G65-G63</f>
        <v>676708.24754978076</v>
      </c>
      <c r="H64" s="70">
        <f>H65-H63</f>
        <v>778214.48468224786</v>
      </c>
    </row>
    <row r="65" spans="2:9" x14ac:dyDescent="0.2">
      <c r="B65" s="40" t="s">
        <v>96</v>
      </c>
      <c r="C65" s="40">
        <v>0</v>
      </c>
      <c r="D65" s="69">
        <f>$C$59</f>
        <v>894946.65738458501</v>
      </c>
      <c r="E65" s="69">
        <f>$C$59</f>
        <v>894946.65738458501</v>
      </c>
      <c r="F65" s="69">
        <f>$C$59</f>
        <v>894946.65738458501</v>
      </c>
      <c r="G65" s="69">
        <f>$C$59</f>
        <v>894946.65738458501</v>
      </c>
      <c r="H65" s="69">
        <f>$C$59</f>
        <v>894946.65738458501</v>
      </c>
    </row>
    <row r="66" spans="2:9" x14ac:dyDescent="0.2">
      <c r="B66" s="40" t="s">
        <v>98</v>
      </c>
      <c r="C66" s="68">
        <f t="shared" ref="C66:H66" si="0">C62-C64</f>
        <v>3000000</v>
      </c>
      <c r="D66" s="68">
        <f t="shared" si="0"/>
        <v>2555053.3426154149</v>
      </c>
      <c r="E66" s="68">
        <f t="shared" si="0"/>
        <v>2043364.6866231421</v>
      </c>
      <c r="F66" s="68">
        <f t="shared" si="0"/>
        <v>1454922.7322320284</v>
      </c>
      <c r="G66" s="68">
        <f t="shared" si="0"/>
        <v>778214.48468224762</v>
      </c>
      <c r="H66" s="68">
        <f t="shared" si="0"/>
        <v>0</v>
      </c>
    </row>
    <row r="67" spans="2:9" x14ac:dyDescent="0.2">
      <c r="B67" s="44"/>
      <c r="C67" s="44"/>
      <c r="D67" s="62"/>
      <c r="E67" s="62"/>
      <c r="F67" s="62"/>
      <c r="G67" s="62"/>
      <c r="H67" s="62"/>
    </row>
    <row r="68" spans="2:9" x14ac:dyDescent="0.2">
      <c r="B68" s="44"/>
      <c r="C68" s="44"/>
      <c r="D68" s="62"/>
      <c r="E68" s="62"/>
      <c r="F68" s="62"/>
      <c r="G68" s="62"/>
      <c r="H68" s="62"/>
    </row>
    <row r="69" spans="2:9" x14ac:dyDescent="0.2">
      <c r="B69" s="44"/>
      <c r="C69" s="44"/>
      <c r="D69" s="62"/>
      <c r="E69" s="62"/>
      <c r="F69" s="62"/>
      <c r="G69" s="62"/>
      <c r="H69" s="62"/>
    </row>
    <row r="70" spans="2:9" x14ac:dyDescent="0.2">
      <c r="B70" s="44" t="s">
        <v>100</v>
      </c>
      <c r="C70" s="44"/>
      <c r="D70" s="77">
        <f>1/POWER(1.03,1)</f>
        <v>0.970873786407767</v>
      </c>
      <c r="E70" s="77">
        <f>1/POWER(1.03,2)</f>
        <v>0.94259590913375435</v>
      </c>
      <c r="F70" s="77">
        <f>1/POWER(1.03,3)</f>
        <v>0.91514165935315961</v>
      </c>
      <c r="G70" s="77">
        <f>1/POWER(1.03,4)</f>
        <v>0.888487047915689</v>
      </c>
      <c r="H70" s="77">
        <f>1/POWER(1.03,5)</f>
        <v>0.86260878438416411</v>
      </c>
    </row>
    <row r="72" spans="2:9" ht="13.5" thickBot="1" x14ac:dyDescent="0.25"/>
    <row r="73" spans="2:9" ht="13.5" thickBot="1" x14ac:dyDescent="0.25">
      <c r="B73" s="85" t="s">
        <v>12</v>
      </c>
      <c r="C73" s="86"/>
      <c r="D73" s="86"/>
      <c r="E73" s="86"/>
      <c r="F73" s="86"/>
      <c r="G73" s="86"/>
      <c r="H73" s="87"/>
    </row>
    <row r="74" spans="2:9" ht="13.5" thickBot="1" x14ac:dyDescent="0.25"/>
    <row r="75" spans="2:9" x14ac:dyDescent="0.2">
      <c r="B75" s="88" t="s">
        <v>13</v>
      </c>
      <c r="C75" s="90" t="s">
        <v>14</v>
      </c>
      <c r="D75" s="91"/>
      <c r="E75" s="91"/>
      <c r="F75" s="91"/>
      <c r="G75" s="91"/>
      <c r="H75" s="92"/>
    </row>
    <row r="76" spans="2:9" ht="13.5" thickBot="1" x14ac:dyDescent="0.25">
      <c r="B76" s="89"/>
      <c r="C76" s="5">
        <v>0</v>
      </c>
      <c r="D76" s="5">
        <v>1</v>
      </c>
      <c r="E76" s="5">
        <v>2</v>
      </c>
      <c r="F76" s="5">
        <v>3</v>
      </c>
      <c r="G76" s="5">
        <v>4</v>
      </c>
      <c r="H76" s="5">
        <v>5</v>
      </c>
      <c r="I76" s="73"/>
    </row>
    <row r="77" spans="2:9" ht="13.5" thickBot="1" x14ac:dyDescent="0.25">
      <c r="B77" s="81" t="s">
        <v>15</v>
      </c>
      <c r="C77" s="93"/>
      <c r="D77" s="93"/>
      <c r="E77" s="93"/>
      <c r="F77" s="93"/>
      <c r="G77" s="93"/>
      <c r="H77" s="94"/>
    </row>
    <row r="78" spans="2:9" x14ac:dyDescent="0.2">
      <c r="B78" s="6" t="s">
        <v>16</v>
      </c>
      <c r="C78" s="7">
        <f>-C17</f>
        <v>-5000000</v>
      </c>
      <c r="D78" s="7">
        <f>-D17</f>
        <v>-1000000</v>
      </c>
      <c r="E78" s="8"/>
      <c r="F78" s="8"/>
      <c r="G78" s="8"/>
      <c r="H78" s="9"/>
    </row>
    <row r="79" spans="2:9" x14ac:dyDescent="0.2">
      <c r="B79" s="6" t="s">
        <v>17</v>
      </c>
      <c r="C79" s="10">
        <v>0</v>
      </c>
      <c r="D79" s="11"/>
      <c r="E79" s="11"/>
      <c r="F79" s="11"/>
      <c r="G79" s="11"/>
      <c r="H79" s="12"/>
    </row>
    <row r="80" spans="2:9" x14ac:dyDescent="0.2">
      <c r="B80" s="6" t="s">
        <v>18</v>
      </c>
      <c r="C80" s="10">
        <f>-C19</f>
        <v>-300000</v>
      </c>
      <c r="D80" s="10">
        <f>-D19</f>
        <v>-300000</v>
      </c>
      <c r="E80" s="11"/>
      <c r="F80" s="11"/>
      <c r="G80" s="11"/>
      <c r="H80" s="12"/>
    </row>
    <row r="81" spans="2:8" x14ac:dyDescent="0.2">
      <c r="B81" s="6" t="s">
        <v>83</v>
      </c>
      <c r="C81" s="10"/>
      <c r="D81" s="11"/>
      <c r="E81" s="11"/>
      <c r="F81" s="11"/>
      <c r="G81" s="11"/>
      <c r="H81" s="12">
        <f>I24</f>
        <v>2500000</v>
      </c>
    </row>
    <row r="82" spans="2:8" x14ac:dyDescent="0.2">
      <c r="B82" s="6" t="s">
        <v>84</v>
      </c>
      <c r="C82" s="10"/>
      <c r="D82" s="11"/>
      <c r="E82" s="11"/>
      <c r="F82" s="11"/>
      <c r="G82" s="11"/>
      <c r="H82" s="12">
        <f>I26</f>
        <v>600000</v>
      </c>
    </row>
    <row r="83" spans="2:8" x14ac:dyDescent="0.2">
      <c r="B83" s="6" t="s">
        <v>19</v>
      </c>
      <c r="C83" s="10"/>
      <c r="D83" s="11"/>
      <c r="E83" s="11"/>
      <c r="F83" s="11"/>
      <c r="G83" s="11"/>
      <c r="H83" s="12">
        <f>-(C80+D80)</f>
        <v>600000</v>
      </c>
    </row>
    <row r="84" spans="2:8" x14ac:dyDescent="0.2">
      <c r="B84" s="6" t="s">
        <v>20</v>
      </c>
      <c r="C84" s="10"/>
      <c r="D84" s="11"/>
      <c r="E84" s="11"/>
      <c r="F84" s="11"/>
      <c r="G84" s="11"/>
      <c r="H84" s="12">
        <f>C14</f>
        <v>300000</v>
      </c>
    </row>
    <row r="85" spans="2:8" ht="13.5" thickBot="1" x14ac:dyDescent="0.25">
      <c r="B85" s="6"/>
      <c r="C85" s="13"/>
      <c r="D85" s="14"/>
      <c r="E85" s="14"/>
      <c r="F85" s="14"/>
      <c r="G85" s="14"/>
      <c r="H85" s="15"/>
    </row>
    <row r="86" spans="2:8" ht="13.5" thickBot="1" x14ac:dyDescent="0.25">
      <c r="B86" s="16" t="s">
        <v>21</v>
      </c>
      <c r="C86" s="75">
        <f t="shared" ref="C86:H86" si="1">SUM(C78:C85)</f>
        <v>-5300000</v>
      </c>
      <c r="D86" s="75">
        <f t="shared" si="1"/>
        <v>-1300000</v>
      </c>
      <c r="E86" s="75">
        <f t="shared" si="1"/>
        <v>0</v>
      </c>
      <c r="F86" s="75">
        <f t="shared" si="1"/>
        <v>0</v>
      </c>
      <c r="G86" s="75">
        <f t="shared" si="1"/>
        <v>0</v>
      </c>
      <c r="H86" s="75">
        <f t="shared" si="1"/>
        <v>4000000</v>
      </c>
    </row>
    <row r="87" spans="2:8" ht="13.5" thickBot="1" x14ac:dyDescent="0.25">
      <c r="B87" s="81" t="s">
        <v>22</v>
      </c>
      <c r="C87" s="95"/>
      <c r="D87" s="95"/>
      <c r="E87" s="95"/>
      <c r="F87" s="95"/>
      <c r="G87" s="95"/>
      <c r="H87" s="96"/>
    </row>
    <row r="88" spans="2:8" x14ac:dyDescent="0.2">
      <c r="B88" s="6" t="s">
        <v>23</v>
      </c>
      <c r="C88" s="7">
        <f t="shared" ref="C88:H88" si="2">C10</f>
        <v>0</v>
      </c>
      <c r="D88" s="7">
        <f t="shared" si="2"/>
        <v>1200000</v>
      </c>
      <c r="E88" s="7">
        <f t="shared" si="2"/>
        <v>2400000</v>
      </c>
      <c r="F88" s="7">
        <f t="shared" si="2"/>
        <v>2400000</v>
      </c>
      <c r="G88" s="7">
        <f t="shared" si="2"/>
        <v>2400000</v>
      </c>
      <c r="H88" s="7">
        <f t="shared" si="2"/>
        <v>2400000</v>
      </c>
    </row>
    <row r="89" spans="2:8" x14ac:dyDescent="0.2">
      <c r="B89" s="6" t="s">
        <v>24</v>
      </c>
      <c r="C89" s="10"/>
      <c r="D89" s="11"/>
      <c r="E89" s="11"/>
      <c r="F89" s="11"/>
      <c r="G89" s="11"/>
      <c r="H89" s="12"/>
    </row>
    <row r="90" spans="2:8" x14ac:dyDescent="0.2">
      <c r="B90" s="6" t="s">
        <v>25</v>
      </c>
      <c r="C90" s="10"/>
      <c r="D90" s="11">
        <f>D34+D35+D36+D37</f>
        <v>-195000</v>
      </c>
      <c r="E90" s="11">
        <f>E34+E35+E36+E37</f>
        <v>-390000</v>
      </c>
      <c r="F90" s="11">
        <f>F34+F35+F36+F37</f>
        <v>-390000</v>
      </c>
      <c r="G90" s="11">
        <f>G34+G35+G36+G37</f>
        <v>-390000</v>
      </c>
      <c r="H90" s="11">
        <f>H34+H35+H36+H37</f>
        <v>-390000</v>
      </c>
    </row>
    <row r="91" spans="2:8" x14ac:dyDescent="0.2">
      <c r="B91" s="6" t="s">
        <v>26</v>
      </c>
      <c r="C91" s="10"/>
      <c r="D91" s="11">
        <f t="shared" ref="D91:H92" si="3">D43</f>
        <v>-75000</v>
      </c>
      <c r="E91" s="11">
        <f t="shared" si="3"/>
        <v>-150000</v>
      </c>
      <c r="F91" s="11">
        <f t="shared" si="3"/>
        <v>-150000</v>
      </c>
      <c r="G91" s="11">
        <f t="shared" si="3"/>
        <v>-150000</v>
      </c>
      <c r="H91" s="11">
        <f t="shared" si="3"/>
        <v>-150000</v>
      </c>
    </row>
    <row r="92" spans="2:8" x14ac:dyDescent="0.2">
      <c r="B92" s="6" t="s">
        <v>27</v>
      </c>
      <c r="C92" s="10"/>
      <c r="D92" s="11">
        <f t="shared" si="3"/>
        <v>-30000</v>
      </c>
      <c r="E92" s="11">
        <f t="shared" si="3"/>
        <v>-60000</v>
      </c>
      <c r="F92" s="11">
        <f t="shared" si="3"/>
        <v>-60000</v>
      </c>
      <c r="G92" s="11">
        <f t="shared" si="3"/>
        <v>-60000</v>
      </c>
      <c r="H92" s="11">
        <f t="shared" si="3"/>
        <v>-60000</v>
      </c>
    </row>
    <row r="93" spans="2:8" ht="13.5" thickBot="1" x14ac:dyDescent="0.25">
      <c r="B93" s="6" t="s">
        <v>28</v>
      </c>
      <c r="C93" s="17"/>
      <c r="D93" s="18">
        <f>D46</f>
        <v>-33932.038834951454</v>
      </c>
      <c r="E93" s="18">
        <f>E46</f>
        <v>-201426.14761051937</v>
      </c>
      <c r="F93" s="18">
        <f>F46</f>
        <v>-203423.44428205761</v>
      </c>
      <c r="G93" s="18">
        <f>G46</f>
        <v>-205362.56726413363</v>
      </c>
      <c r="H93" s="18">
        <f>H46</f>
        <v>-165995.21093605206</v>
      </c>
    </row>
    <row r="94" spans="2:8" ht="13.5" thickBot="1" x14ac:dyDescent="0.25">
      <c r="B94" s="19" t="s">
        <v>29</v>
      </c>
      <c r="C94" s="20"/>
      <c r="D94" s="20">
        <f>SUM(D88:D93)</f>
        <v>866067.96116504853</v>
      </c>
      <c r="E94" s="20">
        <f>SUM(E88:E93)</f>
        <v>1598573.8523894807</v>
      </c>
      <c r="F94" s="20">
        <f>SUM(F88:F93)</f>
        <v>1596576.5557179423</v>
      </c>
      <c r="G94" s="20">
        <f>SUM(G88:G93)</f>
        <v>1594637.4327358664</v>
      </c>
      <c r="H94" s="20">
        <f>SUM(H88:H93)</f>
        <v>1634004.789063948</v>
      </c>
    </row>
    <row r="95" spans="2:8" ht="13.5" thickBot="1" x14ac:dyDescent="0.25">
      <c r="B95" s="21" t="s">
        <v>30</v>
      </c>
      <c r="C95" s="22">
        <f t="shared" ref="C95:H95" si="4">C86+C94</f>
        <v>-5300000</v>
      </c>
      <c r="D95" s="22">
        <f t="shared" si="4"/>
        <v>-433932.03883495147</v>
      </c>
      <c r="E95" s="22">
        <f t="shared" si="4"/>
        <v>1598573.8523894807</v>
      </c>
      <c r="F95" s="22">
        <f t="shared" si="4"/>
        <v>1596576.5557179423</v>
      </c>
      <c r="G95" s="22">
        <f t="shared" si="4"/>
        <v>1594637.4327358664</v>
      </c>
      <c r="H95" s="22">
        <f t="shared" si="4"/>
        <v>5634004.7890639482</v>
      </c>
    </row>
    <row r="96" spans="2:8" ht="13.5" thickBot="1" x14ac:dyDescent="0.25">
      <c r="B96" s="81" t="s">
        <v>31</v>
      </c>
      <c r="C96" s="82"/>
      <c r="D96" s="82"/>
      <c r="E96" s="82"/>
      <c r="F96" s="82"/>
      <c r="G96" s="82"/>
      <c r="H96" s="83"/>
    </row>
    <row r="97" spans="2:8" x14ac:dyDescent="0.2">
      <c r="B97" s="23" t="s">
        <v>32</v>
      </c>
      <c r="C97" s="24">
        <f>C62</f>
        <v>3000000</v>
      </c>
      <c r="D97" s="25"/>
      <c r="E97" s="25"/>
      <c r="F97" s="25"/>
      <c r="G97" s="25"/>
      <c r="H97" s="26"/>
    </row>
    <row r="98" spans="2:8" x14ac:dyDescent="0.2">
      <c r="B98" s="27" t="s">
        <v>33</v>
      </c>
      <c r="C98" s="28"/>
      <c r="D98" s="29">
        <f>-D64</f>
        <v>-444946.65738458501</v>
      </c>
      <c r="E98" s="29">
        <f>-E64</f>
        <v>-511688.65599227278</v>
      </c>
      <c r="F98" s="29">
        <f>-F64</f>
        <v>-588441.95439111372</v>
      </c>
      <c r="G98" s="29">
        <f>-G64</f>
        <v>-676708.24754978076</v>
      </c>
      <c r="H98" s="29">
        <f>-H64</f>
        <v>-778214.48468224786</v>
      </c>
    </row>
    <row r="99" spans="2:8" x14ac:dyDescent="0.2">
      <c r="B99" s="27" t="s">
        <v>34</v>
      </c>
      <c r="C99" s="28"/>
      <c r="D99" s="29">
        <f>-D63</f>
        <v>-450000</v>
      </c>
      <c r="E99" s="29">
        <f>-E63</f>
        <v>-383258.00139231223</v>
      </c>
      <c r="F99" s="29">
        <f>-F63</f>
        <v>-306504.70299347129</v>
      </c>
      <c r="G99" s="29">
        <f>-G63</f>
        <v>-218238.40983480425</v>
      </c>
      <c r="H99" s="29">
        <f>-H63</f>
        <v>-116732.17270233713</v>
      </c>
    </row>
    <row r="100" spans="2:8" ht="13.5" thickBot="1" x14ac:dyDescent="0.25">
      <c r="B100" s="30" t="s">
        <v>35</v>
      </c>
      <c r="C100" s="31"/>
      <c r="D100" s="32">
        <f>-D99*0.15</f>
        <v>67500</v>
      </c>
      <c r="E100" s="32">
        <f>-E99*0.15</f>
        <v>57488.700208846836</v>
      </c>
      <c r="F100" s="32">
        <f>-F99*0.15</f>
        <v>45975.705449020694</v>
      </c>
      <c r="G100" s="32">
        <f>-G99*0.15</f>
        <v>32735.761475220635</v>
      </c>
      <c r="H100" s="32">
        <f>-H99*0.15</f>
        <v>17509.825905350568</v>
      </c>
    </row>
    <row r="101" spans="2:8" ht="13.5" thickBot="1" x14ac:dyDescent="0.25">
      <c r="B101" s="19" t="s">
        <v>36</v>
      </c>
      <c r="C101" s="76">
        <f t="shared" ref="C101:H101" si="5">SUM(C97:C100)</f>
        <v>3000000</v>
      </c>
      <c r="D101" s="76">
        <f t="shared" si="5"/>
        <v>-827446.65738458501</v>
      </c>
      <c r="E101" s="76">
        <f t="shared" si="5"/>
        <v>-837457.95717573818</v>
      </c>
      <c r="F101" s="76">
        <f t="shared" si="5"/>
        <v>-848970.95193556428</v>
      </c>
      <c r="G101" s="76">
        <f t="shared" si="5"/>
        <v>-862210.89590936434</v>
      </c>
      <c r="H101" s="76">
        <f t="shared" si="5"/>
        <v>-877436.83147923439</v>
      </c>
    </row>
    <row r="102" spans="2:8" ht="13.5" thickBot="1" x14ac:dyDescent="0.25">
      <c r="B102" s="79" t="s">
        <v>101</v>
      </c>
      <c r="C102" s="80"/>
      <c r="D102" s="80">
        <f>D101*D70</f>
        <v>-803346.26930542232</v>
      </c>
      <c r="E102" s="80">
        <f>E101*E70</f>
        <v>-789384.44450536161</v>
      </c>
      <c r="F102" s="80">
        <f>F101*F70</f>
        <v>-776928.68569694378</v>
      </c>
      <c r="G102" s="80">
        <f>G101*G70</f>
        <v>-766063.21358725254</v>
      </c>
      <c r="H102" s="80">
        <f>H101*H70</f>
        <v>-756884.71857619507</v>
      </c>
    </row>
    <row r="103" spans="2:8" ht="13.5" thickBot="1" x14ac:dyDescent="0.25">
      <c r="B103" s="33" t="s">
        <v>37</v>
      </c>
      <c r="C103" s="22">
        <f t="shared" ref="C103:H103" si="6">C95+C101</f>
        <v>-2300000</v>
      </c>
      <c r="D103" s="22">
        <f t="shared" si="6"/>
        <v>-1261378.6962195365</v>
      </c>
      <c r="E103" s="22">
        <f t="shared" si="6"/>
        <v>761115.89521374251</v>
      </c>
      <c r="F103" s="22">
        <f t="shared" si="6"/>
        <v>747605.60378237802</v>
      </c>
      <c r="G103" s="22">
        <f t="shared" si="6"/>
        <v>732426.53682650207</v>
      </c>
      <c r="H103" s="22">
        <f t="shared" si="6"/>
        <v>4756567.9575847136</v>
      </c>
    </row>
    <row r="104" spans="2:8" x14ac:dyDescent="0.2">
      <c r="B104" s="34" t="s">
        <v>38</v>
      </c>
      <c r="C104" s="34"/>
      <c r="D104" s="34"/>
      <c r="E104" s="34"/>
      <c r="F104" s="34"/>
      <c r="G104" s="34"/>
      <c r="H104" s="34"/>
    </row>
    <row r="105" spans="2:8" x14ac:dyDescent="0.2">
      <c r="B105" s="34" t="s">
        <v>39</v>
      </c>
      <c r="C105" s="34"/>
      <c r="D105" s="34"/>
      <c r="E105" s="34"/>
      <c r="F105" s="34"/>
      <c r="G105" s="34"/>
      <c r="H105" s="34"/>
    </row>
  </sheetData>
  <mergeCells count="7">
    <mergeCell ref="B96:H96"/>
    <mergeCell ref="B30:H30"/>
    <mergeCell ref="B73:H73"/>
    <mergeCell ref="B75:B76"/>
    <mergeCell ref="C75:H75"/>
    <mergeCell ref="B77:H77"/>
    <mergeCell ref="B87:H87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Economia</dc:creator>
  <cp:lastModifiedBy>EDISON ACHALMA</cp:lastModifiedBy>
  <cp:lastPrinted>2000-01-13T20:45:18Z</cp:lastPrinted>
  <dcterms:created xsi:type="dcterms:W3CDTF">1999-04-23T15:11:18Z</dcterms:created>
  <dcterms:modified xsi:type="dcterms:W3CDTF">2021-08-04T00:29:00Z</dcterms:modified>
</cp:coreProperties>
</file>