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4" i="1" l="1"/>
  <c r="F9" i="1"/>
  <c r="C88" i="1" l="1"/>
  <c r="E88" i="1"/>
  <c r="C47" i="1"/>
  <c r="C48" i="1"/>
  <c r="C49" i="1"/>
  <c r="C50" i="1"/>
  <c r="C51" i="1"/>
  <c r="C52" i="1"/>
  <c r="C53" i="1"/>
  <c r="C54" i="1"/>
  <c r="C55" i="1"/>
  <c r="C56" i="1"/>
  <c r="C46" i="1"/>
  <c r="C45" i="1"/>
  <c r="C73" i="1" l="1"/>
  <c r="O62" i="1"/>
  <c r="N62" i="1"/>
  <c r="M62" i="1"/>
  <c r="L62" i="1"/>
  <c r="K62" i="1"/>
  <c r="J62" i="1"/>
  <c r="I62" i="1"/>
  <c r="H62" i="1"/>
  <c r="G62" i="1"/>
  <c r="F62" i="1"/>
  <c r="E62" i="1"/>
  <c r="D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F30" i="1"/>
  <c r="F25" i="1"/>
  <c r="F20" i="1"/>
  <c r="F21" i="1"/>
  <c r="F22" i="1"/>
  <c r="F23" i="1"/>
  <c r="F24" i="1"/>
  <c r="F19" i="1"/>
  <c r="E13" i="1"/>
  <c r="F13" i="1" s="1"/>
  <c r="G13" i="1" s="1"/>
  <c r="E12" i="1"/>
  <c r="F12" i="1" s="1"/>
  <c r="G12" i="1" s="1"/>
  <c r="E6" i="1"/>
  <c r="E7" i="1"/>
  <c r="F7" i="1" s="1"/>
  <c r="G7" i="1" s="1"/>
  <c r="E8" i="1"/>
  <c r="F8" i="1" s="1"/>
  <c r="G8" i="1" s="1"/>
  <c r="E5" i="1"/>
  <c r="F26" i="1" l="1"/>
  <c r="G14" i="1"/>
  <c r="C32" i="1" s="1"/>
  <c r="F5" i="1"/>
  <c r="G5" i="1" s="1"/>
  <c r="F6" i="1"/>
  <c r="G6" i="1" s="1"/>
  <c r="G9" i="1" l="1"/>
  <c r="C31" i="1" s="1"/>
  <c r="C39" i="1" s="1"/>
  <c r="G88" i="1"/>
  <c r="F34" i="1"/>
  <c r="C75" i="1" s="1"/>
  <c r="F36" i="1" l="1"/>
  <c r="C74" i="1"/>
  <c r="C76" i="1" s="1"/>
  <c r="D48" i="1"/>
  <c r="D45" i="1"/>
  <c r="D55" i="1"/>
  <c r="D47" i="1"/>
  <c r="D50" i="1"/>
  <c r="D51" i="1"/>
  <c r="D52" i="1"/>
  <c r="D46" i="1"/>
  <c r="D54" i="1"/>
  <c r="C90" i="1"/>
  <c r="E90" i="1" s="1"/>
  <c r="D53" i="1"/>
  <c r="D49" i="1"/>
  <c r="D56" i="1"/>
  <c r="C89" i="1"/>
  <c r="E52" i="1"/>
  <c r="E54" i="1"/>
  <c r="E55" i="1"/>
  <c r="E46" i="1"/>
  <c r="E48" i="1"/>
  <c r="C77" i="1" l="1"/>
  <c r="C78" i="1" s="1"/>
  <c r="F39" i="1"/>
  <c r="C41" i="1" s="1"/>
  <c r="C81" i="1"/>
  <c r="E56" i="1"/>
  <c r="E53" i="1"/>
  <c r="F53" i="1" s="1"/>
  <c r="L63" i="1" s="1"/>
  <c r="L64" i="1" s="1"/>
  <c r="E51" i="1"/>
  <c r="E47" i="1"/>
  <c r="E45" i="1"/>
  <c r="F45" i="1" s="1"/>
  <c r="D63" i="1" s="1"/>
  <c r="D64" i="1" s="1"/>
  <c r="C65" i="1" s="1"/>
  <c r="E50" i="1"/>
  <c r="E49" i="1"/>
  <c r="F49" i="1" s="1"/>
  <c r="H63" i="1" s="1"/>
  <c r="H64" i="1" s="1"/>
  <c r="F47" i="1"/>
  <c r="F63" i="1" s="1"/>
  <c r="F64" i="1" s="1"/>
  <c r="F46" i="1"/>
  <c r="E63" i="1" s="1"/>
  <c r="E64" i="1" s="1"/>
  <c r="F48" i="1"/>
  <c r="G63" i="1" s="1"/>
  <c r="G64" i="1" s="1"/>
  <c r="F55" i="1"/>
  <c r="N63" i="1" s="1"/>
  <c r="N64" i="1" s="1"/>
  <c r="F51" i="1"/>
  <c r="J63" i="1" s="1"/>
  <c r="J64" i="1" s="1"/>
  <c r="F56" i="1"/>
  <c r="O63" i="1" s="1"/>
  <c r="O64" i="1" s="1"/>
  <c r="F52" i="1"/>
  <c r="K63" i="1" s="1"/>
  <c r="K64" i="1" s="1"/>
  <c r="F54" i="1"/>
  <c r="M63" i="1" s="1"/>
  <c r="M64" i="1" s="1"/>
  <c r="E89" i="1"/>
  <c r="C91" i="1"/>
  <c r="C92" i="1" s="1"/>
  <c r="D65" i="1" l="1"/>
  <c r="E65" i="1" s="1"/>
  <c r="F65" i="1" s="1"/>
  <c r="G65" i="1" s="1"/>
  <c r="G89" i="1"/>
  <c r="E91" i="1"/>
  <c r="E92" i="1" s="1"/>
  <c r="G92" i="1" s="1"/>
  <c r="F50" i="1"/>
  <c r="I63" i="1" s="1"/>
  <c r="I64" i="1" s="1"/>
  <c r="C93" i="1"/>
  <c r="G90" i="1"/>
  <c r="H65" i="1" l="1"/>
  <c r="I65" i="1"/>
  <c r="J65" i="1" s="1"/>
  <c r="K65" i="1" s="1"/>
  <c r="L65" i="1" s="1"/>
  <c r="M65" i="1" s="1"/>
  <c r="N65" i="1" s="1"/>
  <c r="E93" i="1"/>
  <c r="G93" i="1" s="1"/>
  <c r="G91" i="1"/>
  <c r="P65" i="1" l="1"/>
</calcChain>
</file>

<file path=xl/sharedStrings.xml><?xml version="1.0" encoding="utf-8"?>
<sst xmlns="http://schemas.openxmlformats.org/spreadsheetml/2006/main" count="118" uniqueCount="92">
  <si>
    <t>Materia Prima</t>
  </si>
  <si>
    <t xml:space="preserve">Unidad </t>
  </si>
  <si>
    <t>Kilo</t>
  </si>
  <si>
    <t>Cantidad</t>
  </si>
  <si>
    <t>Costo</t>
  </si>
  <si>
    <t>Precio  S/.</t>
  </si>
  <si>
    <t>CVU</t>
  </si>
  <si>
    <t>Vc</t>
  </si>
  <si>
    <t>n</t>
  </si>
  <si>
    <t>Tasa</t>
  </si>
  <si>
    <t>Dep. mes</t>
  </si>
  <si>
    <t>Dep. año</t>
  </si>
  <si>
    <t>TABLA DE DEPRECIACIONES Y AMORTIZACION DE INTAGIBLES</t>
  </si>
  <si>
    <t>GASTOS OPERATIVOS MENSUALES</t>
  </si>
  <si>
    <t>RUBRO</t>
  </si>
  <si>
    <t>Aseo y Mantenimiento</t>
  </si>
  <si>
    <t>Seguridad y vigilancia</t>
  </si>
  <si>
    <t>Monto</t>
  </si>
  <si>
    <t>Precio</t>
  </si>
  <si>
    <t>CF</t>
  </si>
  <si>
    <t>TOTAL</t>
  </si>
  <si>
    <t>CFU</t>
  </si>
  <si>
    <t>Punto de equilibrio</t>
  </si>
  <si>
    <t>Costo Total Unitario</t>
  </si>
  <si>
    <t>Periodo</t>
  </si>
  <si>
    <t>CT</t>
  </si>
  <si>
    <t>CTU</t>
  </si>
  <si>
    <t>Ventas</t>
  </si>
  <si>
    <t>KW</t>
  </si>
  <si>
    <t>CV</t>
  </si>
  <si>
    <t>REQUERIMIENTO DE CAPITAL DE TRABAJO</t>
  </si>
  <si>
    <t>para el primer mes</t>
  </si>
  <si>
    <t>a.)</t>
  </si>
  <si>
    <t>b.)</t>
  </si>
  <si>
    <t>Q</t>
  </si>
  <si>
    <t>P</t>
  </si>
  <si>
    <t>Con pedido</t>
  </si>
  <si>
    <t>Sin pedido</t>
  </si>
  <si>
    <t>Costos Fijos</t>
  </si>
  <si>
    <t>Costos Variables</t>
  </si>
  <si>
    <t>Utilidad Bruta</t>
  </si>
  <si>
    <t>Impuestos</t>
  </si>
  <si>
    <t>Utilidad Neta</t>
  </si>
  <si>
    <t>c.) Estado de Ganancias y Perdidas para el primer mes</t>
  </si>
  <si>
    <t>EGP primer mes</t>
  </si>
  <si>
    <t>d.)</t>
  </si>
  <si>
    <t>e.)</t>
  </si>
  <si>
    <t>Estado de Ganancias y Perdidas incremental</t>
  </si>
  <si>
    <t>CON-SIN</t>
  </si>
  <si>
    <t>Cantidad en Kgrs</t>
  </si>
  <si>
    <t>Construccion planta</t>
  </si>
  <si>
    <t>equipos de computo</t>
  </si>
  <si>
    <t>Vehiculos</t>
  </si>
  <si>
    <t>Maquinarias y equipos</t>
  </si>
  <si>
    <t>ACTIVO FIJO</t>
  </si>
  <si>
    <t>INTANGIBLE</t>
  </si>
  <si>
    <t>Amort. año</t>
  </si>
  <si>
    <t>Amort. mes</t>
  </si>
  <si>
    <t>Capacitacion</t>
  </si>
  <si>
    <t>Registro de Marca</t>
  </si>
  <si>
    <t>COSTO VARIABLE UNITARIO POR KILO</t>
  </si>
  <si>
    <t>Café grano</t>
  </si>
  <si>
    <t>proceso</t>
  </si>
  <si>
    <t>Pelado</t>
  </si>
  <si>
    <t>Tostado</t>
  </si>
  <si>
    <t>Molido</t>
  </si>
  <si>
    <t>Empacado</t>
  </si>
  <si>
    <t>Sellado</t>
  </si>
  <si>
    <t>Transporte</t>
  </si>
  <si>
    <t>Servicios publicos</t>
  </si>
  <si>
    <t>Depreciaciones</t>
  </si>
  <si>
    <t>Amort. Intagibles</t>
  </si>
  <si>
    <t>Personal profesional</t>
  </si>
  <si>
    <t>Personal Planta</t>
  </si>
  <si>
    <t>Promocion y ventas</t>
  </si>
  <si>
    <t>Ventas unidades</t>
  </si>
  <si>
    <t xml:space="preserve"> kilos que se da en el primer mes</t>
  </si>
  <si>
    <t>kilos</t>
  </si>
  <si>
    <t>soles</t>
  </si>
  <si>
    <t>soles/Kg</t>
  </si>
  <si>
    <t>soles/mes</t>
  </si>
  <si>
    <t>soles/kg/mes1</t>
  </si>
  <si>
    <t>Capital de trabajo mensual  y  anual</t>
  </si>
  <si>
    <t>VAR KW mensual</t>
  </si>
  <si>
    <t xml:space="preserve">Pedido especial de </t>
  </si>
  <si>
    <t>mercado objetivo el mismo, la ciudad de Ayacucho. Por lo tanto no se</t>
  </si>
  <si>
    <t>aceptaria el pedido especial</t>
  </si>
  <si>
    <t>Si bien existe una utilidad adicional de atender el pedido de S/. 5810, el</t>
  </si>
  <si>
    <t>SOLUCION TALLER CAFÉ TOSTADO MOLIDO</t>
  </si>
  <si>
    <t>CF(*)</t>
  </si>
  <si>
    <t>(*) No se incluye depreciaciones y amortizacion intengibles por no ser egresos  en efectivo</t>
  </si>
  <si>
    <t>El requerimiento de KW anual es  S/. 47,460 soles y el comportamiento mensual de KW es el que se muestra en la fila Var KW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</si>
</sst>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1" fillId="2" borderId="2" xfId="0" applyFont="1" applyFill="1" applyBorder="1" applyAlignment="1">
      <alignment horizontal="center"/>
    </xf>
    <xf numFmtId="2" fontId="0" fillId="0" borderId="0" xfId="0" applyNumberFormat="1"/>
    <xf numFmtId="165" fontId="0" fillId="0" borderId="2" xfId="0" applyNumberFormat="1" applyBorder="1"/>
    <xf numFmtId="0" fontId="0" fillId="2" borderId="2" xfId="0" applyFill="1" applyBorder="1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2" xfId="0" applyNumberFormat="1" applyBorder="1"/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165" fontId="0" fillId="0" borderId="0" xfId="0" applyNumberFormat="1" applyBorder="1"/>
    <xf numFmtId="0" fontId="0" fillId="0" borderId="0" xfId="0" applyFill="1" applyBorder="1"/>
    <xf numFmtId="10" fontId="0" fillId="0" borderId="2" xfId="2" applyNumberFormat="1" applyFont="1" applyBorder="1"/>
    <xf numFmtId="0" fontId="0" fillId="0" borderId="2" xfId="0" applyFill="1" applyBorder="1"/>
    <xf numFmtId="0" fontId="0" fillId="2" borderId="2" xfId="0" applyFill="1" applyBorder="1" applyAlignment="1">
      <alignment horizontal="justify" wrapText="1"/>
    </xf>
    <xf numFmtId="10" fontId="0" fillId="0" borderId="0" xfId="2" applyNumberFormat="1" applyFont="1" applyBorder="1"/>
    <xf numFmtId="1" fontId="0" fillId="0" borderId="2" xfId="0" applyNumberFormat="1" applyBorder="1"/>
    <xf numFmtId="1" fontId="1" fillId="2" borderId="2" xfId="0" applyNumberFormat="1" applyFont="1" applyFill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2" fontId="1" fillId="2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166" fontId="0" fillId="0" borderId="0" xfId="1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justify" wrapText="1"/>
    </xf>
    <xf numFmtId="0" fontId="1" fillId="0" borderId="0" xfId="0" applyFont="1" applyAlignment="1">
      <alignment horizontal="left"/>
    </xf>
    <xf numFmtId="10" fontId="1" fillId="2" borderId="2" xfId="2" applyNumberFormat="1" applyFont="1" applyFill="1" applyBorder="1"/>
    <xf numFmtId="1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2" max="2" width="20.42578125" customWidth="1"/>
    <col min="3" max="3" width="9.140625" customWidth="1"/>
    <col min="4" max="4" width="9.5703125" bestFit="1" customWidth="1"/>
    <col min="7" max="7" width="8.7109375" customWidth="1"/>
    <col min="8" max="8" width="6.7109375" customWidth="1"/>
    <col min="9" max="10" width="6.85546875" customWidth="1"/>
    <col min="11" max="11" width="6.28515625" customWidth="1"/>
    <col min="12" max="12" width="7.42578125" customWidth="1"/>
    <col min="13" max="13" width="7.5703125" customWidth="1"/>
    <col min="14" max="14" width="7.140625" customWidth="1"/>
    <col min="15" max="15" width="6.5703125" customWidth="1"/>
    <col min="16" max="16" width="7.28515625" customWidth="1"/>
  </cols>
  <sheetData>
    <row r="1" spans="2:7" x14ac:dyDescent="0.25">
      <c r="B1" s="48" t="s">
        <v>88</v>
      </c>
      <c r="C1" s="48"/>
      <c r="D1" s="48"/>
      <c r="E1" s="48"/>
      <c r="F1" s="48"/>
      <c r="G1" s="48"/>
    </row>
    <row r="2" spans="2:7" x14ac:dyDescent="0.25">
      <c r="B2" s="48" t="s">
        <v>12</v>
      </c>
      <c r="C2" s="48"/>
      <c r="D2" s="48"/>
      <c r="E2" s="48"/>
      <c r="F2" s="48"/>
      <c r="G2" s="48"/>
    </row>
    <row r="4" spans="2:7" x14ac:dyDescent="0.25">
      <c r="B4" s="7" t="s">
        <v>54</v>
      </c>
      <c r="C4" s="7" t="s">
        <v>7</v>
      </c>
      <c r="D4" s="7" t="s">
        <v>8</v>
      </c>
      <c r="E4" s="7" t="s">
        <v>9</v>
      </c>
      <c r="F4" s="7" t="s">
        <v>11</v>
      </c>
      <c r="G4" s="7" t="s">
        <v>10</v>
      </c>
    </row>
    <row r="5" spans="2:7" x14ac:dyDescent="0.25">
      <c r="B5" s="2" t="s">
        <v>50</v>
      </c>
      <c r="C5" s="2">
        <v>200000</v>
      </c>
      <c r="D5" s="2">
        <v>33</v>
      </c>
      <c r="E5" s="24">
        <f>1/D5</f>
        <v>3.0303030303030304E-2</v>
      </c>
      <c r="F5" s="28">
        <f>E5*C5</f>
        <v>6060.606060606061</v>
      </c>
      <c r="G5" s="28">
        <f>F5/12</f>
        <v>505.05050505050508</v>
      </c>
    </row>
    <row r="6" spans="2:7" x14ac:dyDescent="0.25">
      <c r="B6" s="2" t="s">
        <v>53</v>
      </c>
      <c r="C6" s="2">
        <v>85000</v>
      </c>
      <c r="D6" s="2">
        <v>10</v>
      </c>
      <c r="E6" s="24">
        <f t="shared" ref="E6:E8" si="0">1/D6</f>
        <v>0.1</v>
      </c>
      <c r="F6" s="2">
        <f>E6*C6</f>
        <v>8500</v>
      </c>
      <c r="G6" s="28">
        <f>F6/12</f>
        <v>708.33333333333337</v>
      </c>
    </row>
    <row r="7" spans="2:7" x14ac:dyDescent="0.25">
      <c r="B7" s="25" t="s">
        <v>51</v>
      </c>
      <c r="C7" s="2">
        <v>5000</v>
      </c>
      <c r="D7" s="2">
        <v>3</v>
      </c>
      <c r="E7" s="24">
        <f t="shared" si="0"/>
        <v>0.33333333333333331</v>
      </c>
      <c r="F7" s="28">
        <f t="shared" ref="F7:F8" si="1">E7*C7</f>
        <v>1666.6666666666665</v>
      </c>
      <c r="G7" s="28">
        <f t="shared" ref="G7:G8" si="2">F7/12</f>
        <v>138.88888888888889</v>
      </c>
    </row>
    <row r="8" spans="2:7" x14ac:dyDescent="0.25">
      <c r="B8" s="25" t="s">
        <v>52</v>
      </c>
      <c r="C8" s="25">
        <v>170000</v>
      </c>
      <c r="D8" s="25">
        <v>4</v>
      </c>
      <c r="E8" s="24">
        <f t="shared" si="0"/>
        <v>0.25</v>
      </c>
      <c r="F8" s="2">
        <f t="shared" si="1"/>
        <v>42500</v>
      </c>
      <c r="G8" s="28">
        <f t="shared" si="2"/>
        <v>3541.6666666666665</v>
      </c>
    </row>
    <row r="9" spans="2:7" x14ac:dyDescent="0.25">
      <c r="B9" s="4" t="s">
        <v>20</v>
      </c>
      <c r="C9" s="38"/>
      <c r="D9" s="38"/>
      <c r="E9" s="38"/>
      <c r="F9" s="29">
        <f>SUM(F5:F8)</f>
        <v>58727.272727272728</v>
      </c>
      <c r="G9" s="29">
        <f>SUM(G5:G8)</f>
        <v>4893.939393939394</v>
      </c>
    </row>
    <row r="10" spans="2:7" x14ac:dyDescent="0.25">
      <c r="B10" s="23"/>
      <c r="C10" s="1"/>
      <c r="D10" s="1"/>
      <c r="E10" s="1"/>
      <c r="F10" s="1"/>
      <c r="G10" s="22"/>
    </row>
    <row r="11" spans="2:7" ht="30" x14ac:dyDescent="0.25">
      <c r="B11" s="7" t="s">
        <v>55</v>
      </c>
      <c r="C11" s="7" t="s">
        <v>17</v>
      </c>
      <c r="D11" s="7" t="s">
        <v>8</v>
      </c>
      <c r="E11" s="7" t="s">
        <v>9</v>
      </c>
      <c r="F11" s="26" t="s">
        <v>56</v>
      </c>
      <c r="G11" s="26" t="s">
        <v>57</v>
      </c>
    </row>
    <row r="12" spans="2:7" x14ac:dyDescent="0.25">
      <c r="B12" s="2" t="s">
        <v>58</v>
      </c>
      <c r="C12" s="2">
        <v>52000</v>
      </c>
      <c r="D12" s="2">
        <v>5</v>
      </c>
      <c r="E12" s="24">
        <f>1/D12</f>
        <v>0.2</v>
      </c>
      <c r="F12" s="2">
        <f>E12*C12</f>
        <v>10400</v>
      </c>
      <c r="G12" s="28">
        <f>F12/12</f>
        <v>866.66666666666663</v>
      </c>
    </row>
    <row r="13" spans="2:7" x14ac:dyDescent="0.25">
      <c r="B13" s="2" t="s">
        <v>59</v>
      </c>
      <c r="C13" s="2">
        <v>10000</v>
      </c>
      <c r="D13" s="2">
        <v>5</v>
      </c>
      <c r="E13" s="24">
        <f t="shared" ref="E13" si="3">1/D13</f>
        <v>0.2</v>
      </c>
      <c r="F13" s="2">
        <f>E13*C13</f>
        <v>2000</v>
      </c>
      <c r="G13" s="28">
        <f>F13/12</f>
        <v>166.66666666666666</v>
      </c>
    </row>
    <row r="14" spans="2:7" x14ac:dyDescent="0.25">
      <c r="B14" s="4" t="s">
        <v>20</v>
      </c>
      <c r="C14" s="38"/>
      <c r="D14" s="38"/>
      <c r="E14" s="46"/>
      <c r="F14" s="29">
        <f>F12+F13</f>
        <v>12400</v>
      </c>
      <c r="G14" s="29">
        <f>G12+G13</f>
        <v>1033.3333333333333</v>
      </c>
    </row>
    <row r="15" spans="2:7" x14ac:dyDescent="0.25">
      <c r="B15" s="23"/>
      <c r="C15" s="1"/>
      <c r="D15" s="1"/>
      <c r="E15" s="27"/>
      <c r="F15" s="1"/>
      <c r="G15" s="22"/>
    </row>
    <row r="16" spans="2:7" x14ac:dyDescent="0.25">
      <c r="B16" s="48" t="s">
        <v>60</v>
      </c>
      <c r="C16" s="48"/>
      <c r="D16" s="48"/>
      <c r="E16" s="48"/>
      <c r="F16" s="48"/>
    </row>
    <row r="18" spans="2:7" x14ac:dyDescent="0.25">
      <c r="B18" s="4" t="s">
        <v>0</v>
      </c>
      <c r="C18" s="4" t="s">
        <v>1</v>
      </c>
      <c r="D18" s="4" t="s">
        <v>5</v>
      </c>
      <c r="E18" s="4" t="s">
        <v>3</v>
      </c>
      <c r="F18" s="4" t="s">
        <v>4</v>
      </c>
    </row>
    <row r="19" spans="2:7" x14ac:dyDescent="0.25">
      <c r="B19" s="2" t="s">
        <v>61</v>
      </c>
      <c r="C19" s="2" t="s">
        <v>2</v>
      </c>
      <c r="D19" s="2">
        <v>7</v>
      </c>
      <c r="E19" s="2">
        <v>1.6</v>
      </c>
      <c r="F19" s="2">
        <f>D19*E19</f>
        <v>11.200000000000001</v>
      </c>
    </row>
    <row r="20" spans="2:7" x14ac:dyDescent="0.25">
      <c r="B20" s="2" t="s">
        <v>63</v>
      </c>
      <c r="C20" s="2" t="s">
        <v>62</v>
      </c>
      <c r="D20" s="2">
        <v>0.4</v>
      </c>
      <c r="E20" s="2">
        <v>1</v>
      </c>
      <c r="F20" s="2">
        <f t="shared" ref="F20:F25" si="4">D20*E20</f>
        <v>0.4</v>
      </c>
    </row>
    <row r="21" spans="2:7" x14ac:dyDescent="0.25">
      <c r="B21" s="2" t="s">
        <v>64</v>
      </c>
      <c r="C21" s="2" t="s">
        <v>62</v>
      </c>
      <c r="D21" s="2">
        <v>0.6</v>
      </c>
      <c r="E21" s="2">
        <v>1</v>
      </c>
      <c r="F21" s="2">
        <f t="shared" si="4"/>
        <v>0.6</v>
      </c>
    </row>
    <row r="22" spans="2:7" x14ac:dyDescent="0.25">
      <c r="B22" s="2" t="s">
        <v>65</v>
      </c>
      <c r="C22" s="2" t="s">
        <v>62</v>
      </c>
      <c r="D22" s="2">
        <v>0.4</v>
      </c>
      <c r="E22" s="2">
        <v>1</v>
      </c>
      <c r="F22" s="2">
        <f t="shared" si="4"/>
        <v>0.4</v>
      </c>
    </row>
    <row r="23" spans="2:7" x14ac:dyDescent="0.25">
      <c r="B23" s="2" t="s">
        <v>66</v>
      </c>
      <c r="C23" s="2" t="s">
        <v>62</v>
      </c>
      <c r="D23" s="2">
        <v>0.4</v>
      </c>
      <c r="E23" s="2">
        <v>1</v>
      </c>
      <c r="F23" s="2">
        <f t="shared" si="4"/>
        <v>0.4</v>
      </c>
    </row>
    <row r="24" spans="2:7" x14ac:dyDescent="0.25">
      <c r="B24" s="2" t="s">
        <v>67</v>
      </c>
      <c r="C24" s="2" t="s">
        <v>62</v>
      </c>
      <c r="D24" s="2">
        <v>0.4</v>
      </c>
      <c r="E24" s="2">
        <v>1</v>
      </c>
      <c r="F24" s="2">
        <f t="shared" si="4"/>
        <v>0.4</v>
      </c>
    </row>
    <row r="25" spans="2:7" x14ac:dyDescent="0.25">
      <c r="B25" s="2" t="s">
        <v>68</v>
      </c>
      <c r="C25" s="2" t="s">
        <v>62</v>
      </c>
      <c r="D25" s="2">
        <v>0.2</v>
      </c>
      <c r="E25" s="2">
        <v>1</v>
      </c>
      <c r="F25" s="2">
        <f t="shared" si="4"/>
        <v>0.2</v>
      </c>
    </row>
    <row r="26" spans="2:7" x14ac:dyDescent="0.25">
      <c r="B26" s="4" t="s">
        <v>6</v>
      </c>
      <c r="C26" s="38"/>
      <c r="D26" s="38"/>
      <c r="E26" s="38"/>
      <c r="F26" s="38">
        <f>SUM(F19:F25)</f>
        <v>13.600000000000001</v>
      </c>
    </row>
    <row r="28" spans="2:7" x14ac:dyDescent="0.25">
      <c r="B28" s="8" t="s">
        <v>13</v>
      </c>
      <c r="C28" s="8"/>
      <c r="D28" s="8"/>
    </row>
    <row r="30" spans="2:7" x14ac:dyDescent="0.25">
      <c r="B30" s="4" t="s">
        <v>14</v>
      </c>
      <c r="C30" s="4" t="s">
        <v>17</v>
      </c>
      <c r="E30" t="s">
        <v>27</v>
      </c>
      <c r="F30">
        <f>B45</f>
        <v>1500</v>
      </c>
      <c r="G30" t="s">
        <v>77</v>
      </c>
    </row>
    <row r="31" spans="2:7" x14ac:dyDescent="0.25">
      <c r="B31" s="2" t="s">
        <v>70</v>
      </c>
      <c r="C31" s="28">
        <f>G9</f>
        <v>4893.939393939394</v>
      </c>
    </row>
    <row r="32" spans="2:7" x14ac:dyDescent="0.25">
      <c r="B32" s="2" t="s">
        <v>71</v>
      </c>
      <c r="C32" s="6">
        <f>G14</f>
        <v>1033.3333333333333</v>
      </c>
      <c r="E32" t="s">
        <v>18</v>
      </c>
      <c r="F32">
        <v>35</v>
      </c>
      <c r="G32" t="s">
        <v>78</v>
      </c>
    </row>
    <row r="33" spans="1:7" x14ac:dyDescent="0.25">
      <c r="B33" s="2" t="s">
        <v>69</v>
      </c>
      <c r="C33" s="2">
        <v>1000</v>
      </c>
    </row>
    <row r="34" spans="1:7" x14ac:dyDescent="0.25">
      <c r="B34" s="2" t="s">
        <v>15</v>
      </c>
      <c r="C34" s="2">
        <v>800</v>
      </c>
      <c r="E34" t="s">
        <v>6</v>
      </c>
      <c r="F34">
        <f>F26</f>
        <v>13.600000000000001</v>
      </c>
      <c r="G34" t="s">
        <v>79</v>
      </c>
    </row>
    <row r="35" spans="1:7" x14ac:dyDescent="0.25">
      <c r="B35" s="2" t="s">
        <v>72</v>
      </c>
      <c r="C35" s="2">
        <v>13000</v>
      </c>
    </row>
    <row r="36" spans="1:7" x14ac:dyDescent="0.25">
      <c r="B36" s="2" t="s">
        <v>73</v>
      </c>
      <c r="C36" s="2">
        <v>10000</v>
      </c>
      <c r="E36" t="s">
        <v>19</v>
      </c>
      <c r="F36" s="32">
        <f>C39</f>
        <v>31627.272727272728</v>
      </c>
      <c r="G36" t="s">
        <v>80</v>
      </c>
    </row>
    <row r="37" spans="1:7" x14ac:dyDescent="0.25">
      <c r="B37" s="2" t="s">
        <v>74</v>
      </c>
      <c r="C37" s="2">
        <v>250</v>
      </c>
    </row>
    <row r="38" spans="1:7" x14ac:dyDescent="0.25">
      <c r="B38" s="2" t="s">
        <v>16</v>
      </c>
      <c r="C38" s="6">
        <v>650</v>
      </c>
    </row>
    <row r="39" spans="1:7" x14ac:dyDescent="0.25">
      <c r="B39" s="9" t="s">
        <v>20</v>
      </c>
      <c r="C39" s="47">
        <f>SUM(C31:C38)</f>
        <v>31627.272727272728</v>
      </c>
      <c r="E39" t="s">
        <v>21</v>
      </c>
      <c r="F39" s="5">
        <f>F36/F30</f>
        <v>21.084848484848486</v>
      </c>
      <c r="G39" t="s">
        <v>81</v>
      </c>
    </row>
    <row r="40" spans="1:7" x14ac:dyDescent="0.25">
      <c r="B40" s="10"/>
      <c r="C40" s="11"/>
      <c r="F40" s="5"/>
    </row>
    <row r="41" spans="1:7" x14ac:dyDescent="0.25">
      <c r="A41" t="s">
        <v>32</v>
      </c>
      <c r="B41" s="10" t="s">
        <v>23</v>
      </c>
      <c r="C41" s="12">
        <f>F39+F34</f>
        <v>34.684848484848487</v>
      </c>
      <c r="D41" t="s">
        <v>31</v>
      </c>
      <c r="F41" s="5"/>
    </row>
    <row r="42" spans="1:7" x14ac:dyDescent="0.25">
      <c r="B42" s="10"/>
      <c r="C42" s="12"/>
      <c r="F42" s="5"/>
    </row>
    <row r="43" spans="1:7" x14ac:dyDescent="0.25">
      <c r="A43" t="s">
        <v>33</v>
      </c>
      <c r="B43" s="33" t="s">
        <v>82</v>
      </c>
      <c r="C43" s="12"/>
      <c r="F43" s="5"/>
    </row>
    <row r="44" spans="1:7" x14ac:dyDescent="0.25">
      <c r="A44" s="4" t="s">
        <v>24</v>
      </c>
      <c r="B44" s="4" t="s">
        <v>49</v>
      </c>
      <c r="C44" s="14" t="s">
        <v>89</v>
      </c>
      <c r="D44" s="4" t="s">
        <v>29</v>
      </c>
      <c r="E44" s="4" t="s">
        <v>25</v>
      </c>
      <c r="F44" s="14" t="s">
        <v>26</v>
      </c>
    </row>
    <row r="45" spans="1:7" x14ac:dyDescent="0.25">
      <c r="A45" s="2">
        <v>1</v>
      </c>
      <c r="B45" s="40">
        <v>1500</v>
      </c>
      <c r="C45" s="37">
        <f>C39-C31-C32</f>
        <v>25700.000000000004</v>
      </c>
      <c r="D45" s="2">
        <f>$F$34*B45</f>
        <v>20400.000000000004</v>
      </c>
      <c r="E45" s="13">
        <f>C45+D45</f>
        <v>46100.000000000007</v>
      </c>
      <c r="F45" s="13">
        <f>E45/B45</f>
        <v>30.733333333333338</v>
      </c>
    </row>
    <row r="46" spans="1:7" x14ac:dyDescent="0.25">
      <c r="A46" s="2">
        <v>2</v>
      </c>
      <c r="B46" s="40">
        <v>1500</v>
      </c>
      <c r="C46" s="37">
        <f>$C$45</f>
        <v>25700.000000000004</v>
      </c>
      <c r="D46" s="2">
        <f t="shared" ref="D46:D56" si="5">$F$34*B46</f>
        <v>20400.000000000004</v>
      </c>
      <c r="E46" s="13">
        <f t="shared" ref="E46:E56" si="6">C46+D46</f>
        <v>46100.000000000007</v>
      </c>
      <c r="F46" s="13">
        <f t="shared" ref="F46:F56" si="7">E46/B46</f>
        <v>30.733333333333338</v>
      </c>
    </row>
    <row r="47" spans="1:7" x14ac:dyDescent="0.25">
      <c r="A47" s="2">
        <v>3</v>
      </c>
      <c r="B47" s="40">
        <v>1600</v>
      </c>
      <c r="C47" s="37">
        <f t="shared" ref="C47:C56" si="8">$C$45</f>
        <v>25700.000000000004</v>
      </c>
      <c r="D47" s="2">
        <f t="shared" si="5"/>
        <v>21760.000000000004</v>
      </c>
      <c r="E47" s="13">
        <f t="shared" si="6"/>
        <v>47460.000000000007</v>
      </c>
      <c r="F47" s="13">
        <f t="shared" si="7"/>
        <v>29.662500000000005</v>
      </c>
    </row>
    <row r="48" spans="1:7" x14ac:dyDescent="0.25">
      <c r="A48" s="2">
        <v>4</v>
      </c>
      <c r="B48" s="40">
        <v>1600</v>
      </c>
      <c r="C48" s="37">
        <f t="shared" si="8"/>
        <v>25700.000000000004</v>
      </c>
      <c r="D48" s="2">
        <f t="shared" si="5"/>
        <v>21760.000000000004</v>
      </c>
      <c r="E48" s="13">
        <f t="shared" si="6"/>
        <v>47460.000000000007</v>
      </c>
      <c r="F48" s="13">
        <f t="shared" si="7"/>
        <v>29.662500000000005</v>
      </c>
    </row>
    <row r="49" spans="1:16" x14ac:dyDescent="0.25">
      <c r="A49" s="2">
        <v>5</v>
      </c>
      <c r="B49" s="40">
        <v>1600</v>
      </c>
      <c r="C49" s="37">
        <f t="shared" si="8"/>
        <v>25700.000000000004</v>
      </c>
      <c r="D49" s="2">
        <f t="shared" si="5"/>
        <v>21760.000000000004</v>
      </c>
      <c r="E49" s="13">
        <f t="shared" si="6"/>
        <v>47460.000000000007</v>
      </c>
      <c r="F49" s="13">
        <f t="shared" si="7"/>
        <v>29.662500000000005</v>
      </c>
    </row>
    <row r="50" spans="1:16" x14ac:dyDescent="0.25">
      <c r="A50" s="2">
        <v>6</v>
      </c>
      <c r="B50" s="40">
        <v>1500</v>
      </c>
      <c r="C50" s="37">
        <f t="shared" si="8"/>
        <v>25700.000000000004</v>
      </c>
      <c r="D50" s="2">
        <f t="shared" si="5"/>
        <v>20400.000000000004</v>
      </c>
      <c r="E50" s="13">
        <f t="shared" si="6"/>
        <v>46100.000000000007</v>
      </c>
      <c r="F50" s="13">
        <f t="shared" si="7"/>
        <v>30.733333333333338</v>
      </c>
    </row>
    <row r="51" spans="1:16" x14ac:dyDescent="0.25">
      <c r="A51" s="2">
        <v>7</v>
      </c>
      <c r="B51" s="40">
        <v>1500</v>
      </c>
      <c r="C51" s="37">
        <f t="shared" si="8"/>
        <v>25700.000000000004</v>
      </c>
      <c r="D51" s="2">
        <f t="shared" si="5"/>
        <v>20400.000000000004</v>
      </c>
      <c r="E51" s="13">
        <f t="shared" si="6"/>
        <v>46100.000000000007</v>
      </c>
      <c r="F51" s="13">
        <f t="shared" si="7"/>
        <v>30.733333333333338</v>
      </c>
    </row>
    <row r="52" spans="1:16" x14ac:dyDescent="0.25">
      <c r="A52" s="2">
        <v>8</v>
      </c>
      <c r="B52" s="40">
        <v>1600</v>
      </c>
      <c r="C52" s="37">
        <f t="shared" si="8"/>
        <v>25700.000000000004</v>
      </c>
      <c r="D52" s="2">
        <f t="shared" si="5"/>
        <v>21760.000000000004</v>
      </c>
      <c r="E52" s="13">
        <f t="shared" si="6"/>
        <v>47460.000000000007</v>
      </c>
      <c r="F52" s="13">
        <f t="shared" si="7"/>
        <v>29.662500000000005</v>
      </c>
    </row>
    <row r="53" spans="1:16" x14ac:dyDescent="0.25">
      <c r="A53" s="2">
        <v>9</v>
      </c>
      <c r="B53" s="40">
        <v>1600</v>
      </c>
      <c r="C53" s="37">
        <f t="shared" si="8"/>
        <v>25700.000000000004</v>
      </c>
      <c r="D53" s="2">
        <f t="shared" si="5"/>
        <v>21760.000000000004</v>
      </c>
      <c r="E53" s="13">
        <f t="shared" si="6"/>
        <v>47460.000000000007</v>
      </c>
      <c r="F53" s="13">
        <f t="shared" si="7"/>
        <v>29.662500000000005</v>
      </c>
    </row>
    <row r="54" spans="1:16" x14ac:dyDescent="0.25">
      <c r="A54" s="2">
        <v>10</v>
      </c>
      <c r="B54" s="40">
        <v>1600</v>
      </c>
      <c r="C54" s="37">
        <f t="shared" si="8"/>
        <v>25700.000000000004</v>
      </c>
      <c r="D54" s="2">
        <f t="shared" si="5"/>
        <v>21760.000000000004</v>
      </c>
      <c r="E54" s="13">
        <f t="shared" si="6"/>
        <v>47460.000000000007</v>
      </c>
      <c r="F54" s="13">
        <f t="shared" si="7"/>
        <v>29.662500000000005</v>
      </c>
    </row>
    <row r="55" spans="1:16" x14ac:dyDescent="0.25">
      <c r="A55" s="2">
        <v>11</v>
      </c>
      <c r="B55" s="40">
        <v>1600</v>
      </c>
      <c r="C55" s="37">
        <f t="shared" si="8"/>
        <v>25700.000000000004</v>
      </c>
      <c r="D55" s="2">
        <f t="shared" si="5"/>
        <v>21760.000000000004</v>
      </c>
      <c r="E55" s="13">
        <f t="shared" si="6"/>
        <v>47460.000000000007</v>
      </c>
      <c r="F55" s="13">
        <f t="shared" si="7"/>
        <v>29.662500000000005</v>
      </c>
    </row>
    <row r="56" spans="1:16" x14ac:dyDescent="0.25">
      <c r="A56" s="2">
        <v>12</v>
      </c>
      <c r="B56" s="40">
        <v>1600</v>
      </c>
      <c r="C56" s="37">
        <f t="shared" si="8"/>
        <v>25700.000000000004</v>
      </c>
      <c r="D56" s="2">
        <f t="shared" si="5"/>
        <v>21760.000000000004</v>
      </c>
      <c r="E56" s="13">
        <f t="shared" si="6"/>
        <v>47460.000000000007</v>
      </c>
      <c r="F56" s="13">
        <f t="shared" si="7"/>
        <v>29.662500000000005</v>
      </c>
    </row>
    <row r="57" spans="1:16" x14ac:dyDescent="0.25">
      <c r="A57" t="s">
        <v>90</v>
      </c>
      <c r="B57" s="10"/>
      <c r="C57" s="12"/>
      <c r="F57" s="5"/>
    </row>
    <row r="58" spans="1:16" x14ac:dyDescent="0.25">
      <c r="B58" s="10"/>
      <c r="C58" s="12"/>
      <c r="F58" s="5"/>
    </row>
    <row r="59" spans="1:16" x14ac:dyDescent="0.25">
      <c r="A59" s="48" t="s">
        <v>30</v>
      </c>
      <c r="B59" s="48"/>
      <c r="C59" s="48"/>
      <c r="D59" s="48"/>
      <c r="F59" s="5"/>
    </row>
    <row r="60" spans="1:16" x14ac:dyDescent="0.25">
      <c r="A60" s="19"/>
      <c r="B60" s="19"/>
      <c r="C60" s="19"/>
      <c r="D60" s="19"/>
      <c r="F60" s="5"/>
    </row>
    <row r="61" spans="1:16" x14ac:dyDescent="0.25">
      <c r="A61" s="19"/>
      <c r="B61" s="4" t="s">
        <v>14</v>
      </c>
      <c r="C61" s="4">
        <v>0</v>
      </c>
      <c r="D61" s="4">
        <f>C61+1</f>
        <v>1</v>
      </c>
      <c r="E61" s="4">
        <f t="shared" ref="E61:N61" si="9">D61+1</f>
        <v>2</v>
      </c>
      <c r="F61" s="4">
        <f t="shared" si="9"/>
        <v>3</v>
      </c>
      <c r="G61" s="4">
        <f t="shared" si="9"/>
        <v>4</v>
      </c>
      <c r="H61" s="4">
        <f t="shared" si="9"/>
        <v>5</v>
      </c>
      <c r="I61" s="4">
        <f t="shared" si="9"/>
        <v>6</v>
      </c>
      <c r="J61" s="4">
        <f t="shared" si="9"/>
        <v>7</v>
      </c>
      <c r="K61" s="4">
        <f t="shared" si="9"/>
        <v>8</v>
      </c>
      <c r="L61" s="4">
        <f t="shared" si="9"/>
        <v>9</v>
      </c>
      <c r="M61" s="4">
        <f>L61+1</f>
        <v>10</v>
      </c>
      <c r="N61" s="4">
        <f t="shared" si="9"/>
        <v>11</v>
      </c>
      <c r="O61" s="4">
        <f>N61+1</f>
        <v>12</v>
      </c>
      <c r="P61" s="38" t="s">
        <v>20</v>
      </c>
    </row>
    <row r="62" spans="1:16" x14ac:dyDescent="0.25">
      <c r="A62" s="19"/>
      <c r="B62" s="34" t="s">
        <v>75</v>
      </c>
      <c r="C62" s="35"/>
      <c r="D62" s="34">
        <f>B45</f>
        <v>1500</v>
      </c>
      <c r="E62" s="2">
        <f>B46</f>
        <v>1500</v>
      </c>
      <c r="F62" s="13">
        <f>B47</f>
        <v>1600</v>
      </c>
      <c r="G62" s="2">
        <f>B48</f>
        <v>1600</v>
      </c>
      <c r="H62" s="2">
        <f>B49</f>
        <v>1600</v>
      </c>
      <c r="I62" s="2">
        <f>B50</f>
        <v>1500</v>
      </c>
      <c r="J62" s="2">
        <f>B51</f>
        <v>1500</v>
      </c>
      <c r="K62" s="2">
        <f>B52</f>
        <v>1600</v>
      </c>
      <c r="L62" s="2">
        <f>B53</f>
        <v>1600</v>
      </c>
      <c r="M62" s="2">
        <f>B54</f>
        <v>1600</v>
      </c>
      <c r="N62" s="2">
        <f>B55</f>
        <v>1600</v>
      </c>
      <c r="O62" s="2">
        <f>B56</f>
        <v>1600</v>
      </c>
      <c r="P62" s="2"/>
    </row>
    <row r="63" spans="1:16" x14ac:dyDescent="0.25">
      <c r="A63" s="19"/>
      <c r="B63" s="34" t="s">
        <v>26</v>
      </c>
      <c r="C63" s="35"/>
      <c r="D63" s="37">
        <f>F45</f>
        <v>30.733333333333338</v>
      </c>
      <c r="E63" s="13">
        <f>F46</f>
        <v>30.733333333333338</v>
      </c>
      <c r="F63" s="13">
        <f>F47</f>
        <v>29.662500000000005</v>
      </c>
      <c r="G63" s="13">
        <f>F48</f>
        <v>29.662500000000005</v>
      </c>
      <c r="H63" s="13">
        <f>F49</f>
        <v>29.662500000000005</v>
      </c>
      <c r="I63" s="13">
        <f>F50</f>
        <v>30.733333333333338</v>
      </c>
      <c r="J63" s="13">
        <f>F51</f>
        <v>30.733333333333338</v>
      </c>
      <c r="K63" s="13">
        <f>F52</f>
        <v>29.662500000000005</v>
      </c>
      <c r="L63" s="13">
        <f>F53</f>
        <v>29.662500000000005</v>
      </c>
      <c r="M63" s="13">
        <f>F54</f>
        <v>29.662500000000005</v>
      </c>
      <c r="N63" s="13">
        <f>F55</f>
        <v>29.662500000000005</v>
      </c>
      <c r="O63" s="13">
        <f>F56</f>
        <v>29.662500000000005</v>
      </c>
      <c r="P63" s="2"/>
    </row>
    <row r="64" spans="1:16" x14ac:dyDescent="0.25">
      <c r="A64" s="19"/>
      <c r="B64" s="34" t="s">
        <v>28</v>
      </c>
      <c r="C64" s="35"/>
      <c r="D64" s="36">
        <f>D62*D63</f>
        <v>46100.000000000007</v>
      </c>
      <c r="E64" s="36">
        <f t="shared" ref="E64:O64" si="10">E62*E63</f>
        <v>46100.000000000007</v>
      </c>
      <c r="F64" s="36">
        <f t="shared" si="10"/>
        <v>47460.000000000007</v>
      </c>
      <c r="G64" s="36">
        <f t="shared" si="10"/>
        <v>47460.000000000007</v>
      </c>
      <c r="H64" s="36">
        <f t="shared" si="10"/>
        <v>47460.000000000007</v>
      </c>
      <c r="I64" s="36">
        <f t="shared" si="10"/>
        <v>46100.000000000007</v>
      </c>
      <c r="J64" s="36">
        <f t="shared" si="10"/>
        <v>46100.000000000007</v>
      </c>
      <c r="K64" s="36">
        <f t="shared" si="10"/>
        <v>47460.000000000007</v>
      </c>
      <c r="L64" s="36">
        <f t="shared" si="10"/>
        <v>47460.000000000007</v>
      </c>
      <c r="M64" s="36">
        <f t="shared" si="10"/>
        <v>47460.000000000007</v>
      </c>
      <c r="N64" s="36">
        <f t="shared" si="10"/>
        <v>47460.000000000007</v>
      </c>
      <c r="O64" s="36">
        <f t="shared" si="10"/>
        <v>47460.000000000007</v>
      </c>
      <c r="P64" s="2"/>
    </row>
    <row r="65" spans="1:16" x14ac:dyDescent="0.25">
      <c r="A65" s="19"/>
      <c r="B65" s="4" t="s">
        <v>83</v>
      </c>
      <c r="C65" s="29">
        <f>D64</f>
        <v>46100.000000000007</v>
      </c>
      <c r="D65" s="4">
        <f>E64-D64</f>
        <v>0</v>
      </c>
      <c r="E65" s="29">
        <f>F64-D65-C65</f>
        <v>1360</v>
      </c>
      <c r="F65" s="39">
        <f>G64-E65-D65-C65</f>
        <v>0</v>
      </c>
      <c r="G65" s="39">
        <f>H64-F65-E65-D65-C65</f>
        <v>0</v>
      </c>
      <c r="H65" s="29">
        <f>I64-G65-F65-E65-D65-C65</f>
        <v>-1360</v>
      </c>
      <c r="I65" s="39">
        <f>J64-H65-G65-F65-E65-D65-C65</f>
        <v>0</v>
      </c>
      <c r="J65" s="29">
        <f>K64-I65-H65-G65-F65-E65-D65-C65</f>
        <v>1360</v>
      </c>
      <c r="K65" s="39">
        <f>L64-J65-I65-H65-G65-F65-E65-D65-C65</f>
        <v>0</v>
      </c>
      <c r="L65" s="39">
        <f>M64-K65-J65-I65-H65-G65-F65-E65-D65-C65</f>
        <v>0</v>
      </c>
      <c r="M65" s="39">
        <f>N64-L65-K65-J65-I65-H65-G65-F65-E65-D65-C65</f>
        <v>0</v>
      </c>
      <c r="N65" s="39">
        <f>O64-M65-L65-K65-J65-I65-H65-G65-F65-E65-D65-C65</f>
        <v>0</v>
      </c>
      <c r="O65" s="39">
        <v>0</v>
      </c>
      <c r="P65" s="29">
        <f>SUM(C65:O65)</f>
        <v>47460.000000000007</v>
      </c>
    </row>
    <row r="66" spans="1:16" x14ac:dyDescent="0.25">
      <c r="A66" s="19"/>
      <c r="B66" s="45" t="s">
        <v>91</v>
      </c>
      <c r="C66" s="19"/>
      <c r="D66" s="19"/>
      <c r="F66" s="5"/>
    </row>
    <row r="67" spans="1:16" x14ac:dyDescent="0.25">
      <c r="A67" s="19"/>
      <c r="B67" s="19"/>
      <c r="C67" s="19"/>
      <c r="D67" s="19"/>
      <c r="F67" s="5"/>
    </row>
    <row r="68" spans="1:16" x14ac:dyDescent="0.25">
      <c r="B68" s="10"/>
      <c r="C68" s="12"/>
      <c r="F68" s="5"/>
    </row>
    <row r="69" spans="1:16" x14ac:dyDescent="0.25">
      <c r="A69" t="s">
        <v>43</v>
      </c>
      <c r="B69" s="10"/>
      <c r="C69" s="12"/>
      <c r="F69" s="5"/>
    </row>
    <row r="70" spans="1:16" x14ac:dyDescent="0.25">
      <c r="B70" s="10"/>
      <c r="C70" s="12"/>
      <c r="F70" s="5"/>
    </row>
    <row r="71" spans="1:16" ht="15.75" thickBot="1" x14ac:dyDescent="0.3">
      <c r="B71" s="50" t="s">
        <v>44</v>
      </c>
      <c r="C71" s="50"/>
      <c r="F71" s="5"/>
    </row>
    <row r="72" spans="1:16" x14ac:dyDescent="0.25">
      <c r="B72" s="20" t="s">
        <v>14</v>
      </c>
      <c r="C72" s="21" t="s">
        <v>17</v>
      </c>
      <c r="D72" s="15"/>
      <c r="F72" s="5"/>
    </row>
    <row r="73" spans="1:16" x14ac:dyDescent="0.25">
      <c r="B73" s="16" t="s">
        <v>27</v>
      </c>
      <c r="C73" s="17">
        <f>B45*F32</f>
        <v>52500</v>
      </c>
      <c r="D73" s="1"/>
      <c r="F73" s="5"/>
    </row>
    <row r="74" spans="1:16" x14ac:dyDescent="0.25">
      <c r="B74" s="16" t="s">
        <v>38</v>
      </c>
      <c r="C74" s="30">
        <f>C39</f>
        <v>31627.272727272728</v>
      </c>
      <c r="D74" s="1"/>
      <c r="F74" s="5"/>
    </row>
    <row r="75" spans="1:16" x14ac:dyDescent="0.25">
      <c r="B75" s="16" t="s">
        <v>39</v>
      </c>
      <c r="C75" s="30">
        <f>F34*B45</f>
        <v>20400.000000000004</v>
      </c>
      <c r="D75" s="1"/>
      <c r="F75" s="5"/>
    </row>
    <row r="76" spans="1:16" x14ac:dyDescent="0.25">
      <c r="B76" s="16" t="s">
        <v>40</v>
      </c>
      <c r="C76" s="30">
        <f>C73-C74-C75</f>
        <v>472.72727272726843</v>
      </c>
      <c r="D76" s="1"/>
      <c r="F76" s="5"/>
    </row>
    <row r="77" spans="1:16" x14ac:dyDescent="0.25">
      <c r="B77" s="16" t="s">
        <v>41</v>
      </c>
      <c r="C77" s="30">
        <f>C76*0.3</f>
        <v>141.81818181818053</v>
      </c>
      <c r="D77" s="1"/>
      <c r="F77" s="5"/>
    </row>
    <row r="78" spans="1:16" ht="15.75" thickBot="1" x14ac:dyDescent="0.3">
      <c r="B78" s="18" t="s">
        <v>42</v>
      </c>
      <c r="C78" s="31">
        <f>C76-C77</f>
        <v>330.90909090908792</v>
      </c>
      <c r="D78" s="1"/>
      <c r="F78" s="5"/>
    </row>
    <row r="79" spans="1:16" x14ac:dyDescent="0.25">
      <c r="B79" s="10"/>
      <c r="C79" s="12"/>
      <c r="F79" s="5"/>
    </row>
    <row r="81" spans="1:7" x14ac:dyDescent="0.25">
      <c r="A81" t="s">
        <v>45</v>
      </c>
      <c r="B81" t="s">
        <v>22</v>
      </c>
      <c r="C81" s="41">
        <f>F36/(F32-F34)</f>
        <v>1477.9099405267632</v>
      </c>
      <c r="D81" t="s">
        <v>76</v>
      </c>
    </row>
    <row r="83" spans="1:7" x14ac:dyDescent="0.25">
      <c r="A83" t="s">
        <v>46</v>
      </c>
      <c r="B83" t="s">
        <v>84</v>
      </c>
      <c r="C83" t="s">
        <v>34</v>
      </c>
      <c r="D83">
        <v>500</v>
      </c>
      <c r="E83" t="s">
        <v>77</v>
      </c>
    </row>
    <row r="84" spans="1:7" x14ac:dyDescent="0.25">
      <c r="C84" t="s">
        <v>35</v>
      </c>
      <c r="D84">
        <v>30</v>
      </c>
      <c r="E84" t="s">
        <v>78</v>
      </c>
    </row>
    <row r="86" spans="1:7" x14ac:dyDescent="0.25">
      <c r="B86" s="49" t="s">
        <v>47</v>
      </c>
      <c r="C86" s="49"/>
      <c r="D86" s="49"/>
      <c r="E86" s="49"/>
      <c r="F86" s="49"/>
      <c r="G86" s="49"/>
    </row>
    <row r="87" spans="1:7" ht="30" x14ac:dyDescent="0.25">
      <c r="B87" s="42" t="s">
        <v>14</v>
      </c>
      <c r="C87" s="43" t="s">
        <v>37</v>
      </c>
      <c r="D87" s="38"/>
      <c r="E87" s="44" t="s">
        <v>36</v>
      </c>
      <c r="F87" s="38"/>
      <c r="G87" s="38" t="s">
        <v>48</v>
      </c>
    </row>
    <row r="88" spans="1:7" x14ac:dyDescent="0.25">
      <c r="B88" s="2" t="s">
        <v>27</v>
      </c>
      <c r="C88" s="2">
        <f>C73</f>
        <v>52500</v>
      </c>
      <c r="D88" s="2"/>
      <c r="E88" s="2">
        <f>D62*F32+D83*D84</f>
        <v>67500</v>
      </c>
      <c r="F88" s="2"/>
      <c r="G88" s="2">
        <f>E88-C88</f>
        <v>15000</v>
      </c>
    </row>
    <row r="89" spans="1:7" x14ac:dyDescent="0.25">
      <c r="B89" s="2" t="s">
        <v>38</v>
      </c>
      <c r="C89" s="28">
        <f>F36</f>
        <v>31627.272727272728</v>
      </c>
      <c r="D89" s="2"/>
      <c r="E89" s="28">
        <f>C89</f>
        <v>31627.272727272728</v>
      </c>
      <c r="F89" s="2"/>
      <c r="G89" s="2">
        <f>E89-C89</f>
        <v>0</v>
      </c>
    </row>
    <row r="90" spans="1:7" x14ac:dyDescent="0.25">
      <c r="B90" s="2" t="s">
        <v>39</v>
      </c>
      <c r="C90" s="2">
        <f>D45</f>
        <v>20400.000000000004</v>
      </c>
      <c r="D90" s="2"/>
      <c r="E90" s="2">
        <f>C90+D83*(F26-F25)</f>
        <v>27100.000000000004</v>
      </c>
      <c r="F90" s="2"/>
      <c r="G90" s="2">
        <f>E90-C90</f>
        <v>6700</v>
      </c>
    </row>
    <row r="91" spans="1:7" x14ac:dyDescent="0.25">
      <c r="B91" s="3" t="s">
        <v>40</v>
      </c>
      <c r="C91" s="28">
        <f>C88-C89-C90</f>
        <v>472.72727272726843</v>
      </c>
      <c r="D91" s="2"/>
      <c r="E91" s="28">
        <f>E88-E89-E90</f>
        <v>8772.7272727272684</v>
      </c>
      <c r="F91" s="2"/>
      <c r="G91" s="2">
        <f>E91-C91</f>
        <v>8300</v>
      </c>
    </row>
    <row r="92" spans="1:7" x14ac:dyDescent="0.25">
      <c r="B92" s="2" t="s">
        <v>41</v>
      </c>
      <c r="C92" s="28">
        <f>C91*0.3</f>
        <v>141.81818181818053</v>
      </c>
      <c r="D92" s="2"/>
      <c r="E92" s="28">
        <f>E91*0.3</f>
        <v>2631.8181818181806</v>
      </c>
      <c r="F92" s="2"/>
      <c r="G92" s="2">
        <f t="shared" ref="G92:G93" si="11">E92-C92</f>
        <v>2490</v>
      </c>
    </row>
    <row r="93" spans="1:7" x14ac:dyDescent="0.25">
      <c r="B93" s="3" t="s">
        <v>42</v>
      </c>
      <c r="C93" s="28">
        <f>C91-C92</f>
        <v>330.90909090908792</v>
      </c>
      <c r="D93" s="2"/>
      <c r="E93" s="28">
        <f t="shared" ref="E93" si="12">E91-E92</f>
        <v>6140.9090909090883</v>
      </c>
      <c r="F93" s="2"/>
      <c r="G93" s="2">
        <f t="shared" si="11"/>
        <v>5810</v>
      </c>
    </row>
    <row r="95" spans="1:7" x14ac:dyDescent="0.25">
      <c r="B95" t="s">
        <v>87</v>
      </c>
    </row>
    <row r="96" spans="1:7" x14ac:dyDescent="0.25">
      <c r="B96" t="s">
        <v>85</v>
      </c>
    </row>
    <row r="97" spans="2:2" x14ac:dyDescent="0.25">
      <c r="B97" t="s">
        <v>86</v>
      </c>
    </row>
  </sheetData>
  <mergeCells count="6">
    <mergeCell ref="B1:G1"/>
    <mergeCell ref="B86:G86"/>
    <mergeCell ref="A59:D59"/>
    <mergeCell ref="B71:C71"/>
    <mergeCell ref="B16:F16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2017-12-07T01:41:32Z</dcterms:modified>
</cp:coreProperties>
</file>