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1ecd61295a042a9/Documentos/Classroom/Evaluación Privada de Proyectos/Collaboration Space/Shared Resources/13 EJERCICIOS Y CASOS DE CLASES/"/>
    </mc:Choice>
  </mc:AlternateContent>
  <xr:revisionPtr revIDLastSave="219" documentId="13_ncr:1_{0B5A93AA-C233-4188-9BF3-2A508EFE4A02}" xr6:coauthVersionLast="47" xr6:coauthVersionMax="47" xr10:uidLastSave="{5FA6F55A-F6CF-4744-B96C-A6B87F6BEC77}"/>
  <bookViews>
    <workbookView xWindow="-120" yWindow="-16320" windowWidth="29040" windowHeight="15720" activeTab="2" xr2:uid="{00000000-000D-0000-FFFF-FFFF00000000}"/>
  </bookViews>
  <sheets>
    <sheet name="Alter Sin Py" sheetId="5" r:id="rId1"/>
    <sheet name="COSTO DE CAPITAL" sheetId="10" r:id="rId2"/>
    <sheet name="Alter Con py" sheetId="9" r:id="rId3"/>
  </sheets>
  <externalReferences>
    <externalReference r:id="rId4"/>
  </externalReferences>
  <definedNames>
    <definedName name="_xlnm.Print_Area" localSheetId="2">'Alter Con py'!$A$1:$N$114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8" i="9" l="1"/>
  <c r="C81" i="9"/>
  <c r="K17" i="10"/>
  <c r="J14" i="10" l="1"/>
  <c r="C78" i="9"/>
  <c r="C32" i="9" l="1"/>
  <c r="C29" i="9"/>
  <c r="C42" i="9" l="1"/>
  <c r="D47" i="9"/>
  <c r="D26" i="9"/>
  <c r="E14" i="9"/>
  <c r="K26" i="10" l="1"/>
  <c r="K30" i="10"/>
  <c r="K29" i="10"/>
  <c r="K23" i="10"/>
  <c r="J17" i="10"/>
  <c r="G72" i="9"/>
  <c r="F72" i="9"/>
  <c r="E72" i="9"/>
  <c r="D72" i="9"/>
  <c r="C72" i="9"/>
  <c r="G71" i="9"/>
  <c r="F71" i="9"/>
  <c r="E71" i="9"/>
  <c r="D71" i="9"/>
  <c r="D70" i="9"/>
  <c r="D69" i="9"/>
  <c r="C68" i="9"/>
  <c r="F66" i="9"/>
  <c r="E66" i="9"/>
  <c r="F60" i="9"/>
  <c r="E60" i="9"/>
  <c r="D59" i="9"/>
  <c r="D46" i="9"/>
  <c r="E46" i="9"/>
  <c r="G45" i="9"/>
  <c r="E45" i="9"/>
  <c r="D45" i="9"/>
  <c r="G44" i="9"/>
  <c r="G28" i="9"/>
  <c r="G43" i="9"/>
  <c r="D14" i="5"/>
  <c r="N36" i="9"/>
  <c r="L36" i="9"/>
  <c r="K36" i="9"/>
  <c r="J36" i="9"/>
  <c r="J32" i="9"/>
  <c r="G31" i="9"/>
  <c r="F31" i="9"/>
  <c r="G30" i="9"/>
  <c r="F30" i="9"/>
  <c r="E30" i="9"/>
  <c r="C30" i="9"/>
  <c r="F29" i="9"/>
  <c r="E29" i="9"/>
  <c r="D29" i="9"/>
  <c r="D30" i="9" s="1"/>
  <c r="D23" i="9"/>
  <c r="D25" i="9"/>
  <c r="D24" i="9"/>
  <c r="E24" i="9"/>
  <c r="G23" i="9"/>
  <c r="F23" i="9"/>
  <c r="E23" i="9"/>
  <c r="G22" i="9"/>
  <c r="F22" i="9"/>
  <c r="E22" i="9"/>
  <c r="D22" i="9"/>
  <c r="E36" i="5"/>
  <c r="E35" i="5"/>
  <c r="E34" i="5"/>
  <c r="E33" i="5"/>
  <c r="E32" i="5"/>
  <c r="E31" i="5"/>
  <c r="E29" i="5"/>
  <c r="E28" i="5"/>
  <c r="D21" i="5"/>
  <c r="E20" i="5"/>
  <c r="D20" i="5"/>
  <c r="D19" i="5"/>
  <c r="E17" i="5"/>
  <c r="D17" i="5"/>
  <c r="D16" i="5"/>
  <c r="D15" i="5"/>
  <c r="G13" i="5"/>
  <c r="F13" i="5"/>
  <c r="E13" i="5"/>
  <c r="D13" i="5"/>
  <c r="J11" i="10"/>
  <c r="I14" i="9"/>
  <c r="H14" i="9"/>
  <c r="F14" i="9"/>
  <c r="G4" i="5"/>
  <c r="F4" i="5"/>
  <c r="D31" i="9" l="1"/>
  <c r="D32" i="9" s="1"/>
  <c r="D4" i="5"/>
  <c r="F45" i="9"/>
  <c r="J41" i="10" l="1"/>
  <c r="M41" i="10" s="1"/>
  <c r="C79" i="9" s="1"/>
  <c r="C95" i="9" s="1"/>
  <c r="K24" i="10" l="1"/>
  <c r="K25" i="10"/>
  <c r="C50" i="9" l="1"/>
  <c r="K37" i="9"/>
  <c r="J30" i="9"/>
  <c r="F7" i="9"/>
  <c r="E7" i="9"/>
  <c r="D7" i="9"/>
  <c r="E4" i="5"/>
  <c r="G14" i="5" l="1"/>
  <c r="H31" i="5" s="1"/>
  <c r="F14" i="5"/>
  <c r="G31" i="5" s="1"/>
  <c r="E14" i="5"/>
  <c r="F31" i="5" s="1"/>
  <c r="K38" i="9"/>
  <c r="G69" i="9"/>
  <c r="K39" i="9"/>
  <c r="G47" i="9"/>
  <c r="F47" i="9"/>
  <c r="E47" i="9"/>
  <c r="E25" i="9"/>
  <c r="D49" i="9" s="1"/>
  <c r="H28" i="5"/>
  <c r="H29" i="5" s="1"/>
  <c r="G28" i="5"/>
  <c r="G29" i="5" s="1"/>
  <c r="E16" i="5"/>
  <c r="E15" i="5"/>
  <c r="F32" i="5" s="1"/>
  <c r="C23" i="9"/>
  <c r="B46" i="9"/>
  <c r="B47" i="9"/>
  <c r="B48" i="9"/>
  <c r="B49" i="9"/>
  <c r="C57" i="9"/>
  <c r="D57" i="9"/>
  <c r="E57" i="9"/>
  <c r="F57" i="9"/>
  <c r="G57" i="9"/>
  <c r="C59" i="9"/>
  <c r="B66" i="9"/>
  <c r="D33" i="5"/>
  <c r="D35" i="5" s="1"/>
  <c r="G16" i="5" l="1"/>
  <c r="M36" i="9"/>
  <c r="E69" i="9"/>
  <c r="C41" i="9"/>
  <c r="C45" i="9" s="1"/>
  <c r="J37" i="9"/>
  <c r="N37" i="9" s="1"/>
  <c r="J38" i="9" s="1"/>
  <c r="F69" i="9"/>
  <c r="F26" i="9"/>
  <c r="E26" i="9"/>
  <c r="G26" i="9"/>
  <c r="F46" i="9"/>
  <c r="G46" i="9"/>
  <c r="L37" i="9"/>
  <c r="G25" i="9"/>
  <c r="F49" i="9" s="1"/>
  <c r="G49" i="9" s="1"/>
  <c r="G24" i="9"/>
  <c r="F48" i="9" s="1"/>
  <c r="G48" i="9" s="1"/>
  <c r="C47" i="9"/>
  <c r="C51" i="9" s="1"/>
  <c r="G33" i="5"/>
  <c r="H33" i="5"/>
  <c r="F28" i="5"/>
  <c r="F29" i="5" s="1"/>
  <c r="G15" i="5"/>
  <c r="H32" i="5" s="1"/>
  <c r="F15" i="5"/>
  <c r="F16" i="5"/>
  <c r="F24" i="9"/>
  <c r="E48" i="9" s="1"/>
  <c r="F25" i="9"/>
  <c r="E49" i="9" s="1"/>
  <c r="D48" i="9"/>
  <c r="D50" i="9" l="1"/>
  <c r="D51" i="9" s="1"/>
  <c r="G29" i="9"/>
  <c r="C52" i="9"/>
  <c r="G50" i="9"/>
  <c r="G51" i="9" s="1"/>
  <c r="G52" i="9" s="1"/>
  <c r="G58" i="9" s="1"/>
  <c r="E70" i="9"/>
  <c r="M37" i="9"/>
  <c r="L38" i="9"/>
  <c r="N38" i="9"/>
  <c r="J39" i="9" s="1"/>
  <c r="F17" i="5"/>
  <c r="G32" i="5"/>
  <c r="F33" i="5"/>
  <c r="G17" i="5"/>
  <c r="G66" i="9" l="1"/>
  <c r="G60" i="9"/>
  <c r="C58" i="9"/>
  <c r="C60" i="9" s="1"/>
  <c r="C66" i="9"/>
  <c r="C73" i="9" s="1"/>
  <c r="D52" i="9"/>
  <c r="E31" i="9"/>
  <c r="E50" i="9" s="1"/>
  <c r="E51" i="9" s="1"/>
  <c r="E52" i="9" s="1"/>
  <c r="E58" i="9" s="1"/>
  <c r="L39" i="9"/>
  <c r="N39" i="9"/>
  <c r="F70" i="9"/>
  <c r="M38" i="9"/>
  <c r="G32" i="9"/>
  <c r="E19" i="5"/>
  <c r="F19" i="5"/>
  <c r="G19" i="5"/>
  <c r="F50" i="9"/>
  <c r="F51" i="9" s="1"/>
  <c r="F52" i="9" s="1"/>
  <c r="F58" i="9" s="1"/>
  <c r="C89" i="9" l="1"/>
  <c r="C93" i="9"/>
  <c r="D58" i="9"/>
  <c r="J45" i="10"/>
  <c r="E32" i="9"/>
  <c r="G70" i="9"/>
  <c r="M39" i="9"/>
  <c r="G20" i="5"/>
  <c r="H34" i="5" s="1"/>
  <c r="H35" i="5" s="1"/>
  <c r="H36" i="5" s="1"/>
  <c r="G59" i="9" s="1"/>
  <c r="F20" i="5"/>
  <c r="G34" i="5" s="1"/>
  <c r="G35" i="5" s="1"/>
  <c r="G36" i="5" s="1"/>
  <c r="F59" i="9" s="1"/>
  <c r="F32" i="9"/>
  <c r="D66" i="9" l="1"/>
  <c r="D73" i="9" s="1"/>
  <c r="D60" i="9"/>
  <c r="J43" i="10"/>
  <c r="M32" i="10"/>
  <c r="J32" i="10" s="1"/>
  <c r="J34" i="10" s="1"/>
  <c r="J36" i="10" s="1"/>
  <c r="G21" i="5"/>
  <c r="F21" i="5"/>
  <c r="E73" i="9"/>
  <c r="F73" i="9"/>
  <c r="F34" i="5"/>
  <c r="F35" i="5" s="1"/>
  <c r="F36" i="5" s="1"/>
  <c r="E21" i="5"/>
  <c r="C83" i="9" l="1"/>
  <c r="J48" i="10"/>
  <c r="J51" i="10" s="1"/>
  <c r="G73" i="9"/>
  <c r="C97" i="9" s="1"/>
  <c r="E59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Henry</author>
  </authors>
  <commentList>
    <comment ref="J5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Media Aritmética de los Rendimientos Anuales de T.BILLS de EE. UU (serie histórica anual 1928 - 2011).
</t>
        </r>
      </text>
    </comment>
    <comment ref="J7" authorId="0" shapeId="0" xr:uid="{00000000-0006-0000-0100-000002000000}">
      <text>
        <r>
          <rPr>
            <sz val="9"/>
            <color indexed="81"/>
            <rFont val="Tahoma"/>
            <family val="2"/>
          </rPr>
          <t xml:space="preserve">Promedio de Rendimiento de la Cartera de Mercado  anual (Serie histórica de 03/01/2050 a 03/01/2011), no se tomó en cuenta el año 2012 porque se dispone toda la data para el año 2012.
</t>
        </r>
      </text>
    </comment>
    <comment ref="J9" authorId="0" shapeId="0" xr:uid="{00000000-0006-0000-0100-000003000000}">
      <text>
        <r>
          <rPr>
            <sz val="9"/>
            <color indexed="81"/>
            <rFont val="Tahoma"/>
            <family val="2"/>
          </rPr>
          <t>Riesgo País promedio del Perú, a partir de la serie histórica de 10 años recientes (08/10/2002 - 08/10/2012). El 2.30% corresponde a 230.23 Puntos Básicos.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Henry</author>
  </authors>
  <commentList>
    <comment ref="K31" authorId="0" shapeId="0" xr:uid="{00000000-0006-0000-0200-000001000000}">
      <text>
        <r>
          <rPr>
            <sz val="9"/>
            <color indexed="81"/>
            <rFont val="Tahoma"/>
            <family val="2"/>
          </rPr>
          <t xml:space="preserve">Debido a que la tasa de inflación tiene tendencia a la alza (BCRP).
</t>
        </r>
      </text>
    </comment>
  </commentList>
</comments>
</file>

<file path=xl/sharedStrings.xml><?xml version="1.0" encoding="utf-8"?>
<sst xmlns="http://schemas.openxmlformats.org/spreadsheetml/2006/main" count="146" uniqueCount="119">
  <si>
    <t>Nueva</t>
  </si>
  <si>
    <t>Horizonte de evaluacion: 4 años</t>
  </si>
  <si>
    <t>Utilidad Neta</t>
  </si>
  <si>
    <t xml:space="preserve">Utilidad operativa </t>
  </si>
  <si>
    <t>Utilidad imponible</t>
  </si>
  <si>
    <t>Ingresos</t>
  </si>
  <si>
    <t xml:space="preserve">total de ingresos </t>
  </si>
  <si>
    <t>Egresos</t>
  </si>
  <si>
    <t xml:space="preserve">Flujo de Caja Economico </t>
  </si>
  <si>
    <t>Inversión Inicial</t>
  </si>
  <si>
    <t>Monto</t>
  </si>
  <si>
    <t>Vida util</t>
  </si>
  <si>
    <t>Depreci Anual</t>
  </si>
  <si>
    <t>Valor  Residual</t>
  </si>
  <si>
    <t>Valor Mercado</t>
  </si>
  <si>
    <t>Utilidad</t>
  </si>
  <si>
    <t>tasa de Deprec</t>
  </si>
  <si>
    <t>DESCRIPCIÓN DE CATEGORÍA</t>
  </si>
  <si>
    <t>PERIODO (EN AÑOS)</t>
  </si>
  <si>
    <t xml:space="preserve">(-) Costos de ventas </t>
  </si>
  <si>
    <t xml:space="preserve">(+) Ventas netas en s/. </t>
  </si>
  <si>
    <t>(-) Costos de ventas</t>
  </si>
  <si>
    <t xml:space="preserve">(-) Impuestos </t>
  </si>
  <si>
    <t>Total Egresos</t>
  </si>
  <si>
    <t>DEPRECIACIÓN DE ACTIVOS</t>
  </si>
  <si>
    <t>(-) Depreciaciones</t>
  </si>
  <si>
    <t xml:space="preserve">Utilidad venta maquinas </t>
  </si>
  <si>
    <t>1/ Se considera Horizonte de proyeccción de 4 años, ya que el activo fijo (maquinas electrodomestico tiene una vida útil de 4años).</t>
  </si>
  <si>
    <t>PRÉSTAMO</t>
  </si>
  <si>
    <t>Monto del préstamo</t>
  </si>
  <si>
    <t>Tasa Efectiva Anual (TEA)</t>
  </si>
  <si>
    <t>Plazo Devolución</t>
  </si>
  <si>
    <t>Tasa de Interés Real</t>
  </si>
  <si>
    <t>Tasa Inflación Anual</t>
  </si>
  <si>
    <t>Cuota de Capital</t>
  </si>
  <si>
    <t>Periodo</t>
  </si>
  <si>
    <t>Saldo Inicial</t>
  </si>
  <si>
    <t>Interes</t>
  </si>
  <si>
    <t>Saldo Final</t>
  </si>
  <si>
    <t>TABLA DE AMORTIZACIÓN DE LA DEUDA</t>
  </si>
  <si>
    <t>Inversiones y Liquidación</t>
  </si>
  <si>
    <t>Flujo de Inversiones</t>
  </si>
  <si>
    <t>Impuestos (-)</t>
  </si>
  <si>
    <t>Flujo de Caja Operativo</t>
  </si>
  <si>
    <t>Maquinarias (-)</t>
  </si>
  <si>
    <t>FCE Incremental</t>
  </si>
  <si>
    <t>Financiamiento Neto</t>
  </si>
  <si>
    <t>Préstamos (+)</t>
  </si>
  <si>
    <t>Amortizaciones (-)</t>
  </si>
  <si>
    <t>Intereses (-)</t>
  </si>
  <si>
    <t>Escudo Fiscal por Intereses(+)</t>
  </si>
  <si>
    <t>Flujo Financiamiento Neto</t>
  </si>
  <si>
    <t>PRECIO</t>
  </si>
  <si>
    <t>COSTO</t>
  </si>
  <si>
    <t xml:space="preserve">Actual </t>
  </si>
  <si>
    <t>(-) Gastos administrativos (15%)</t>
  </si>
  <si>
    <t>(-) Impuestos (30%)</t>
  </si>
  <si>
    <t xml:space="preserve">intereses </t>
  </si>
  <si>
    <t>(-) Gastos de Ventas (6%)</t>
  </si>
  <si>
    <t>(-) Gastos de ventas 6%)</t>
  </si>
  <si>
    <t>(-) Gastos de ventas (6%)</t>
  </si>
  <si>
    <t>Acondicionamiento de local</t>
  </si>
  <si>
    <t>Venta de Activo Fijo (+)</t>
  </si>
  <si>
    <t xml:space="preserve">VANE INCREMENTAL </t>
  </si>
  <si>
    <t xml:space="preserve">TIRE INCREMENTAL </t>
  </si>
  <si>
    <t>cuota</t>
  </si>
  <si>
    <t xml:space="preserve">FLUJO DE CAJA FINANCIERO   CON EQUIPOS NUEVOS </t>
  </si>
  <si>
    <t>DATOS</t>
  </si>
  <si>
    <t>FLUJO DE CAJA ECONÓMICO  CON EQUIPO ACTUAL</t>
  </si>
  <si>
    <t>FLUJO DE CAJA ECONÓMICO CON EQUIPOS NUEVOS</t>
  </si>
  <si>
    <t xml:space="preserve">FLUJO DE CAJA ECONOMICO  INCREMENTAL </t>
  </si>
  <si>
    <t>FCE Con Equipos Nuevos</t>
  </si>
  <si>
    <t>FCE Con Equipos Actuales</t>
  </si>
  <si>
    <t>Flujo de Caja Financiero</t>
  </si>
  <si>
    <t>Bocaditos</t>
  </si>
  <si>
    <t xml:space="preserve">Unidades al mes </t>
  </si>
  <si>
    <t>Pan Fortificado</t>
  </si>
  <si>
    <t xml:space="preserve">Galletas </t>
  </si>
  <si>
    <t>CANTIDADES en docenas</t>
  </si>
  <si>
    <t>(-) Decoracion del local</t>
  </si>
  <si>
    <t>Ru : COSTO DE CAPITAL DESAPALANCADO</t>
  </si>
  <si>
    <t>COK Desapalancado, Ru</t>
  </si>
  <si>
    <t>D/E de USA</t>
  </si>
  <si>
    <t>Tasa impositiva</t>
  </si>
  <si>
    <t>Rf</t>
  </si>
  <si>
    <t>Rm</t>
  </si>
  <si>
    <t>Re : COSTO DE CAPITAL REAPALANCADO</t>
  </si>
  <si>
    <t>Rp</t>
  </si>
  <si>
    <t>Ru=COK desapalancado= Rf+BD (Rm-Rf)+Rp</t>
  </si>
  <si>
    <t>Ru</t>
  </si>
  <si>
    <t>% Ru</t>
  </si>
  <si>
    <t>Con</t>
  </si>
  <si>
    <t>=</t>
  </si>
  <si>
    <t>Nominal</t>
  </si>
  <si>
    <t>WACCA: COSTO PROMEDIO PONDERADO DE CAPITAL</t>
  </si>
  <si>
    <t>Real=</t>
  </si>
  <si>
    <t>Inflacion</t>
  </si>
  <si>
    <t>EVALUACIÓN  INCREMENTAL:</t>
  </si>
  <si>
    <t>VANE</t>
  </si>
  <si>
    <t>TIRE</t>
  </si>
  <si>
    <t>EVALUACION FINANCIERA CON EQUIPOS NUEVOS</t>
  </si>
  <si>
    <t>EVALUACION ECONOMICA CON EQUIPOS NUEVOS</t>
  </si>
  <si>
    <t>VANF =</t>
  </si>
  <si>
    <t>VAEFI =</t>
  </si>
  <si>
    <t>TIRF =</t>
  </si>
  <si>
    <t>nota: el gasto realizado en la decoracion del local es un egreso a realizare en el periodo cero, no se deprecia por no ser local propio</t>
  </si>
  <si>
    <t xml:space="preserve">Capital de Trabajo </t>
  </si>
  <si>
    <t>Recupero de Capital de Trabajo</t>
  </si>
  <si>
    <r>
      <t>Alternativa B:</t>
    </r>
    <r>
      <rPr>
        <sz val="10"/>
        <rFont val="Arial"/>
        <family val="2"/>
      </rPr>
      <t xml:space="preserve"> Producir con los equipos nuevos </t>
    </r>
  </si>
  <si>
    <t>Flujo Caja Económico (FCE)</t>
  </si>
  <si>
    <t>ESTADO DE RESULTADOS CON EQUIPO ACTUAL</t>
  </si>
  <si>
    <t>ESTADO DE RESULTADOS CON EQUIPOS NUEVOS</t>
  </si>
  <si>
    <t>Ku real</t>
  </si>
  <si>
    <t>kd  real</t>
  </si>
  <si>
    <t>Equipos electrodomesticos</t>
  </si>
  <si>
    <t>Beta Desapalancado Bu</t>
  </si>
  <si>
    <t>BetaApalancado Bi</t>
  </si>
  <si>
    <t>CANTIDADES en docenas (MES)</t>
  </si>
  <si>
    <t>Principal (Amortizaciones)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</si>
</sst>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(* #,##0.00_);_(* \(#,##0.00\);_(* &quot;-&quot;??_);_(@_)"/>
    <numFmt numFmtId="164" formatCode="_ * #,##0.00_ ;_ * \-#,##0.00_ ;_ * &quot;-&quot;??_ ;_ @_ "/>
    <numFmt numFmtId="165" formatCode="&quot;S/.&quot;\ #,##0;[Red]&quot;S/.&quot;\ \-#,##0"/>
    <numFmt numFmtId="166" formatCode="&quot;S/.&quot;\ #,##0.00;[Red]&quot;S/.&quot;\ \-#,##0.00"/>
    <numFmt numFmtId="167" formatCode="_(* #,##0_);_(* \(#,##0\);_(* &quot;-&quot;??_);_(@_)"/>
    <numFmt numFmtId="168" formatCode="0.0"/>
    <numFmt numFmtId="169" formatCode="_ * #,##0.0_ ;_ * \-#,##0.0_ ;_ * &quot;-&quot;??_ ;_ @_ "/>
    <numFmt numFmtId="170" formatCode="#,##0.0"/>
    <numFmt numFmtId="171" formatCode="0.00000"/>
    <numFmt numFmtId="172" formatCode="_ * #,##0_ ;_ * \-#,##0_ ;_ * &quot;-&quot;??_ ;_ @_ "/>
    <numFmt numFmtId="173" formatCode="&quot;S/.&quot;\ #,##0_);[Red]\(&quot;S/.&quot;\ #,##0\)"/>
    <numFmt numFmtId="174" formatCode="#,##0_ ;[Red]\-#,##0\ "/>
    <numFmt numFmtId="175" formatCode="0.0000"/>
    <numFmt numFmtId="176" formatCode="_ * #,##0.0000_ ;_ * \-#,##0.0000_ ;_ * &quot;-&quot;??_ ;_ @_ "/>
  </numFmts>
  <fonts count="2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 Narrow"/>
      <family val="2"/>
    </font>
    <font>
      <sz val="10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indexed="81"/>
      <name val="Tahoma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1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6" tint="-0.499984740745262"/>
      <name val="Arial"/>
      <family val="2"/>
    </font>
    <font>
      <sz val="11"/>
      <color theme="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4"/>
      </patternFill>
    </fill>
    <fill>
      <gradientFill degree="270">
        <stop position="0">
          <color theme="0" tint="0.80001220740379042"/>
        </stop>
        <stop position="1">
          <color theme="6" tint="0.40000610370189521"/>
        </stop>
      </gradientFill>
    </fill>
    <fill>
      <gradientFill degree="90">
        <stop position="0">
          <color theme="0" tint="0.80001220740379042"/>
        </stop>
        <stop position="1">
          <color theme="6" tint="0.40000610370189521"/>
        </stop>
      </gradient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9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9" fillId="2" borderId="0" applyNumberFormat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8" fillId="0" borderId="0" applyFont="0" applyFill="0" applyBorder="0" applyAlignment="0" applyProtection="0"/>
    <xf numFmtId="0" fontId="20" fillId="0" borderId="0" applyNumberFormat="0" applyFill="0" applyBorder="0" applyAlignment="0" applyProtection="0"/>
  </cellStyleXfs>
  <cellXfs count="221">
    <xf numFmtId="0" fontId="0" fillId="0" borderId="0" xfId="0"/>
    <xf numFmtId="0" fontId="12" fillId="0" borderId="0" xfId="0" applyFont="1"/>
    <xf numFmtId="0" fontId="2" fillId="0" borderId="0" xfId="4" applyFont="1"/>
    <xf numFmtId="0" fontId="3" fillId="0" borderId="0" xfId="4" applyFont="1"/>
    <xf numFmtId="0" fontId="3" fillId="0" borderId="0" xfId="4" applyFont="1" applyFill="1" applyBorder="1"/>
    <xf numFmtId="0" fontId="3" fillId="0" borderId="1" xfId="4" applyFont="1" applyBorder="1"/>
    <xf numFmtId="167" fontId="3" fillId="0" borderId="1" xfId="4" applyNumberFormat="1" applyFont="1" applyBorder="1"/>
    <xf numFmtId="0" fontId="2" fillId="0" borderId="1" xfId="4" applyFont="1" applyBorder="1"/>
    <xf numFmtId="0" fontId="11" fillId="0" borderId="0" xfId="0" applyFont="1"/>
    <xf numFmtId="0" fontId="12" fillId="0" borderId="0" xfId="0" applyFont="1" applyFill="1" applyBorder="1"/>
    <xf numFmtId="167" fontId="3" fillId="0" borderId="0" xfId="4" applyNumberFormat="1" applyFont="1" applyFill="1" applyBorder="1"/>
    <xf numFmtId="0" fontId="0" fillId="0" borderId="0" xfId="0" applyFill="1" applyBorder="1"/>
    <xf numFmtId="0" fontId="4" fillId="0" borderId="0" xfId="4" applyFont="1" applyFill="1" applyBorder="1" applyAlignment="1">
      <alignment horizontal="center"/>
    </xf>
    <xf numFmtId="0" fontId="2" fillId="0" borderId="0" xfId="4" applyFont="1" applyFill="1" applyBorder="1" applyAlignment="1">
      <alignment horizontal="center"/>
    </xf>
    <xf numFmtId="164" fontId="2" fillId="0" borderId="0" xfId="4" applyNumberFormat="1" applyFont="1" applyFill="1" applyBorder="1"/>
    <xf numFmtId="0" fontId="0" fillId="0" borderId="0" xfId="0" applyFill="1"/>
    <xf numFmtId="9" fontId="0" fillId="0" borderId="0" xfId="0" applyNumberFormat="1"/>
    <xf numFmtId="0" fontId="0" fillId="0" borderId="0" xfId="0" applyAlignment="1">
      <alignment horizontal="right"/>
    </xf>
    <xf numFmtId="0" fontId="13" fillId="0" borderId="0" xfId="0" applyFont="1"/>
    <xf numFmtId="0" fontId="9" fillId="0" borderId="0" xfId="0" applyFont="1" applyFill="1" applyAlignment="1"/>
    <xf numFmtId="0" fontId="12" fillId="0" borderId="0" xfId="0" applyFont="1" applyFill="1"/>
    <xf numFmtId="0" fontId="14" fillId="0" borderId="0" xfId="0" applyFont="1" applyFill="1" applyAlignment="1">
      <alignment horizontal="center"/>
    </xf>
    <xf numFmtId="0" fontId="14" fillId="0" borderId="0" xfId="0" applyFont="1" applyFill="1" applyAlignment="1"/>
    <xf numFmtId="0" fontId="9" fillId="0" borderId="0" xfId="0" applyFont="1" applyFill="1" applyBorder="1" applyAlignment="1"/>
    <xf numFmtId="0" fontId="9" fillId="0" borderId="0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172" fontId="3" fillId="0" borderId="1" xfId="4" applyNumberFormat="1" applyFont="1" applyBorder="1"/>
    <xf numFmtId="0" fontId="10" fillId="0" borderId="0" xfId="0" applyFont="1" applyFill="1" applyAlignment="1">
      <alignment wrapText="1"/>
    </xf>
    <xf numFmtId="167" fontId="0" fillId="0" borderId="1" xfId="0" applyNumberFormat="1" applyFill="1" applyBorder="1"/>
    <xf numFmtId="167" fontId="5" fillId="0" borderId="1" xfId="4" applyNumberFormat="1" applyFont="1" applyFill="1" applyBorder="1" applyAlignment="1">
      <alignment horizontal="center"/>
    </xf>
    <xf numFmtId="0" fontId="2" fillId="0" borderId="1" xfId="4" applyFont="1" applyFill="1" applyBorder="1" applyAlignment="1">
      <alignment horizontal="left"/>
    </xf>
    <xf numFmtId="167" fontId="4" fillId="0" borderId="1" xfId="4" applyNumberFormat="1" applyFont="1" applyFill="1" applyBorder="1" applyAlignment="1">
      <alignment horizontal="center"/>
    </xf>
    <xf numFmtId="172" fontId="4" fillId="4" borderId="1" xfId="4" applyNumberFormat="1" applyFont="1" applyFill="1" applyBorder="1"/>
    <xf numFmtId="167" fontId="4" fillId="0" borderId="1" xfId="4" applyNumberFormat="1" applyFont="1" applyBorder="1"/>
    <xf numFmtId="172" fontId="2" fillId="0" borderId="1" xfId="4" applyNumberFormat="1" applyFont="1" applyBorder="1"/>
    <xf numFmtId="0" fontId="16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horizontal="center" wrapText="1"/>
    </xf>
    <xf numFmtId="0" fontId="16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/>
    <xf numFmtId="3" fontId="17" fillId="0" borderId="0" xfId="0" applyNumberFormat="1" applyFont="1" applyFill="1" applyBorder="1" applyAlignment="1">
      <alignment horizontal="right"/>
    </xf>
    <xf numFmtId="164" fontId="17" fillId="0" borderId="0" xfId="2" applyFont="1" applyFill="1" applyBorder="1" applyAlignment="1">
      <alignment horizontal="right"/>
    </xf>
    <xf numFmtId="10" fontId="0" fillId="0" borderId="0" xfId="0" applyNumberFormat="1"/>
    <xf numFmtId="0" fontId="18" fillId="0" borderId="0" xfId="0" applyFont="1" applyFill="1" applyBorder="1" applyAlignment="1">
      <alignment horizontal="center"/>
    </xf>
    <xf numFmtId="3" fontId="18" fillId="0" borderId="0" xfId="0" applyNumberFormat="1" applyFont="1" applyFill="1" applyBorder="1"/>
    <xf numFmtId="4" fontId="18" fillId="0" borderId="0" xfId="0" applyNumberFormat="1" applyFont="1" applyFill="1" applyBorder="1" applyAlignment="1">
      <alignment horizontal="right"/>
    </xf>
    <xf numFmtId="170" fontId="18" fillId="0" borderId="0" xfId="0" applyNumberFormat="1" applyFont="1" applyFill="1" applyBorder="1"/>
    <xf numFmtId="0" fontId="15" fillId="0" borderId="0" xfId="0" applyFont="1" applyFill="1" applyBorder="1" applyAlignment="1">
      <alignment horizontal="center"/>
    </xf>
    <xf numFmtId="4" fontId="0" fillId="0" borderId="0" xfId="0" applyNumberFormat="1" applyFill="1" applyBorder="1"/>
    <xf numFmtId="0" fontId="7" fillId="0" borderId="1" xfId="0" applyFont="1" applyFill="1" applyBorder="1"/>
    <xf numFmtId="0" fontId="7" fillId="6" borderId="1" xfId="0" applyFont="1" applyFill="1" applyBorder="1"/>
    <xf numFmtId="0" fontId="15" fillId="3" borderId="1" xfId="0" applyFont="1" applyFill="1" applyBorder="1" applyAlignment="1">
      <alignment horizontal="center"/>
    </xf>
    <xf numFmtId="0" fontId="15" fillId="3" borderId="3" xfId="0" applyFont="1" applyFill="1" applyBorder="1" applyAlignment="1">
      <alignment horizontal="center"/>
    </xf>
    <xf numFmtId="0" fontId="3" fillId="0" borderId="4" xfId="4" applyFont="1" applyBorder="1"/>
    <xf numFmtId="167" fontId="3" fillId="0" borderId="3" xfId="4" applyNumberFormat="1" applyFont="1" applyBorder="1"/>
    <xf numFmtId="172" fontId="3" fillId="0" borderId="3" xfId="4" applyNumberFormat="1" applyFont="1" applyBorder="1"/>
    <xf numFmtId="0" fontId="3" fillId="0" borderId="3" xfId="4" applyFont="1" applyBorder="1"/>
    <xf numFmtId="0" fontId="15" fillId="3" borderId="5" xfId="0" applyFont="1" applyFill="1" applyBorder="1" applyAlignment="1">
      <alignment horizontal="center"/>
    </xf>
    <xf numFmtId="172" fontId="4" fillId="4" borderId="6" xfId="4" applyNumberFormat="1" applyFont="1" applyFill="1" applyBorder="1"/>
    <xf numFmtId="172" fontId="4" fillId="4" borderId="7" xfId="4" applyNumberFormat="1" applyFont="1" applyFill="1" applyBorder="1"/>
    <xf numFmtId="166" fontId="0" fillId="10" borderId="0" xfId="0" applyNumberFormat="1" applyFill="1"/>
    <xf numFmtId="0" fontId="14" fillId="0" borderId="0" xfId="0" applyFont="1" applyFill="1" applyAlignment="1">
      <alignment vertical="center"/>
    </xf>
    <xf numFmtId="0" fontId="14" fillId="11" borderId="0" xfId="0" applyFont="1" applyFill="1" applyAlignment="1"/>
    <xf numFmtId="0" fontId="15" fillId="12" borderId="0" xfId="0" applyFont="1" applyFill="1" applyBorder="1" applyAlignment="1">
      <alignment horizontal="center"/>
    </xf>
    <xf numFmtId="167" fontId="3" fillId="11" borderId="0" xfId="4" applyNumberFormat="1" applyFont="1" applyFill="1" applyBorder="1"/>
    <xf numFmtId="172" fontId="3" fillId="11" borderId="0" xfId="4" applyNumberFormat="1" applyFont="1" applyFill="1" applyBorder="1"/>
    <xf numFmtId="172" fontId="2" fillId="11" borderId="0" xfId="4" applyNumberFormat="1" applyFont="1" applyFill="1" applyBorder="1"/>
    <xf numFmtId="0" fontId="3" fillId="11" borderId="0" xfId="4" applyFont="1" applyFill="1" applyBorder="1"/>
    <xf numFmtId="172" fontId="4" fillId="12" borderId="0" xfId="4" applyNumberFormat="1" applyFont="1" applyFill="1" applyBorder="1"/>
    <xf numFmtId="9" fontId="9" fillId="11" borderId="0" xfId="1" applyNumberFormat="1" applyFill="1" applyBorder="1"/>
    <xf numFmtId="0" fontId="0" fillId="15" borderId="0" xfId="0" applyFill="1"/>
    <xf numFmtId="0" fontId="20" fillId="0" borderId="0" xfId="6"/>
    <xf numFmtId="175" fontId="0" fillId="0" borderId="0" xfId="0" applyNumberFormat="1"/>
    <xf numFmtId="10" fontId="0" fillId="14" borderId="0" xfId="0" applyNumberFormat="1" applyFill="1"/>
    <xf numFmtId="10" fontId="8" fillId="14" borderId="0" xfId="5" applyNumberFormat="1" applyFont="1" applyFill="1"/>
    <xf numFmtId="0" fontId="0" fillId="0" borderId="17" xfId="0" applyBorder="1"/>
    <xf numFmtId="0" fontId="0" fillId="0" borderId="0" xfId="0" applyBorder="1"/>
    <xf numFmtId="0" fontId="0" fillId="0" borderId="18" xfId="0" applyBorder="1"/>
    <xf numFmtId="2" fontId="0" fillId="0" borderId="18" xfId="0" applyNumberFormat="1" applyBorder="1"/>
    <xf numFmtId="10" fontId="0" fillId="0" borderId="18" xfId="0" applyNumberFormat="1" applyBorder="1"/>
    <xf numFmtId="0" fontId="11" fillId="6" borderId="0" xfId="0" applyFont="1" applyFill="1"/>
    <xf numFmtId="0" fontId="0" fillId="0" borderId="17" xfId="0" applyFill="1" applyBorder="1"/>
    <xf numFmtId="10" fontId="0" fillId="0" borderId="18" xfId="0" applyNumberFormat="1" applyFill="1" applyBorder="1"/>
    <xf numFmtId="176" fontId="8" fillId="0" borderId="1" xfId="2" applyNumberFormat="1" applyFont="1" applyBorder="1"/>
    <xf numFmtId="10" fontId="0" fillId="0" borderId="1" xfId="0" applyNumberFormat="1" applyBorder="1"/>
    <xf numFmtId="2" fontId="0" fillId="0" borderId="0" xfId="0" applyNumberFormat="1"/>
    <xf numFmtId="0" fontId="0" fillId="6" borderId="0" xfId="0" applyFill="1"/>
    <xf numFmtId="167" fontId="7" fillId="8" borderId="1" xfId="3" applyNumberFormat="1" applyFont="1" applyFill="1" applyBorder="1"/>
    <xf numFmtId="0" fontId="1" fillId="0" borderId="1" xfId="4" applyFont="1" applyBorder="1" applyAlignment="1">
      <alignment horizontal="left" indent="3"/>
    </xf>
    <xf numFmtId="167" fontId="1" fillId="0" borderId="1" xfId="3" applyNumberFormat="1" applyFont="1" applyBorder="1"/>
    <xf numFmtId="1" fontId="22" fillId="0" borderId="1" xfId="0" applyNumberFormat="1" applyFont="1" applyBorder="1" applyAlignment="1">
      <alignment wrapText="1"/>
    </xf>
    <xf numFmtId="169" fontId="22" fillId="0" borderId="1" xfId="0" applyNumberFormat="1" applyFont="1" applyBorder="1"/>
    <xf numFmtId="0" fontId="22" fillId="0" borderId="1" xfId="0" applyFont="1" applyBorder="1"/>
    <xf numFmtId="172" fontId="2" fillId="0" borderId="3" xfId="4" applyNumberFormat="1" applyFont="1" applyBorder="1"/>
    <xf numFmtId="0" fontId="7" fillId="0" borderId="0" xfId="4" applyFont="1"/>
    <xf numFmtId="0" fontId="1" fillId="0" borderId="0" xfId="4" applyFont="1"/>
    <xf numFmtId="0" fontId="1" fillId="0" borderId="0" xfId="4" applyFont="1" applyFill="1" applyBorder="1"/>
    <xf numFmtId="0" fontId="1" fillId="0" borderId="0" xfId="0" applyFont="1" applyFill="1" applyBorder="1" applyAlignment="1">
      <alignment horizontal="left"/>
    </xf>
    <xf numFmtId="3" fontId="1" fillId="0" borderId="0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171" fontId="1" fillId="0" borderId="0" xfId="0" applyNumberFormat="1" applyFont="1" applyFill="1" applyBorder="1" applyAlignment="1">
      <alignment horizontal="right"/>
    </xf>
    <xf numFmtId="2" fontId="1" fillId="0" borderId="0" xfId="0" applyNumberFormat="1" applyFont="1" applyFill="1" applyBorder="1" applyAlignment="1">
      <alignment horizontal="right"/>
    </xf>
    <xf numFmtId="164" fontId="1" fillId="0" borderId="0" xfId="2" applyFont="1" applyFill="1" applyBorder="1" applyAlignment="1">
      <alignment horizontal="right"/>
    </xf>
    <xf numFmtId="0" fontId="1" fillId="0" borderId="1" xfId="4" applyFont="1" applyBorder="1" applyAlignment="1">
      <alignment vertical="center"/>
    </xf>
    <xf numFmtId="2" fontId="22" fillId="0" borderId="1" xfId="0" applyNumberFormat="1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0" fontId="1" fillId="0" borderId="1" xfId="4" applyFont="1" applyBorder="1"/>
    <xf numFmtId="167" fontId="1" fillId="0" borderId="1" xfId="4" applyNumberFormat="1" applyFont="1" applyBorder="1"/>
    <xf numFmtId="172" fontId="1" fillId="0" borderId="1" xfId="4" applyNumberFormat="1" applyFont="1" applyBorder="1"/>
    <xf numFmtId="0" fontId="1" fillId="5" borderId="1" xfId="0" applyFont="1" applyFill="1" applyBorder="1"/>
    <xf numFmtId="3" fontId="22" fillId="0" borderId="1" xfId="0" applyNumberFormat="1" applyFont="1" applyFill="1" applyBorder="1"/>
    <xf numFmtId="10" fontId="22" fillId="0" borderId="1" xfId="5" applyNumberFormat="1" applyFont="1" applyFill="1" applyBorder="1"/>
    <xf numFmtId="172" fontId="7" fillId="0" borderId="1" xfId="4" applyNumberFormat="1" applyFont="1" applyBorder="1"/>
    <xf numFmtId="0" fontId="22" fillId="0" borderId="1" xfId="0" applyFont="1" applyFill="1" applyBorder="1"/>
    <xf numFmtId="10" fontId="22" fillId="0" borderId="1" xfId="5" applyNumberFormat="1" applyFont="1" applyBorder="1"/>
    <xf numFmtId="9" fontId="22" fillId="0" borderId="1" xfId="0" applyNumberFormat="1" applyFont="1" applyBorder="1"/>
    <xf numFmtId="0" fontId="7" fillId="3" borderId="1" xfId="0" applyFont="1" applyFill="1" applyBorder="1" applyAlignment="1">
      <alignment horizontal="center"/>
    </xf>
    <xf numFmtId="173" fontId="22" fillId="0" borderId="1" xfId="0" applyNumberFormat="1" applyFont="1" applyFill="1" applyBorder="1"/>
    <xf numFmtId="0" fontId="7" fillId="0" borderId="1" xfId="4" applyFont="1" applyBorder="1"/>
    <xf numFmtId="0" fontId="22" fillId="0" borderId="0" xfId="0" applyFont="1"/>
    <xf numFmtId="0" fontId="22" fillId="0" borderId="0" xfId="0" applyFont="1" applyFill="1" applyBorder="1"/>
    <xf numFmtId="0" fontId="23" fillId="0" borderId="0" xfId="0" applyFont="1" applyFill="1" applyBorder="1"/>
    <xf numFmtId="2" fontId="17" fillId="0" borderId="0" xfId="0" applyNumberFormat="1" applyFont="1" applyFill="1" applyBorder="1"/>
    <xf numFmtId="0" fontId="7" fillId="0" borderId="0" xfId="0" applyFont="1" applyFill="1" applyAlignment="1">
      <alignment horizontal="center"/>
    </xf>
    <xf numFmtId="164" fontId="22" fillId="0" borderId="0" xfId="0" applyNumberFormat="1" applyFont="1"/>
    <xf numFmtId="167" fontId="22" fillId="0" borderId="0" xfId="0" applyNumberFormat="1" applyFont="1"/>
    <xf numFmtId="0" fontId="23" fillId="0" borderId="0" xfId="0" applyFont="1"/>
    <xf numFmtId="0" fontId="22" fillId="0" borderId="0" xfId="0" applyFont="1" applyFill="1"/>
    <xf numFmtId="10" fontId="22" fillId="0" borderId="0" xfId="0" applyNumberFormat="1" applyFont="1" applyFill="1"/>
    <xf numFmtId="0" fontId="24" fillId="0" borderId="0" xfId="0" applyFont="1"/>
    <xf numFmtId="172" fontId="7" fillId="4" borderId="1" xfId="4" applyNumberFormat="1" applyFont="1" applyFill="1" applyBorder="1"/>
    <xf numFmtId="0" fontId="7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right"/>
    </xf>
    <xf numFmtId="3" fontId="1" fillId="0" borderId="1" xfId="0" applyNumberFormat="1" applyFont="1" applyFill="1" applyBorder="1"/>
    <xf numFmtId="170" fontId="1" fillId="0" borderId="1" xfId="0" applyNumberFormat="1" applyFont="1" applyFill="1" applyBorder="1"/>
    <xf numFmtId="170" fontId="1" fillId="0" borderId="0" xfId="0" applyNumberFormat="1" applyFont="1" applyFill="1" applyBorder="1"/>
    <xf numFmtId="3" fontId="1" fillId="0" borderId="0" xfId="0" applyNumberFormat="1" applyFont="1" applyFill="1" applyBorder="1"/>
    <xf numFmtId="4" fontId="23" fillId="6" borderId="1" xfId="0" applyNumberFormat="1" applyFont="1" applyFill="1" applyBorder="1"/>
    <xf numFmtId="0" fontId="1" fillId="0" borderId="1" xfId="0" applyFont="1" applyFill="1" applyBorder="1"/>
    <xf numFmtId="4" fontId="22" fillId="0" borderId="1" xfId="0" applyNumberFormat="1" applyFont="1" applyFill="1" applyBorder="1"/>
    <xf numFmtId="0" fontId="7" fillId="9" borderId="1" xfId="0" applyFont="1" applyFill="1" applyBorder="1"/>
    <xf numFmtId="0" fontId="7" fillId="3" borderId="2" xfId="0" applyFont="1" applyFill="1" applyBorder="1" applyAlignment="1">
      <alignment horizontal="center"/>
    </xf>
    <xf numFmtId="172" fontId="1" fillId="0" borderId="1" xfId="0" applyNumberFormat="1" applyFont="1" applyFill="1" applyBorder="1"/>
    <xf numFmtId="168" fontId="7" fillId="3" borderId="1" xfId="0" applyNumberFormat="1" applyFont="1" applyFill="1" applyBorder="1" applyAlignment="1">
      <alignment horizontal="center"/>
    </xf>
    <xf numFmtId="170" fontId="23" fillId="0" borderId="1" xfId="0" applyNumberFormat="1" applyFont="1" applyFill="1" applyBorder="1"/>
    <xf numFmtId="3" fontId="23" fillId="0" borderId="1" xfId="0" applyNumberFormat="1" applyFont="1" applyFill="1" applyBorder="1"/>
    <xf numFmtId="4" fontId="22" fillId="0" borderId="0" xfId="0" applyNumberFormat="1" applyFont="1" applyFill="1" applyBorder="1"/>
    <xf numFmtId="4" fontId="23" fillId="0" borderId="0" xfId="0" applyNumberFormat="1" applyFont="1" applyFill="1" applyBorder="1"/>
    <xf numFmtId="4" fontId="16" fillId="0" borderId="0" xfId="0" applyNumberFormat="1" applyFont="1" applyFill="1" applyBorder="1"/>
    <xf numFmtId="0" fontId="17" fillId="0" borderId="0" xfId="0" applyFont="1" applyFill="1" applyAlignment="1"/>
    <xf numFmtId="0" fontId="7" fillId="0" borderId="0" xfId="0" applyFont="1" applyFill="1" applyAlignment="1">
      <alignment vertical="center"/>
    </xf>
    <xf numFmtId="0" fontId="23" fillId="6" borderId="1" xfId="0" applyFont="1" applyFill="1" applyBorder="1"/>
    <xf numFmtId="172" fontId="23" fillId="6" borderId="1" xfId="0" applyNumberFormat="1" applyFont="1" applyFill="1" applyBorder="1"/>
    <xf numFmtId="1" fontId="23" fillId="6" borderId="1" xfId="0" applyNumberFormat="1" applyFont="1" applyFill="1" applyBorder="1"/>
    <xf numFmtId="4" fontId="23" fillId="0" borderId="1" xfId="0" applyNumberFormat="1" applyFont="1" applyBorder="1"/>
    <xf numFmtId="170" fontId="22" fillId="0" borderId="1" xfId="0" applyNumberFormat="1" applyFont="1" applyBorder="1"/>
    <xf numFmtId="3" fontId="22" fillId="0" borderId="1" xfId="0" applyNumberFormat="1" applyFont="1" applyBorder="1"/>
    <xf numFmtId="170" fontId="22" fillId="6" borderId="1" xfId="0" applyNumberFormat="1" applyFont="1" applyFill="1" applyBorder="1"/>
    <xf numFmtId="169" fontId="7" fillId="4" borderId="1" xfId="4" applyNumberFormat="1" applyFont="1" applyFill="1" applyBorder="1"/>
    <xf numFmtId="10" fontId="22" fillId="0" borderId="0" xfId="5" applyNumberFormat="1" applyFont="1"/>
    <xf numFmtId="10" fontId="22" fillId="0" borderId="0" xfId="0" applyNumberFormat="1" applyFont="1"/>
    <xf numFmtId="0" fontId="22" fillId="8" borderId="1" xfId="0" applyFont="1" applyFill="1" applyBorder="1"/>
    <xf numFmtId="169" fontId="7" fillId="18" borderId="1" xfId="4" applyNumberFormat="1" applyFont="1" applyFill="1" applyBorder="1"/>
    <xf numFmtId="10" fontId="22" fillId="7" borderId="1" xfId="0" applyNumberFormat="1" applyFont="1" applyFill="1" applyBorder="1"/>
    <xf numFmtId="174" fontId="23" fillId="17" borderId="0" xfId="0" applyNumberFormat="1" applyFont="1" applyFill="1"/>
    <xf numFmtId="165" fontId="23" fillId="17" borderId="0" xfId="0" applyNumberFormat="1" applyFont="1" applyFill="1"/>
    <xf numFmtId="165" fontId="23" fillId="0" borderId="0" xfId="0" applyNumberFormat="1" applyFont="1"/>
    <xf numFmtId="0" fontId="7" fillId="20" borderId="1" xfId="4" applyFont="1" applyFill="1" applyBorder="1" applyAlignment="1">
      <alignment horizontal="center"/>
    </xf>
    <xf numFmtId="0" fontId="7" fillId="20" borderId="1" xfId="4" applyFont="1" applyFill="1" applyBorder="1" applyAlignment="1">
      <alignment horizontal="center" wrapText="1"/>
    </xf>
    <xf numFmtId="0" fontId="23" fillId="20" borderId="1" xfId="0" applyFont="1" applyFill="1" applyBorder="1" applyAlignment="1">
      <alignment horizontal="center" wrapText="1"/>
    </xf>
    <xf numFmtId="0" fontId="7" fillId="20" borderId="1" xfId="0" applyFont="1" applyFill="1" applyBorder="1" applyAlignment="1">
      <alignment horizontal="center"/>
    </xf>
    <xf numFmtId="172" fontId="7" fillId="9" borderId="1" xfId="4" applyNumberFormat="1" applyFont="1" applyFill="1" applyBorder="1"/>
    <xf numFmtId="10" fontId="23" fillId="0" borderId="0" xfId="0" applyNumberFormat="1" applyFont="1"/>
    <xf numFmtId="0" fontId="23" fillId="8" borderId="1" xfId="0" applyFont="1" applyFill="1" applyBorder="1" applyAlignment="1">
      <alignment horizontal="center" vertical="center"/>
    </xf>
    <xf numFmtId="0" fontId="15" fillId="3" borderId="8" xfId="0" applyFont="1" applyFill="1" applyBorder="1" applyAlignment="1">
      <alignment horizontal="center"/>
    </xf>
    <xf numFmtId="0" fontId="15" fillId="3" borderId="9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/>
    </xf>
    <xf numFmtId="0" fontId="14" fillId="14" borderId="0" xfId="0" applyFont="1" applyFill="1" applyAlignment="1">
      <alignment horizontal="center"/>
    </xf>
    <xf numFmtId="0" fontId="15" fillId="3" borderId="1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/>
    </xf>
    <xf numFmtId="0" fontId="15" fillId="3" borderId="11" xfId="0" applyFont="1" applyFill="1" applyBorder="1" applyAlignment="1">
      <alignment horizontal="center"/>
    </xf>
    <xf numFmtId="0" fontId="15" fillId="3" borderId="12" xfId="0" applyFont="1" applyFill="1" applyBorder="1" applyAlignment="1">
      <alignment horizontal="center"/>
    </xf>
    <xf numFmtId="0" fontId="15" fillId="3" borderId="13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7" fillId="8" borderId="1" xfId="4" applyFont="1" applyFill="1" applyBorder="1" applyAlignment="1">
      <alignment horizontal="center"/>
    </xf>
    <xf numFmtId="0" fontId="7" fillId="8" borderId="19" xfId="4" applyFont="1" applyFill="1" applyBorder="1" applyAlignment="1">
      <alignment horizontal="center" vertical="center"/>
    </xf>
    <xf numFmtId="0" fontId="7" fillId="8" borderId="20" xfId="4" applyFont="1" applyFill="1" applyBorder="1" applyAlignment="1">
      <alignment horizontal="center" vertical="center"/>
    </xf>
    <xf numFmtId="0" fontId="14" fillId="13" borderId="1" xfId="0" applyFont="1" applyFill="1" applyBorder="1" applyAlignment="1">
      <alignment horizontal="center"/>
    </xf>
    <xf numFmtId="0" fontId="21" fillId="16" borderId="14" xfId="0" applyFont="1" applyFill="1" applyBorder="1" applyAlignment="1">
      <alignment horizontal="center"/>
    </xf>
    <xf numFmtId="0" fontId="21" fillId="16" borderId="15" xfId="0" applyFont="1" applyFill="1" applyBorder="1" applyAlignment="1">
      <alignment horizontal="center"/>
    </xf>
    <xf numFmtId="0" fontId="21" fillId="16" borderId="16" xfId="0" applyFont="1" applyFill="1" applyBorder="1" applyAlignment="1">
      <alignment horizontal="center"/>
    </xf>
    <xf numFmtId="0" fontId="18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7" fillId="13" borderId="0" xfId="0" applyFont="1" applyFill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7" fillId="20" borderId="1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/>
    </xf>
    <xf numFmtId="0" fontId="7" fillId="20" borderId="11" xfId="0" applyFont="1" applyFill="1" applyBorder="1" applyAlignment="1">
      <alignment horizontal="center"/>
    </xf>
    <xf numFmtId="0" fontId="7" fillId="20" borderId="12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/>
    </xf>
    <xf numFmtId="0" fontId="7" fillId="0" borderId="0" xfId="0" applyFont="1" applyFill="1" applyAlignment="1">
      <alignment horizontal="center" vertical="center"/>
    </xf>
    <xf numFmtId="0" fontId="7" fillId="20" borderId="1" xfId="0" applyFont="1" applyFill="1" applyBorder="1" applyAlignment="1">
      <alignment horizontal="center"/>
    </xf>
    <xf numFmtId="0" fontId="22" fillId="0" borderId="15" xfId="0" applyFont="1" applyBorder="1" applyAlignment="1">
      <alignment horizontal="left" wrapText="1"/>
    </xf>
    <xf numFmtId="0" fontId="7" fillId="20" borderId="2" xfId="4" applyFont="1" applyFill="1" applyBorder="1" applyAlignment="1">
      <alignment horizontal="center" vertical="center"/>
    </xf>
    <xf numFmtId="0" fontId="7" fillId="20" borderId="11" xfId="4" applyFont="1" applyFill="1" applyBorder="1" applyAlignment="1">
      <alignment horizontal="center" vertical="center"/>
    </xf>
    <xf numFmtId="0" fontId="7" fillId="20" borderId="12" xfId="4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/>
    </xf>
    <xf numFmtId="0" fontId="23" fillId="19" borderId="1" xfId="0" applyFont="1" applyFill="1" applyBorder="1" applyAlignment="1">
      <alignment horizontal="center"/>
    </xf>
    <xf numFmtId="0" fontId="19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left" vertical="center" wrapText="1"/>
    </xf>
    <xf numFmtId="0" fontId="25" fillId="0" borderId="0" xfId="0" applyFont="1"/>
    <xf numFmtId="10" fontId="0" fillId="0" borderId="0" xfId="5" applyNumberFormat="1" applyFont="1"/>
  </cellXfs>
  <cellStyles count="7">
    <cellStyle name="Énfasis1" xfId="1" builtinId="29"/>
    <cellStyle name="Hipervínculo" xfId="6" builtinId="8"/>
    <cellStyle name="Millares" xfId="2" builtinId="3"/>
    <cellStyle name="Millares 2" xfId="3" xr:uid="{00000000-0005-0000-0000-000003000000}"/>
    <cellStyle name="Normal" xfId="0" builtinId="0"/>
    <cellStyle name="Normal 2" xfId="4" xr:uid="{00000000-0005-0000-0000-000005000000}"/>
    <cellStyle name="Porcentaje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476250</xdr:colOff>
      <xdr:row>12</xdr:row>
      <xdr:rowOff>171450</xdr:rowOff>
    </xdr:from>
    <xdr:to>
      <xdr:col>8</xdr:col>
      <xdr:colOff>762000</xdr:colOff>
      <xdr:row>14</xdr:row>
      <xdr:rowOff>28575</xdr:rowOff>
    </xdr:to>
    <xdr:pic>
      <xdr:nvPicPr>
        <xdr:cNvPr id="2" name="6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2457450"/>
          <a:ext cx="4667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476250</xdr:colOff>
      <xdr:row>4</xdr:row>
      <xdr:rowOff>0</xdr:rowOff>
    </xdr:from>
    <xdr:to>
      <xdr:col>8</xdr:col>
      <xdr:colOff>762000</xdr:colOff>
      <xdr:row>5</xdr:row>
      <xdr:rowOff>47625</xdr:rowOff>
    </xdr:to>
    <xdr:pic>
      <xdr:nvPicPr>
        <xdr:cNvPr id="3" name="7 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762000"/>
          <a:ext cx="4572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371475</xdr:colOff>
      <xdr:row>5</xdr:row>
      <xdr:rowOff>142875</xdr:rowOff>
    </xdr:from>
    <xdr:to>
      <xdr:col>8</xdr:col>
      <xdr:colOff>762000</xdr:colOff>
      <xdr:row>7</xdr:row>
      <xdr:rowOff>38100</xdr:rowOff>
    </xdr:to>
    <xdr:pic>
      <xdr:nvPicPr>
        <xdr:cNvPr id="4" name="8 Imagen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2975" y="1095375"/>
          <a:ext cx="5715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361950</xdr:colOff>
      <xdr:row>7</xdr:row>
      <xdr:rowOff>180975</xdr:rowOff>
    </xdr:from>
    <xdr:to>
      <xdr:col>8</xdr:col>
      <xdr:colOff>762000</xdr:colOff>
      <xdr:row>9</xdr:row>
      <xdr:rowOff>76200</xdr:rowOff>
    </xdr:to>
    <xdr:pic>
      <xdr:nvPicPr>
        <xdr:cNvPr id="5" name="9 Imagen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43450" y="1514475"/>
          <a:ext cx="59055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428625</xdr:colOff>
      <xdr:row>9</xdr:row>
      <xdr:rowOff>161925</xdr:rowOff>
    </xdr:from>
    <xdr:to>
      <xdr:col>8</xdr:col>
      <xdr:colOff>762000</xdr:colOff>
      <xdr:row>11</xdr:row>
      <xdr:rowOff>38100</xdr:rowOff>
    </xdr:to>
    <xdr:pic>
      <xdr:nvPicPr>
        <xdr:cNvPr id="6" name="10 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0125" y="1876425"/>
          <a:ext cx="4953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609601</xdr:colOff>
      <xdr:row>15</xdr:row>
      <xdr:rowOff>142875</xdr:rowOff>
    </xdr:from>
    <xdr:to>
      <xdr:col>9</xdr:col>
      <xdr:colOff>57151</xdr:colOff>
      <xdr:row>17</xdr:row>
      <xdr:rowOff>0</xdr:rowOff>
    </xdr:to>
    <xdr:pic>
      <xdr:nvPicPr>
        <xdr:cNvPr id="7" name="12 Imagen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1" y="3000375"/>
          <a:ext cx="17335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47625</xdr:colOff>
      <xdr:row>2</xdr:row>
      <xdr:rowOff>171450</xdr:rowOff>
    </xdr:from>
    <xdr:to>
      <xdr:col>4</xdr:col>
      <xdr:colOff>514350</xdr:colOff>
      <xdr:row>24</xdr:row>
      <xdr:rowOff>47625</xdr:rowOff>
    </xdr:to>
    <xdr:pic>
      <xdr:nvPicPr>
        <xdr:cNvPr id="8" name="13 Imagen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552450"/>
          <a:ext cx="2752725" cy="407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114300</xdr:colOff>
      <xdr:row>26</xdr:row>
      <xdr:rowOff>152400</xdr:rowOff>
    </xdr:from>
    <xdr:to>
      <xdr:col>4</xdr:col>
      <xdr:colOff>723900</xdr:colOff>
      <xdr:row>37</xdr:row>
      <xdr:rowOff>104775</xdr:rowOff>
    </xdr:to>
    <xdr:pic>
      <xdr:nvPicPr>
        <xdr:cNvPr id="9" name="14 Imagen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" y="5114925"/>
          <a:ext cx="2895600" cy="2047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295275</xdr:colOff>
      <xdr:row>30</xdr:row>
      <xdr:rowOff>114300</xdr:rowOff>
    </xdr:from>
    <xdr:to>
      <xdr:col>8</xdr:col>
      <xdr:colOff>762000</xdr:colOff>
      <xdr:row>32</xdr:row>
      <xdr:rowOff>28575</xdr:rowOff>
    </xdr:to>
    <xdr:pic>
      <xdr:nvPicPr>
        <xdr:cNvPr id="10" name="15 Imagen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5838825"/>
          <a:ext cx="466725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428625</xdr:colOff>
      <xdr:row>30</xdr:row>
      <xdr:rowOff>161925</xdr:rowOff>
    </xdr:from>
    <xdr:to>
      <xdr:col>11</xdr:col>
      <xdr:colOff>581025</xdr:colOff>
      <xdr:row>32</xdr:row>
      <xdr:rowOff>123825</xdr:rowOff>
    </xdr:to>
    <xdr:pic>
      <xdr:nvPicPr>
        <xdr:cNvPr id="11" name="16 Imagen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9025" y="5886450"/>
          <a:ext cx="1524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361950</xdr:colOff>
      <xdr:row>33</xdr:row>
      <xdr:rowOff>19050</xdr:rowOff>
    </xdr:from>
    <xdr:to>
      <xdr:col>11</xdr:col>
      <xdr:colOff>771525</xdr:colOff>
      <xdr:row>34</xdr:row>
      <xdr:rowOff>38100</xdr:rowOff>
    </xdr:to>
    <xdr:pic>
      <xdr:nvPicPr>
        <xdr:cNvPr id="12" name="17 Imagen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315075"/>
          <a:ext cx="4095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247650</xdr:colOff>
      <xdr:row>32</xdr:row>
      <xdr:rowOff>95250</xdr:rowOff>
    </xdr:from>
    <xdr:to>
      <xdr:col>8</xdr:col>
      <xdr:colOff>762000</xdr:colOff>
      <xdr:row>34</xdr:row>
      <xdr:rowOff>19050</xdr:rowOff>
    </xdr:to>
    <xdr:pic>
      <xdr:nvPicPr>
        <xdr:cNvPr id="13" name="18 Imagen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9150" y="6200775"/>
          <a:ext cx="51435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133350</xdr:colOff>
      <xdr:row>34</xdr:row>
      <xdr:rowOff>171450</xdr:rowOff>
    </xdr:from>
    <xdr:to>
      <xdr:col>9</xdr:col>
      <xdr:colOff>104775</xdr:colOff>
      <xdr:row>36</xdr:row>
      <xdr:rowOff>47625</xdr:rowOff>
    </xdr:to>
    <xdr:pic>
      <xdr:nvPicPr>
        <xdr:cNvPr id="14" name="19 Imagen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3350" y="6657975"/>
          <a:ext cx="14954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95250</xdr:colOff>
      <xdr:row>39</xdr:row>
      <xdr:rowOff>133350</xdr:rowOff>
    </xdr:from>
    <xdr:to>
      <xdr:col>4</xdr:col>
      <xdr:colOff>742950</xdr:colOff>
      <xdr:row>48</xdr:row>
      <xdr:rowOff>133350</xdr:rowOff>
    </xdr:to>
    <xdr:pic>
      <xdr:nvPicPr>
        <xdr:cNvPr id="15" name="21 Imagen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" y="7572375"/>
          <a:ext cx="2933700" cy="171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266700</xdr:colOff>
      <xdr:row>46</xdr:row>
      <xdr:rowOff>180975</xdr:rowOff>
    </xdr:from>
    <xdr:to>
      <xdr:col>8</xdr:col>
      <xdr:colOff>762000</xdr:colOff>
      <xdr:row>48</xdr:row>
      <xdr:rowOff>104775</xdr:rowOff>
    </xdr:to>
    <xdr:pic>
      <xdr:nvPicPr>
        <xdr:cNvPr id="16" name="22 Imagen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8953500"/>
          <a:ext cx="6572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228600</xdr:colOff>
      <xdr:row>39</xdr:row>
      <xdr:rowOff>161925</xdr:rowOff>
    </xdr:from>
    <xdr:to>
      <xdr:col>8</xdr:col>
      <xdr:colOff>762000</xdr:colOff>
      <xdr:row>41</xdr:row>
      <xdr:rowOff>66675</xdr:rowOff>
    </xdr:to>
    <xdr:pic>
      <xdr:nvPicPr>
        <xdr:cNvPr id="17" name="24 Imagen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7600950"/>
          <a:ext cx="6096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495300</xdr:colOff>
      <xdr:row>41</xdr:row>
      <xdr:rowOff>114300</xdr:rowOff>
    </xdr:from>
    <xdr:to>
      <xdr:col>8</xdr:col>
      <xdr:colOff>762000</xdr:colOff>
      <xdr:row>43</xdr:row>
      <xdr:rowOff>133350</xdr:rowOff>
    </xdr:to>
    <xdr:pic>
      <xdr:nvPicPr>
        <xdr:cNvPr id="18" name="25 Imagen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7934325"/>
          <a:ext cx="3429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581025</xdr:colOff>
      <xdr:row>43</xdr:row>
      <xdr:rowOff>95250</xdr:rowOff>
    </xdr:from>
    <xdr:to>
      <xdr:col>8</xdr:col>
      <xdr:colOff>762000</xdr:colOff>
      <xdr:row>45</xdr:row>
      <xdr:rowOff>142875</xdr:rowOff>
    </xdr:to>
    <xdr:pic>
      <xdr:nvPicPr>
        <xdr:cNvPr id="19" name="26 Imagen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2525" y="8296275"/>
          <a:ext cx="26670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561975</xdr:colOff>
      <xdr:row>49</xdr:row>
      <xdr:rowOff>95250</xdr:rowOff>
    </xdr:from>
    <xdr:to>
      <xdr:col>8</xdr:col>
      <xdr:colOff>895350</xdr:colOff>
      <xdr:row>51</xdr:row>
      <xdr:rowOff>28575</xdr:rowOff>
    </xdr:to>
    <xdr:pic>
      <xdr:nvPicPr>
        <xdr:cNvPr id="20" name="27 Imagen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7975" y="9439275"/>
          <a:ext cx="24288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133350</xdr:colOff>
      <xdr:row>39</xdr:row>
      <xdr:rowOff>142875</xdr:rowOff>
    </xdr:from>
    <xdr:to>
      <xdr:col>11</xdr:col>
      <xdr:colOff>390525</xdr:colOff>
      <xdr:row>41</xdr:row>
      <xdr:rowOff>0</xdr:rowOff>
    </xdr:to>
    <xdr:pic>
      <xdr:nvPicPr>
        <xdr:cNvPr id="21" name="28 Imagen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0" y="7581900"/>
          <a:ext cx="2571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Administrador\Escritorio\EVALUACION%20PROYECTOS%202014\Talleres%20y%20Ejercicios\Taller%20Evaluacion%20Financiera%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ter Sin Py"/>
      <sheetName val="costo capital"/>
      <sheetName val="Alter Con py"/>
    </sheetNames>
    <sheetDataSet>
      <sheetData sheetId="0" refreshError="1"/>
      <sheetData sheetId="1" refreshError="1"/>
      <sheetData sheetId="2" refreshError="1">
        <row r="35">
          <cell r="J35">
            <v>0.03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39"/>
  <sheetViews>
    <sheetView zoomScaleNormal="100" zoomScaleSheetLayoutView="100" workbookViewId="0">
      <selection activeCell="K30" sqref="K30"/>
    </sheetView>
  </sheetViews>
  <sheetFormatPr baseColWidth="10" defaultRowHeight="15" x14ac:dyDescent="0.25"/>
  <cols>
    <col min="1" max="1" width="1.140625" customWidth="1"/>
    <col min="2" max="2" width="2.5703125" customWidth="1"/>
    <col min="3" max="3" width="26.7109375" customWidth="1"/>
    <col min="4" max="4" width="15.85546875" customWidth="1"/>
    <col min="5" max="5" width="13.7109375" customWidth="1"/>
    <col min="6" max="6" width="10.28515625" customWidth="1"/>
    <col min="7" max="7" width="12" customWidth="1"/>
    <col min="8" max="8" width="12.28515625" customWidth="1"/>
    <col min="9" max="9" width="25.42578125" bestFit="1" customWidth="1"/>
    <col min="10" max="10" width="8.5703125" customWidth="1"/>
  </cols>
  <sheetData>
    <row r="1" spans="2:14" x14ac:dyDescent="0.25">
      <c r="C1" s="8" t="s">
        <v>67</v>
      </c>
    </row>
    <row r="2" spans="2:14" ht="16.5" x14ac:dyDescent="0.3">
      <c r="B2" s="1"/>
      <c r="C2" s="187" t="s">
        <v>75</v>
      </c>
      <c r="D2" s="186" t="s">
        <v>117</v>
      </c>
      <c r="E2" s="186"/>
      <c r="F2" s="175" t="s">
        <v>52</v>
      </c>
      <c r="G2" s="175" t="s">
        <v>53</v>
      </c>
      <c r="H2" s="1"/>
      <c r="I2" s="8"/>
    </row>
    <row r="3" spans="2:14" ht="16.5" x14ac:dyDescent="0.3">
      <c r="B3" s="1"/>
      <c r="C3" s="188"/>
      <c r="D3" s="87" t="s">
        <v>54</v>
      </c>
      <c r="E3" s="87" t="s">
        <v>0</v>
      </c>
      <c r="F3" s="175"/>
      <c r="G3" s="175"/>
      <c r="H3" s="1"/>
      <c r="I3" s="219"/>
    </row>
    <row r="4" spans="2:14" ht="16.5" x14ac:dyDescent="0.3">
      <c r="B4" s="1"/>
      <c r="C4" s="88" t="s">
        <v>76</v>
      </c>
      <c r="D4" s="89">
        <f>8400/12</f>
        <v>700</v>
      </c>
      <c r="E4" s="90">
        <f>10200/12</f>
        <v>850</v>
      </c>
      <c r="F4" s="91">
        <f xml:space="preserve"> 0.5*12</f>
        <v>6</v>
      </c>
      <c r="G4" s="92">
        <f>0.3*12</f>
        <v>3.5999999999999996</v>
      </c>
      <c r="H4" s="1"/>
      <c r="I4" s="219"/>
    </row>
    <row r="5" spans="2:14" ht="16.5" x14ac:dyDescent="0.3">
      <c r="B5" s="1"/>
      <c r="C5" s="88" t="s">
        <v>77</v>
      </c>
      <c r="D5" s="89">
        <v>80</v>
      </c>
      <c r="E5" s="90">
        <v>200</v>
      </c>
      <c r="F5" s="92">
        <v>25</v>
      </c>
      <c r="G5" s="92">
        <v>14</v>
      </c>
      <c r="H5" s="1"/>
      <c r="I5" s="219"/>
      <c r="J5" s="17"/>
    </row>
    <row r="6" spans="2:14" ht="16.5" x14ac:dyDescent="0.3">
      <c r="B6" s="1"/>
      <c r="C6" s="88" t="s">
        <v>74</v>
      </c>
      <c r="D6" s="89">
        <v>180</v>
      </c>
      <c r="E6" s="90">
        <v>250</v>
      </c>
      <c r="F6" s="92">
        <v>20</v>
      </c>
      <c r="G6" s="92">
        <v>10</v>
      </c>
      <c r="H6" s="1"/>
      <c r="I6" s="219"/>
    </row>
    <row r="7" spans="2:14" ht="16.5" x14ac:dyDescent="0.3">
      <c r="B7" s="1"/>
      <c r="C7" s="3" t="s">
        <v>1</v>
      </c>
      <c r="D7" s="3"/>
      <c r="E7" s="3"/>
      <c r="F7" s="1"/>
      <c r="G7" s="1"/>
      <c r="H7" s="1"/>
      <c r="I7" s="219"/>
      <c r="J7" s="1"/>
      <c r="K7" s="1"/>
    </row>
    <row r="8" spans="2:14" ht="12.75" customHeight="1" x14ac:dyDescent="0.3">
      <c r="B8" s="1"/>
      <c r="C8" s="2"/>
      <c r="D8" s="2"/>
      <c r="E8" s="2"/>
      <c r="F8" s="3"/>
      <c r="G8" s="3"/>
      <c r="H8" s="3"/>
      <c r="I8" s="219"/>
      <c r="J8" s="1"/>
      <c r="K8" s="1"/>
    </row>
    <row r="9" spans="2:14" ht="16.5" x14ac:dyDescent="0.3">
      <c r="B9" s="1"/>
      <c r="C9" s="189" t="s">
        <v>110</v>
      </c>
      <c r="D9" s="189"/>
      <c r="E9" s="189"/>
      <c r="F9" s="189"/>
      <c r="G9" s="189"/>
      <c r="H9" s="62"/>
      <c r="I9" s="219"/>
      <c r="J9" s="22"/>
      <c r="K9" s="22"/>
      <c r="L9" s="19"/>
      <c r="M9" s="19"/>
      <c r="N9" s="19"/>
    </row>
    <row r="10" spans="2:14" s="15" customFormat="1" ht="17.25" thickBot="1" x14ac:dyDescent="0.35">
      <c r="B10" s="20"/>
      <c r="C10" s="21"/>
      <c r="D10" s="21"/>
      <c r="E10" s="21"/>
      <c r="F10" s="21"/>
      <c r="G10" s="21"/>
      <c r="H10" s="21"/>
      <c r="I10" s="219"/>
      <c r="J10" s="21"/>
      <c r="K10" s="21"/>
      <c r="L10" s="19"/>
      <c r="M10" s="19"/>
      <c r="N10" s="19"/>
    </row>
    <row r="11" spans="2:14" s="15" customFormat="1" ht="16.5" x14ac:dyDescent="0.3">
      <c r="B11" s="20"/>
      <c r="C11" s="184" t="s">
        <v>17</v>
      </c>
      <c r="D11" s="176" t="s">
        <v>18</v>
      </c>
      <c r="E11" s="177"/>
      <c r="F11" s="177"/>
      <c r="G11" s="178"/>
      <c r="H11" s="63"/>
      <c r="I11" s="219"/>
      <c r="J11" s="23"/>
      <c r="K11" s="23"/>
      <c r="L11" s="23"/>
      <c r="M11" s="23"/>
      <c r="N11" s="23"/>
    </row>
    <row r="12" spans="2:14" ht="14.25" customHeight="1" x14ac:dyDescent="0.3">
      <c r="B12" s="1"/>
      <c r="C12" s="185"/>
      <c r="D12" s="51">
        <v>1</v>
      </c>
      <c r="E12" s="51">
        <v>2</v>
      </c>
      <c r="F12" s="51">
        <v>3</v>
      </c>
      <c r="G12" s="52">
        <v>4</v>
      </c>
      <c r="H12" s="63"/>
      <c r="I12" s="219"/>
      <c r="J12" s="24"/>
      <c r="K12" s="24"/>
      <c r="L12" s="24"/>
      <c r="M12" s="24"/>
      <c r="N12" s="24"/>
    </row>
    <row r="13" spans="2:14" ht="13.5" customHeight="1" x14ac:dyDescent="0.3">
      <c r="B13" s="1"/>
      <c r="C13" s="53" t="s">
        <v>20</v>
      </c>
      <c r="D13" s="6">
        <f>(D4*F4+D5*F5+D6*F6)*12</f>
        <v>117600</v>
      </c>
      <c r="E13" s="6">
        <f>(D4*F4+D5*F5+D6*F6)*12</f>
        <v>117600</v>
      </c>
      <c r="F13" s="6">
        <f>(D4*F4+D5*F5+D6*F6)*12</f>
        <v>117600</v>
      </c>
      <c r="G13" s="54">
        <f>(D4*F4+D5*F5+D6*F6)*12</f>
        <v>117600</v>
      </c>
      <c r="H13" s="64"/>
      <c r="I13" s="219"/>
      <c r="J13" s="1"/>
      <c r="K13" s="1"/>
    </row>
    <row r="14" spans="2:14" ht="13.5" customHeight="1" x14ac:dyDescent="0.3">
      <c r="B14" s="1"/>
      <c r="C14" s="53" t="s">
        <v>19</v>
      </c>
      <c r="D14" s="26">
        <f>(D4*G4+D5*G5+D6*G6)*12</f>
        <v>65280</v>
      </c>
      <c r="E14" s="26">
        <f>(D4*G4+D5*G5+D6*G6)*12</f>
        <v>65280</v>
      </c>
      <c r="F14" s="26">
        <f>(D4*G4+D5*G5+D6*G6)*12</f>
        <v>65280</v>
      </c>
      <c r="G14" s="55">
        <f>(D4*G4+D5*G5+D6*G6)*12</f>
        <v>65280</v>
      </c>
      <c r="H14" s="64"/>
      <c r="I14" s="1"/>
      <c r="J14" s="1"/>
      <c r="K14" s="1"/>
    </row>
    <row r="15" spans="2:14" ht="13.5" customHeight="1" x14ac:dyDescent="0.3">
      <c r="B15" s="1"/>
      <c r="C15" s="53" t="s">
        <v>55</v>
      </c>
      <c r="D15" s="26">
        <f>0.15*$D$13</f>
        <v>17640</v>
      </c>
      <c r="E15" s="26">
        <f>0.15*$D$13</f>
        <v>17640</v>
      </c>
      <c r="F15" s="26">
        <f>0.15*$D$13</f>
        <v>17640</v>
      </c>
      <c r="G15" s="55">
        <f>0.15*$D$13</f>
        <v>17640</v>
      </c>
      <c r="H15" s="65"/>
      <c r="I15" s="1"/>
      <c r="J15" s="1"/>
      <c r="K15" s="1"/>
    </row>
    <row r="16" spans="2:14" ht="13.5" customHeight="1" x14ac:dyDescent="0.3">
      <c r="B16" s="1"/>
      <c r="C16" s="53" t="s">
        <v>58</v>
      </c>
      <c r="D16" s="26">
        <f>0.06*D13</f>
        <v>7056</v>
      </c>
      <c r="E16" s="26">
        <f>0.06*E13</f>
        <v>7056</v>
      </c>
      <c r="F16" s="26">
        <f>0.06*F13</f>
        <v>7056</v>
      </c>
      <c r="G16" s="55">
        <f>0.06*G13</f>
        <v>7056</v>
      </c>
      <c r="H16" s="65"/>
      <c r="I16" s="1"/>
      <c r="J16" s="1"/>
      <c r="K16" s="1"/>
    </row>
    <row r="17" spans="2:14" ht="13.5" customHeight="1" x14ac:dyDescent="0.3">
      <c r="B17" s="1"/>
      <c r="C17" s="53" t="s">
        <v>3</v>
      </c>
      <c r="D17" s="34">
        <f>+D13-(D14+D15+D16)</f>
        <v>27624</v>
      </c>
      <c r="E17" s="34">
        <f>+E13-(E14+E15+E16)</f>
        <v>27624</v>
      </c>
      <c r="F17" s="34">
        <f>+F13-(F14+F15+F16)</f>
        <v>27624</v>
      </c>
      <c r="G17" s="93">
        <f>+G13-(G14+G15+G16)</f>
        <v>27624</v>
      </c>
      <c r="H17" s="66"/>
      <c r="I17" s="1"/>
      <c r="J17" s="1"/>
      <c r="K17" s="1"/>
    </row>
    <row r="18" spans="2:14" ht="13.5" customHeight="1" x14ac:dyDescent="0.3">
      <c r="B18" s="1"/>
      <c r="C18" s="53" t="s">
        <v>57</v>
      </c>
      <c r="D18" s="5">
        <v>0</v>
      </c>
      <c r="E18" s="5">
        <v>0</v>
      </c>
      <c r="F18" s="5">
        <v>0</v>
      </c>
      <c r="G18" s="56">
        <v>0</v>
      </c>
      <c r="H18" s="67"/>
      <c r="I18" s="1"/>
      <c r="J18" s="1"/>
      <c r="K18" s="1"/>
    </row>
    <row r="19" spans="2:14" ht="13.5" customHeight="1" x14ac:dyDescent="0.3">
      <c r="B19" s="1"/>
      <c r="C19" s="53" t="s">
        <v>4</v>
      </c>
      <c r="D19" s="34">
        <f>+$D$17</f>
        <v>27624</v>
      </c>
      <c r="E19" s="34">
        <f>+$D$17</f>
        <v>27624</v>
      </c>
      <c r="F19" s="34">
        <f>+$D$17</f>
        <v>27624</v>
      </c>
      <c r="G19" s="93">
        <f>+$D$17</f>
        <v>27624</v>
      </c>
      <c r="H19" s="65"/>
      <c r="I19" s="1"/>
      <c r="J19" s="1"/>
      <c r="K19" s="1"/>
    </row>
    <row r="20" spans="2:14" ht="13.5" customHeight="1" x14ac:dyDescent="0.3">
      <c r="B20" s="1"/>
      <c r="C20" s="53" t="s">
        <v>56</v>
      </c>
      <c r="D20" s="6">
        <f>+$D$19*0.3</f>
        <v>8287.1999999999989</v>
      </c>
      <c r="E20" s="6">
        <f>+$D$19*0.3</f>
        <v>8287.1999999999989</v>
      </c>
      <c r="F20" s="6">
        <f>+$D$19*0.3</f>
        <v>8287.1999999999989</v>
      </c>
      <c r="G20" s="54">
        <f>+$D$19*0.3</f>
        <v>8287.1999999999989</v>
      </c>
      <c r="H20" s="64"/>
      <c r="I20" s="1"/>
      <c r="J20" s="1"/>
      <c r="K20" s="1"/>
    </row>
    <row r="21" spans="2:14" ht="17.25" thickBot="1" x14ac:dyDescent="0.35">
      <c r="B21" s="1"/>
      <c r="C21" s="57" t="s">
        <v>2</v>
      </c>
      <c r="D21" s="58">
        <f>+D19-D20</f>
        <v>19336.800000000003</v>
      </c>
      <c r="E21" s="58">
        <f>+E19-E20</f>
        <v>19336.800000000003</v>
      </c>
      <c r="F21" s="58">
        <f>+F19-F20</f>
        <v>19336.800000000003</v>
      </c>
      <c r="G21" s="59">
        <f>+G19-G20</f>
        <v>19336.800000000003</v>
      </c>
      <c r="H21" s="68"/>
      <c r="I21" s="1"/>
      <c r="J21" s="1"/>
      <c r="K21" s="1"/>
    </row>
    <row r="22" spans="2:14" s="11" customFormat="1" ht="16.5" x14ac:dyDescent="0.3">
      <c r="B22" s="9"/>
      <c r="C22" s="4"/>
      <c r="D22" s="10"/>
      <c r="E22" s="4"/>
      <c r="F22" s="4"/>
      <c r="G22" s="4"/>
      <c r="H22" s="4"/>
      <c r="I22" s="9"/>
      <c r="J22" s="9"/>
      <c r="K22" s="9"/>
    </row>
    <row r="23" spans="2:14" s="11" customFormat="1" ht="16.5" customHeight="1" x14ac:dyDescent="0.3">
      <c r="B23" s="9"/>
      <c r="C23" s="179" t="s">
        <v>68</v>
      </c>
      <c r="D23" s="179"/>
      <c r="E23" s="179"/>
      <c r="F23" s="179"/>
      <c r="G23" s="179"/>
      <c r="H23" s="179"/>
      <c r="I23" s="27"/>
      <c r="J23" s="27"/>
      <c r="K23" s="27"/>
      <c r="L23" s="27"/>
      <c r="M23" s="27"/>
      <c r="N23" s="27"/>
    </row>
    <row r="24" spans="2:14" s="11" customFormat="1" ht="12.75" customHeight="1" x14ac:dyDescent="0.3">
      <c r="B24" s="9"/>
      <c r="C24" s="21"/>
      <c r="D24" s="21"/>
      <c r="E24" s="21"/>
      <c r="F24" s="21"/>
      <c r="G24" s="21"/>
      <c r="H24" s="21"/>
      <c r="I24" s="27"/>
      <c r="J24" s="27"/>
      <c r="K24" s="27"/>
      <c r="L24" s="27"/>
      <c r="M24" s="27"/>
      <c r="N24" s="27"/>
    </row>
    <row r="25" spans="2:14" s="11" customFormat="1" ht="16.5" x14ac:dyDescent="0.3">
      <c r="B25" s="9"/>
      <c r="C25" s="180" t="s">
        <v>17</v>
      </c>
      <c r="D25" s="181" t="s">
        <v>18</v>
      </c>
      <c r="E25" s="182"/>
      <c r="F25" s="182"/>
      <c r="G25" s="182"/>
      <c r="H25" s="183"/>
      <c r="I25" s="9"/>
      <c r="J25" s="9"/>
      <c r="K25" s="9"/>
    </row>
    <row r="26" spans="2:14" s="11" customFormat="1" ht="15.75" customHeight="1" x14ac:dyDescent="0.3">
      <c r="B26" s="9"/>
      <c r="C26" s="180"/>
      <c r="D26" s="25">
        <v>0</v>
      </c>
      <c r="E26" s="25">
        <v>1</v>
      </c>
      <c r="F26" s="25">
        <v>2</v>
      </c>
      <c r="G26" s="25">
        <v>3</v>
      </c>
      <c r="H26" s="25">
        <v>4</v>
      </c>
      <c r="I26" s="9"/>
      <c r="J26" s="9"/>
      <c r="K26" s="9"/>
    </row>
    <row r="27" spans="2:14" s="11" customFormat="1" ht="15.75" customHeight="1" x14ac:dyDescent="0.3">
      <c r="B27" s="9"/>
      <c r="C27" s="30" t="s">
        <v>5</v>
      </c>
      <c r="D27" s="28"/>
      <c r="E27" s="28"/>
      <c r="F27" s="28"/>
      <c r="G27" s="28"/>
      <c r="H27" s="28"/>
      <c r="I27" s="9"/>
      <c r="J27" s="9"/>
      <c r="K27" s="9"/>
    </row>
    <row r="28" spans="2:14" s="11" customFormat="1" ht="15" customHeight="1" x14ac:dyDescent="0.3">
      <c r="B28" s="9"/>
      <c r="C28" s="5" t="s">
        <v>20</v>
      </c>
      <c r="D28" s="29"/>
      <c r="E28" s="29">
        <f>D13</f>
        <v>117600</v>
      </c>
      <c r="F28" s="29">
        <f>E13</f>
        <v>117600</v>
      </c>
      <c r="G28" s="29">
        <f>F13</f>
        <v>117600</v>
      </c>
      <c r="H28" s="29">
        <f>G13</f>
        <v>117600</v>
      </c>
      <c r="I28" s="9"/>
      <c r="J28" s="9"/>
      <c r="K28" s="9"/>
    </row>
    <row r="29" spans="2:14" s="11" customFormat="1" ht="15" customHeight="1" x14ac:dyDescent="0.3">
      <c r="B29" s="9"/>
      <c r="C29" s="7" t="s">
        <v>6</v>
      </c>
      <c r="D29" s="31">
        <v>0</v>
      </c>
      <c r="E29" s="31">
        <f>+E28</f>
        <v>117600</v>
      </c>
      <c r="F29" s="31">
        <f>+F28</f>
        <v>117600</v>
      </c>
      <c r="G29" s="31">
        <f>+G28</f>
        <v>117600</v>
      </c>
      <c r="H29" s="31">
        <f>+H28</f>
        <v>117600</v>
      </c>
      <c r="I29" s="9"/>
      <c r="J29" s="9"/>
      <c r="K29" s="9"/>
    </row>
    <row r="30" spans="2:14" s="11" customFormat="1" ht="15" customHeight="1" x14ac:dyDescent="0.3">
      <c r="B30" s="9"/>
      <c r="C30" s="7" t="s">
        <v>7</v>
      </c>
      <c r="D30" s="31"/>
      <c r="E30" s="31"/>
      <c r="F30" s="31"/>
      <c r="G30" s="31"/>
      <c r="H30" s="31"/>
      <c r="I30" s="9"/>
      <c r="J30" s="9"/>
      <c r="K30" s="9"/>
    </row>
    <row r="31" spans="2:14" s="11" customFormat="1" ht="15" customHeight="1" x14ac:dyDescent="0.3">
      <c r="B31" s="9"/>
      <c r="C31" s="5" t="s">
        <v>21</v>
      </c>
      <c r="D31" s="6"/>
      <c r="E31" s="6">
        <f>D14</f>
        <v>65280</v>
      </c>
      <c r="F31" s="6">
        <f>E14</f>
        <v>65280</v>
      </c>
      <c r="G31" s="6">
        <f>F14</f>
        <v>65280</v>
      </c>
      <c r="H31" s="6">
        <f>G14</f>
        <v>65280</v>
      </c>
      <c r="I31" s="9"/>
      <c r="J31" s="9"/>
      <c r="K31" s="9"/>
    </row>
    <row r="32" spans="2:14" s="11" customFormat="1" ht="15" customHeight="1" x14ac:dyDescent="0.3">
      <c r="B32" s="9"/>
      <c r="C32" s="5" t="s">
        <v>55</v>
      </c>
      <c r="D32" s="26"/>
      <c r="E32" s="26">
        <f>D15</f>
        <v>17640</v>
      </c>
      <c r="F32" s="26">
        <f t="shared" ref="E32:F32" si="0">E15</f>
        <v>17640</v>
      </c>
      <c r="G32" s="26">
        <f>F15</f>
        <v>17640</v>
      </c>
      <c r="H32" s="26">
        <f>G15</f>
        <v>17640</v>
      </c>
      <c r="I32" s="9"/>
      <c r="J32" s="9"/>
      <c r="K32" s="9"/>
    </row>
    <row r="33" spans="2:11" s="11" customFormat="1" ht="15" customHeight="1" x14ac:dyDescent="0.3">
      <c r="B33" s="9"/>
      <c r="C33" s="5" t="s">
        <v>59</v>
      </c>
      <c r="D33" s="26">
        <f>0.06*D29</f>
        <v>0</v>
      </c>
      <c r="E33" s="26">
        <f>0.06*E29</f>
        <v>7056</v>
      </c>
      <c r="F33" s="26">
        <f>0.06*F29</f>
        <v>7056</v>
      </c>
      <c r="G33" s="26">
        <f>0.06*G29</f>
        <v>7056</v>
      </c>
      <c r="H33" s="26">
        <f>0.06*H29</f>
        <v>7056</v>
      </c>
      <c r="I33" s="9"/>
      <c r="J33" s="9"/>
      <c r="K33" s="9"/>
    </row>
    <row r="34" spans="2:11" s="11" customFormat="1" ht="15" customHeight="1" x14ac:dyDescent="0.3">
      <c r="B34" s="9"/>
      <c r="C34" s="5" t="s">
        <v>22</v>
      </c>
      <c r="D34" s="26"/>
      <c r="E34" s="26">
        <f>D20</f>
        <v>8287.1999999999989</v>
      </c>
      <c r="F34" s="26">
        <f>E20</f>
        <v>8287.1999999999989</v>
      </c>
      <c r="G34" s="26">
        <f>F20</f>
        <v>8287.1999999999989</v>
      </c>
      <c r="H34" s="26">
        <f>G20</f>
        <v>8287.1999999999989</v>
      </c>
      <c r="I34" s="9"/>
      <c r="J34" s="9"/>
      <c r="K34" s="9"/>
    </row>
    <row r="35" spans="2:11" s="11" customFormat="1" ht="15" customHeight="1" x14ac:dyDescent="0.3">
      <c r="B35" s="9"/>
      <c r="C35" s="7" t="s">
        <v>23</v>
      </c>
      <c r="D35" s="33">
        <f>+(D31+D32+D33+D34)</f>
        <v>0</v>
      </c>
      <c r="E35" s="33">
        <f>+(E31+E32+E33+E34)</f>
        <v>98263.2</v>
      </c>
      <c r="F35" s="33">
        <f>+(F31+F32+F33+F34)</f>
        <v>98263.2</v>
      </c>
      <c r="G35" s="33">
        <f>+(G31+G32+G33+G34)</f>
        <v>98263.2</v>
      </c>
      <c r="H35" s="33">
        <f>+(H31+H32+H33+H34)</f>
        <v>98263.2</v>
      </c>
      <c r="I35" s="9"/>
      <c r="J35" s="9"/>
      <c r="K35" s="9"/>
    </row>
    <row r="36" spans="2:11" s="11" customFormat="1" ht="16.5" x14ac:dyDescent="0.3">
      <c r="B36" s="9"/>
      <c r="C36" s="25" t="s">
        <v>8</v>
      </c>
      <c r="D36" s="32">
        <v>0</v>
      </c>
      <c r="E36" s="32">
        <f>+(E29-E35)</f>
        <v>19336.800000000003</v>
      </c>
      <c r="F36" s="32">
        <f>+(F29-F35)</f>
        <v>19336.800000000003</v>
      </c>
      <c r="G36" s="32">
        <f>+(G29-G35)</f>
        <v>19336.800000000003</v>
      </c>
      <c r="H36" s="32">
        <f>+(H29-H35)</f>
        <v>19336.800000000003</v>
      </c>
      <c r="I36" s="9"/>
      <c r="J36" s="9"/>
      <c r="K36" s="9"/>
    </row>
    <row r="37" spans="2:11" s="11" customFormat="1" ht="16.5" x14ac:dyDescent="0.3">
      <c r="B37" s="9"/>
      <c r="C37" s="13"/>
      <c r="D37" s="14"/>
      <c r="E37" s="14"/>
      <c r="F37" s="14"/>
      <c r="G37" s="14"/>
      <c r="H37" s="14"/>
      <c r="I37" s="9"/>
      <c r="J37" s="9"/>
      <c r="K37" s="9"/>
    </row>
    <row r="38" spans="2:11" x14ac:dyDescent="0.25">
      <c r="C38" s="12"/>
      <c r="D38" s="69"/>
    </row>
    <row r="39" spans="2:11" x14ac:dyDescent="0.25">
      <c r="D39" s="16"/>
    </row>
  </sheetData>
  <mergeCells count="10">
    <mergeCell ref="F2:F3"/>
    <mergeCell ref="G2:G3"/>
    <mergeCell ref="D11:G11"/>
    <mergeCell ref="C23:H23"/>
    <mergeCell ref="C25:C26"/>
    <mergeCell ref="D25:H25"/>
    <mergeCell ref="C11:C12"/>
    <mergeCell ref="D2:E2"/>
    <mergeCell ref="C2:C3"/>
    <mergeCell ref="C9:G9"/>
  </mergeCells>
  <pageMargins left="0.7" right="0.7" top="0.75" bottom="0.75" header="0.3" footer="0.3"/>
  <pageSetup scale="9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51"/>
  <sheetViews>
    <sheetView topLeftCell="A7" workbookViewId="0">
      <selection activeCell="K37" sqref="K37"/>
    </sheetView>
  </sheetViews>
  <sheetFormatPr baseColWidth="10" defaultRowHeight="15" x14ac:dyDescent="0.25"/>
  <cols>
    <col min="6" max="8" width="2.85546875" customWidth="1"/>
    <col min="9" max="9" width="14.28515625" customWidth="1"/>
    <col min="10" max="10" width="9.5703125" customWidth="1"/>
    <col min="11" max="11" width="15.5703125" customWidth="1"/>
    <col min="12" max="12" width="13" customWidth="1"/>
    <col min="14" max="14" width="10.140625" customWidth="1"/>
    <col min="16" max="16" width="17.140625" customWidth="1"/>
    <col min="262" max="264" width="2.85546875" customWidth="1"/>
    <col min="265" max="265" width="14.28515625" customWidth="1"/>
    <col min="266" max="266" width="9.5703125" customWidth="1"/>
    <col min="267" max="267" width="15.5703125" customWidth="1"/>
    <col min="270" max="270" width="10.140625" customWidth="1"/>
    <col min="272" max="272" width="17.140625" customWidth="1"/>
    <col min="518" max="520" width="2.85546875" customWidth="1"/>
    <col min="521" max="521" width="14.28515625" customWidth="1"/>
    <col min="522" max="522" width="9.5703125" customWidth="1"/>
    <col min="523" max="523" width="15.5703125" customWidth="1"/>
    <col min="526" max="526" width="10.140625" customWidth="1"/>
    <col min="528" max="528" width="17.140625" customWidth="1"/>
    <col min="774" max="776" width="2.85546875" customWidth="1"/>
    <col min="777" max="777" width="14.28515625" customWidth="1"/>
    <col min="778" max="778" width="9.5703125" customWidth="1"/>
    <col min="779" max="779" width="15.5703125" customWidth="1"/>
    <col min="782" max="782" width="10.140625" customWidth="1"/>
    <col min="784" max="784" width="17.140625" customWidth="1"/>
    <col min="1030" max="1032" width="2.85546875" customWidth="1"/>
    <col min="1033" max="1033" width="14.28515625" customWidth="1"/>
    <col min="1034" max="1034" width="9.5703125" customWidth="1"/>
    <col min="1035" max="1035" width="15.5703125" customWidth="1"/>
    <col min="1038" max="1038" width="10.140625" customWidth="1"/>
    <col min="1040" max="1040" width="17.140625" customWidth="1"/>
    <col min="1286" max="1288" width="2.85546875" customWidth="1"/>
    <col min="1289" max="1289" width="14.28515625" customWidth="1"/>
    <col min="1290" max="1290" width="9.5703125" customWidth="1"/>
    <col min="1291" max="1291" width="15.5703125" customWidth="1"/>
    <col min="1294" max="1294" width="10.140625" customWidth="1"/>
    <col min="1296" max="1296" width="17.140625" customWidth="1"/>
    <col min="1542" max="1544" width="2.85546875" customWidth="1"/>
    <col min="1545" max="1545" width="14.28515625" customWidth="1"/>
    <col min="1546" max="1546" width="9.5703125" customWidth="1"/>
    <col min="1547" max="1547" width="15.5703125" customWidth="1"/>
    <col min="1550" max="1550" width="10.140625" customWidth="1"/>
    <col min="1552" max="1552" width="17.140625" customWidth="1"/>
    <col min="1798" max="1800" width="2.85546875" customWidth="1"/>
    <col min="1801" max="1801" width="14.28515625" customWidth="1"/>
    <col min="1802" max="1802" width="9.5703125" customWidth="1"/>
    <col min="1803" max="1803" width="15.5703125" customWidth="1"/>
    <col min="1806" max="1806" width="10.140625" customWidth="1"/>
    <col min="1808" max="1808" width="17.140625" customWidth="1"/>
    <col min="2054" max="2056" width="2.85546875" customWidth="1"/>
    <col min="2057" max="2057" width="14.28515625" customWidth="1"/>
    <col min="2058" max="2058" width="9.5703125" customWidth="1"/>
    <col min="2059" max="2059" width="15.5703125" customWidth="1"/>
    <col min="2062" max="2062" width="10.140625" customWidth="1"/>
    <col min="2064" max="2064" width="17.140625" customWidth="1"/>
    <col min="2310" max="2312" width="2.85546875" customWidth="1"/>
    <col min="2313" max="2313" width="14.28515625" customWidth="1"/>
    <col min="2314" max="2314" width="9.5703125" customWidth="1"/>
    <col min="2315" max="2315" width="15.5703125" customWidth="1"/>
    <col min="2318" max="2318" width="10.140625" customWidth="1"/>
    <col min="2320" max="2320" width="17.140625" customWidth="1"/>
    <col min="2566" max="2568" width="2.85546875" customWidth="1"/>
    <col min="2569" max="2569" width="14.28515625" customWidth="1"/>
    <col min="2570" max="2570" width="9.5703125" customWidth="1"/>
    <col min="2571" max="2571" width="15.5703125" customWidth="1"/>
    <col min="2574" max="2574" width="10.140625" customWidth="1"/>
    <col min="2576" max="2576" width="17.140625" customWidth="1"/>
    <col min="2822" max="2824" width="2.85546875" customWidth="1"/>
    <col min="2825" max="2825" width="14.28515625" customWidth="1"/>
    <col min="2826" max="2826" width="9.5703125" customWidth="1"/>
    <col min="2827" max="2827" width="15.5703125" customWidth="1"/>
    <col min="2830" max="2830" width="10.140625" customWidth="1"/>
    <col min="2832" max="2832" width="17.140625" customWidth="1"/>
    <col min="3078" max="3080" width="2.85546875" customWidth="1"/>
    <col min="3081" max="3081" width="14.28515625" customWidth="1"/>
    <col min="3082" max="3082" width="9.5703125" customWidth="1"/>
    <col min="3083" max="3083" width="15.5703125" customWidth="1"/>
    <col min="3086" max="3086" width="10.140625" customWidth="1"/>
    <col min="3088" max="3088" width="17.140625" customWidth="1"/>
    <col min="3334" max="3336" width="2.85546875" customWidth="1"/>
    <col min="3337" max="3337" width="14.28515625" customWidth="1"/>
    <col min="3338" max="3338" width="9.5703125" customWidth="1"/>
    <col min="3339" max="3339" width="15.5703125" customWidth="1"/>
    <col min="3342" max="3342" width="10.140625" customWidth="1"/>
    <col min="3344" max="3344" width="17.140625" customWidth="1"/>
    <col min="3590" max="3592" width="2.85546875" customWidth="1"/>
    <col min="3593" max="3593" width="14.28515625" customWidth="1"/>
    <col min="3594" max="3594" width="9.5703125" customWidth="1"/>
    <col min="3595" max="3595" width="15.5703125" customWidth="1"/>
    <col min="3598" max="3598" width="10.140625" customWidth="1"/>
    <col min="3600" max="3600" width="17.140625" customWidth="1"/>
    <col min="3846" max="3848" width="2.85546875" customWidth="1"/>
    <col min="3849" max="3849" width="14.28515625" customWidth="1"/>
    <col min="3850" max="3850" width="9.5703125" customWidth="1"/>
    <col min="3851" max="3851" width="15.5703125" customWidth="1"/>
    <col min="3854" max="3854" width="10.140625" customWidth="1"/>
    <col min="3856" max="3856" width="17.140625" customWidth="1"/>
    <col min="4102" max="4104" width="2.85546875" customWidth="1"/>
    <col min="4105" max="4105" width="14.28515625" customWidth="1"/>
    <col min="4106" max="4106" width="9.5703125" customWidth="1"/>
    <col min="4107" max="4107" width="15.5703125" customWidth="1"/>
    <col min="4110" max="4110" width="10.140625" customWidth="1"/>
    <col min="4112" max="4112" width="17.140625" customWidth="1"/>
    <col min="4358" max="4360" width="2.85546875" customWidth="1"/>
    <col min="4361" max="4361" width="14.28515625" customWidth="1"/>
    <col min="4362" max="4362" width="9.5703125" customWidth="1"/>
    <col min="4363" max="4363" width="15.5703125" customWidth="1"/>
    <col min="4366" max="4366" width="10.140625" customWidth="1"/>
    <col min="4368" max="4368" width="17.140625" customWidth="1"/>
    <col min="4614" max="4616" width="2.85546875" customWidth="1"/>
    <col min="4617" max="4617" width="14.28515625" customWidth="1"/>
    <col min="4618" max="4618" width="9.5703125" customWidth="1"/>
    <col min="4619" max="4619" width="15.5703125" customWidth="1"/>
    <col min="4622" max="4622" width="10.140625" customWidth="1"/>
    <col min="4624" max="4624" width="17.140625" customWidth="1"/>
    <col min="4870" max="4872" width="2.85546875" customWidth="1"/>
    <col min="4873" max="4873" width="14.28515625" customWidth="1"/>
    <col min="4874" max="4874" width="9.5703125" customWidth="1"/>
    <col min="4875" max="4875" width="15.5703125" customWidth="1"/>
    <col min="4878" max="4878" width="10.140625" customWidth="1"/>
    <col min="4880" max="4880" width="17.140625" customWidth="1"/>
    <col min="5126" max="5128" width="2.85546875" customWidth="1"/>
    <col min="5129" max="5129" width="14.28515625" customWidth="1"/>
    <col min="5130" max="5130" width="9.5703125" customWidth="1"/>
    <col min="5131" max="5131" width="15.5703125" customWidth="1"/>
    <col min="5134" max="5134" width="10.140625" customWidth="1"/>
    <col min="5136" max="5136" width="17.140625" customWidth="1"/>
    <col min="5382" max="5384" width="2.85546875" customWidth="1"/>
    <col min="5385" max="5385" width="14.28515625" customWidth="1"/>
    <col min="5386" max="5386" width="9.5703125" customWidth="1"/>
    <col min="5387" max="5387" width="15.5703125" customWidth="1"/>
    <col min="5390" max="5390" width="10.140625" customWidth="1"/>
    <col min="5392" max="5392" width="17.140625" customWidth="1"/>
    <col min="5638" max="5640" width="2.85546875" customWidth="1"/>
    <col min="5641" max="5641" width="14.28515625" customWidth="1"/>
    <col min="5642" max="5642" width="9.5703125" customWidth="1"/>
    <col min="5643" max="5643" width="15.5703125" customWidth="1"/>
    <col min="5646" max="5646" width="10.140625" customWidth="1"/>
    <col min="5648" max="5648" width="17.140625" customWidth="1"/>
    <col min="5894" max="5896" width="2.85546875" customWidth="1"/>
    <col min="5897" max="5897" width="14.28515625" customWidth="1"/>
    <col min="5898" max="5898" width="9.5703125" customWidth="1"/>
    <col min="5899" max="5899" width="15.5703125" customWidth="1"/>
    <col min="5902" max="5902" width="10.140625" customWidth="1"/>
    <col min="5904" max="5904" width="17.140625" customWidth="1"/>
    <col min="6150" max="6152" width="2.85546875" customWidth="1"/>
    <col min="6153" max="6153" width="14.28515625" customWidth="1"/>
    <col min="6154" max="6154" width="9.5703125" customWidth="1"/>
    <col min="6155" max="6155" width="15.5703125" customWidth="1"/>
    <col min="6158" max="6158" width="10.140625" customWidth="1"/>
    <col min="6160" max="6160" width="17.140625" customWidth="1"/>
    <col min="6406" max="6408" width="2.85546875" customWidth="1"/>
    <col min="6409" max="6409" width="14.28515625" customWidth="1"/>
    <col min="6410" max="6410" width="9.5703125" customWidth="1"/>
    <col min="6411" max="6411" width="15.5703125" customWidth="1"/>
    <col min="6414" max="6414" width="10.140625" customWidth="1"/>
    <col min="6416" max="6416" width="17.140625" customWidth="1"/>
    <col min="6662" max="6664" width="2.85546875" customWidth="1"/>
    <col min="6665" max="6665" width="14.28515625" customWidth="1"/>
    <col min="6666" max="6666" width="9.5703125" customWidth="1"/>
    <col min="6667" max="6667" width="15.5703125" customWidth="1"/>
    <col min="6670" max="6670" width="10.140625" customWidth="1"/>
    <col min="6672" max="6672" width="17.140625" customWidth="1"/>
    <col min="6918" max="6920" width="2.85546875" customWidth="1"/>
    <col min="6921" max="6921" width="14.28515625" customWidth="1"/>
    <col min="6922" max="6922" width="9.5703125" customWidth="1"/>
    <col min="6923" max="6923" width="15.5703125" customWidth="1"/>
    <col min="6926" max="6926" width="10.140625" customWidth="1"/>
    <col min="6928" max="6928" width="17.140625" customWidth="1"/>
    <col min="7174" max="7176" width="2.85546875" customWidth="1"/>
    <col min="7177" max="7177" width="14.28515625" customWidth="1"/>
    <col min="7178" max="7178" width="9.5703125" customWidth="1"/>
    <col min="7179" max="7179" width="15.5703125" customWidth="1"/>
    <col min="7182" max="7182" width="10.140625" customWidth="1"/>
    <col min="7184" max="7184" width="17.140625" customWidth="1"/>
    <col min="7430" max="7432" width="2.85546875" customWidth="1"/>
    <col min="7433" max="7433" width="14.28515625" customWidth="1"/>
    <col min="7434" max="7434" width="9.5703125" customWidth="1"/>
    <col min="7435" max="7435" width="15.5703125" customWidth="1"/>
    <col min="7438" max="7438" width="10.140625" customWidth="1"/>
    <col min="7440" max="7440" width="17.140625" customWidth="1"/>
    <col min="7686" max="7688" width="2.85546875" customWidth="1"/>
    <col min="7689" max="7689" width="14.28515625" customWidth="1"/>
    <col min="7690" max="7690" width="9.5703125" customWidth="1"/>
    <col min="7691" max="7691" width="15.5703125" customWidth="1"/>
    <col min="7694" max="7694" width="10.140625" customWidth="1"/>
    <col min="7696" max="7696" width="17.140625" customWidth="1"/>
    <col min="7942" max="7944" width="2.85546875" customWidth="1"/>
    <col min="7945" max="7945" width="14.28515625" customWidth="1"/>
    <col min="7946" max="7946" width="9.5703125" customWidth="1"/>
    <col min="7947" max="7947" width="15.5703125" customWidth="1"/>
    <col min="7950" max="7950" width="10.140625" customWidth="1"/>
    <col min="7952" max="7952" width="17.140625" customWidth="1"/>
    <col min="8198" max="8200" width="2.85546875" customWidth="1"/>
    <col min="8201" max="8201" width="14.28515625" customWidth="1"/>
    <col min="8202" max="8202" width="9.5703125" customWidth="1"/>
    <col min="8203" max="8203" width="15.5703125" customWidth="1"/>
    <col min="8206" max="8206" width="10.140625" customWidth="1"/>
    <col min="8208" max="8208" width="17.140625" customWidth="1"/>
    <col min="8454" max="8456" width="2.85546875" customWidth="1"/>
    <col min="8457" max="8457" width="14.28515625" customWidth="1"/>
    <col min="8458" max="8458" width="9.5703125" customWidth="1"/>
    <col min="8459" max="8459" width="15.5703125" customWidth="1"/>
    <col min="8462" max="8462" width="10.140625" customWidth="1"/>
    <col min="8464" max="8464" width="17.140625" customWidth="1"/>
    <col min="8710" max="8712" width="2.85546875" customWidth="1"/>
    <col min="8713" max="8713" width="14.28515625" customWidth="1"/>
    <col min="8714" max="8714" width="9.5703125" customWidth="1"/>
    <col min="8715" max="8715" width="15.5703125" customWidth="1"/>
    <col min="8718" max="8718" width="10.140625" customWidth="1"/>
    <col min="8720" max="8720" width="17.140625" customWidth="1"/>
    <col min="8966" max="8968" width="2.85546875" customWidth="1"/>
    <col min="8969" max="8969" width="14.28515625" customWidth="1"/>
    <col min="8970" max="8970" width="9.5703125" customWidth="1"/>
    <col min="8971" max="8971" width="15.5703125" customWidth="1"/>
    <col min="8974" max="8974" width="10.140625" customWidth="1"/>
    <col min="8976" max="8976" width="17.140625" customWidth="1"/>
    <col min="9222" max="9224" width="2.85546875" customWidth="1"/>
    <col min="9225" max="9225" width="14.28515625" customWidth="1"/>
    <col min="9226" max="9226" width="9.5703125" customWidth="1"/>
    <col min="9227" max="9227" width="15.5703125" customWidth="1"/>
    <col min="9230" max="9230" width="10.140625" customWidth="1"/>
    <col min="9232" max="9232" width="17.140625" customWidth="1"/>
    <col min="9478" max="9480" width="2.85546875" customWidth="1"/>
    <col min="9481" max="9481" width="14.28515625" customWidth="1"/>
    <col min="9482" max="9482" width="9.5703125" customWidth="1"/>
    <col min="9483" max="9483" width="15.5703125" customWidth="1"/>
    <col min="9486" max="9486" width="10.140625" customWidth="1"/>
    <col min="9488" max="9488" width="17.140625" customWidth="1"/>
    <col min="9734" max="9736" width="2.85546875" customWidth="1"/>
    <col min="9737" max="9737" width="14.28515625" customWidth="1"/>
    <col min="9738" max="9738" width="9.5703125" customWidth="1"/>
    <col min="9739" max="9739" width="15.5703125" customWidth="1"/>
    <col min="9742" max="9742" width="10.140625" customWidth="1"/>
    <col min="9744" max="9744" width="17.140625" customWidth="1"/>
    <col min="9990" max="9992" width="2.85546875" customWidth="1"/>
    <col min="9993" max="9993" width="14.28515625" customWidth="1"/>
    <col min="9994" max="9994" width="9.5703125" customWidth="1"/>
    <col min="9995" max="9995" width="15.5703125" customWidth="1"/>
    <col min="9998" max="9998" width="10.140625" customWidth="1"/>
    <col min="10000" max="10000" width="17.140625" customWidth="1"/>
    <col min="10246" max="10248" width="2.85546875" customWidth="1"/>
    <col min="10249" max="10249" width="14.28515625" customWidth="1"/>
    <col min="10250" max="10250" width="9.5703125" customWidth="1"/>
    <col min="10251" max="10251" width="15.5703125" customWidth="1"/>
    <col min="10254" max="10254" width="10.140625" customWidth="1"/>
    <col min="10256" max="10256" width="17.140625" customWidth="1"/>
    <col min="10502" max="10504" width="2.85546875" customWidth="1"/>
    <col min="10505" max="10505" width="14.28515625" customWidth="1"/>
    <col min="10506" max="10506" width="9.5703125" customWidth="1"/>
    <col min="10507" max="10507" width="15.5703125" customWidth="1"/>
    <col min="10510" max="10510" width="10.140625" customWidth="1"/>
    <col min="10512" max="10512" width="17.140625" customWidth="1"/>
    <col min="10758" max="10760" width="2.85546875" customWidth="1"/>
    <col min="10761" max="10761" width="14.28515625" customWidth="1"/>
    <col min="10762" max="10762" width="9.5703125" customWidth="1"/>
    <col min="10763" max="10763" width="15.5703125" customWidth="1"/>
    <col min="10766" max="10766" width="10.140625" customWidth="1"/>
    <col min="10768" max="10768" width="17.140625" customWidth="1"/>
    <col min="11014" max="11016" width="2.85546875" customWidth="1"/>
    <col min="11017" max="11017" width="14.28515625" customWidth="1"/>
    <col min="11018" max="11018" width="9.5703125" customWidth="1"/>
    <col min="11019" max="11019" width="15.5703125" customWidth="1"/>
    <col min="11022" max="11022" width="10.140625" customWidth="1"/>
    <col min="11024" max="11024" width="17.140625" customWidth="1"/>
    <col min="11270" max="11272" width="2.85546875" customWidth="1"/>
    <col min="11273" max="11273" width="14.28515625" customWidth="1"/>
    <col min="11274" max="11274" width="9.5703125" customWidth="1"/>
    <col min="11275" max="11275" width="15.5703125" customWidth="1"/>
    <col min="11278" max="11278" width="10.140625" customWidth="1"/>
    <col min="11280" max="11280" width="17.140625" customWidth="1"/>
    <col min="11526" max="11528" width="2.85546875" customWidth="1"/>
    <col min="11529" max="11529" width="14.28515625" customWidth="1"/>
    <col min="11530" max="11530" width="9.5703125" customWidth="1"/>
    <col min="11531" max="11531" width="15.5703125" customWidth="1"/>
    <col min="11534" max="11534" width="10.140625" customWidth="1"/>
    <col min="11536" max="11536" width="17.140625" customWidth="1"/>
    <col min="11782" max="11784" width="2.85546875" customWidth="1"/>
    <col min="11785" max="11785" width="14.28515625" customWidth="1"/>
    <col min="11786" max="11786" width="9.5703125" customWidth="1"/>
    <col min="11787" max="11787" width="15.5703125" customWidth="1"/>
    <col min="11790" max="11790" width="10.140625" customWidth="1"/>
    <col min="11792" max="11792" width="17.140625" customWidth="1"/>
    <col min="12038" max="12040" width="2.85546875" customWidth="1"/>
    <col min="12041" max="12041" width="14.28515625" customWidth="1"/>
    <col min="12042" max="12042" width="9.5703125" customWidth="1"/>
    <col min="12043" max="12043" width="15.5703125" customWidth="1"/>
    <col min="12046" max="12046" width="10.140625" customWidth="1"/>
    <col min="12048" max="12048" width="17.140625" customWidth="1"/>
    <col min="12294" max="12296" width="2.85546875" customWidth="1"/>
    <col min="12297" max="12297" width="14.28515625" customWidth="1"/>
    <col min="12298" max="12298" width="9.5703125" customWidth="1"/>
    <col min="12299" max="12299" width="15.5703125" customWidth="1"/>
    <col min="12302" max="12302" width="10.140625" customWidth="1"/>
    <col min="12304" max="12304" width="17.140625" customWidth="1"/>
    <col min="12550" max="12552" width="2.85546875" customWidth="1"/>
    <col min="12553" max="12553" width="14.28515625" customWidth="1"/>
    <col min="12554" max="12554" width="9.5703125" customWidth="1"/>
    <col min="12555" max="12555" width="15.5703125" customWidth="1"/>
    <col min="12558" max="12558" width="10.140625" customWidth="1"/>
    <col min="12560" max="12560" width="17.140625" customWidth="1"/>
    <col min="12806" max="12808" width="2.85546875" customWidth="1"/>
    <col min="12809" max="12809" width="14.28515625" customWidth="1"/>
    <col min="12810" max="12810" width="9.5703125" customWidth="1"/>
    <col min="12811" max="12811" width="15.5703125" customWidth="1"/>
    <col min="12814" max="12814" width="10.140625" customWidth="1"/>
    <col min="12816" max="12816" width="17.140625" customWidth="1"/>
    <col min="13062" max="13064" width="2.85546875" customWidth="1"/>
    <col min="13065" max="13065" width="14.28515625" customWidth="1"/>
    <col min="13066" max="13066" width="9.5703125" customWidth="1"/>
    <col min="13067" max="13067" width="15.5703125" customWidth="1"/>
    <col min="13070" max="13070" width="10.140625" customWidth="1"/>
    <col min="13072" max="13072" width="17.140625" customWidth="1"/>
    <col min="13318" max="13320" width="2.85546875" customWidth="1"/>
    <col min="13321" max="13321" width="14.28515625" customWidth="1"/>
    <col min="13322" max="13322" width="9.5703125" customWidth="1"/>
    <col min="13323" max="13323" width="15.5703125" customWidth="1"/>
    <col min="13326" max="13326" width="10.140625" customWidth="1"/>
    <col min="13328" max="13328" width="17.140625" customWidth="1"/>
    <col min="13574" max="13576" width="2.85546875" customWidth="1"/>
    <col min="13577" max="13577" width="14.28515625" customWidth="1"/>
    <col min="13578" max="13578" width="9.5703125" customWidth="1"/>
    <col min="13579" max="13579" width="15.5703125" customWidth="1"/>
    <col min="13582" max="13582" width="10.140625" customWidth="1"/>
    <col min="13584" max="13584" width="17.140625" customWidth="1"/>
    <col min="13830" max="13832" width="2.85546875" customWidth="1"/>
    <col min="13833" max="13833" width="14.28515625" customWidth="1"/>
    <col min="13834" max="13834" width="9.5703125" customWidth="1"/>
    <col min="13835" max="13835" width="15.5703125" customWidth="1"/>
    <col min="13838" max="13838" width="10.140625" customWidth="1"/>
    <col min="13840" max="13840" width="17.140625" customWidth="1"/>
    <col min="14086" max="14088" width="2.85546875" customWidth="1"/>
    <col min="14089" max="14089" width="14.28515625" customWidth="1"/>
    <col min="14090" max="14090" width="9.5703125" customWidth="1"/>
    <col min="14091" max="14091" width="15.5703125" customWidth="1"/>
    <col min="14094" max="14094" width="10.140625" customWidth="1"/>
    <col min="14096" max="14096" width="17.140625" customWidth="1"/>
    <col min="14342" max="14344" width="2.85546875" customWidth="1"/>
    <col min="14345" max="14345" width="14.28515625" customWidth="1"/>
    <col min="14346" max="14346" width="9.5703125" customWidth="1"/>
    <col min="14347" max="14347" width="15.5703125" customWidth="1"/>
    <col min="14350" max="14350" width="10.140625" customWidth="1"/>
    <col min="14352" max="14352" width="17.140625" customWidth="1"/>
    <col min="14598" max="14600" width="2.85546875" customWidth="1"/>
    <col min="14601" max="14601" width="14.28515625" customWidth="1"/>
    <col min="14602" max="14602" width="9.5703125" customWidth="1"/>
    <col min="14603" max="14603" width="15.5703125" customWidth="1"/>
    <col min="14606" max="14606" width="10.140625" customWidth="1"/>
    <col min="14608" max="14608" width="17.140625" customWidth="1"/>
    <col min="14854" max="14856" width="2.85546875" customWidth="1"/>
    <col min="14857" max="14857" width="14.28515625" customWidth="1"/>
    <col min="14858" max="14858" width="9.5703125" customWidth="1"/>
    <col min="14859" max="14859" width="15.5703125" customWidth="1"/>
    <col min="14862" max="14862" width="10.140625" customWidth="1"/>
    <col min="14864" max="14864" width="17.140625" customWidth="1"/>
    <col min="15110" max="15112" width="2.85546875" customWidth="1"/>
    <col min="15113" max="15113" width="14.28515625" customWidth="1"/>
    <col min="15114" max="15114" width="9.5703125" customWidth="1"/>
    <col min="15115" max="15115" width="15.5703125" customWidth="1"/>
    <col min="15118" max="15118" width="10.140625" customWidth="1"/>
    <col min="15120" max="15120" width="17.140625" customWidth="1"/>
    <col min="15366" max="15368" width="2.85546875" customWidth="1"/>
    <col min="15369" max="15369" width="14.28515625" customWidth="1"/>
    <col min="15370" max="15370" width="9.5703125" customWidth="1"/>
    <col min="15371" max="15371" width="15.5703125" customWidth="1"/>
    <col min="15374" max="15374" width="10.140625" customWidth="1"/>
    <col min="15376" max="15376" width="17.140625" customWidth="1"/>
    <col min="15622" max="15624" width="2.85546875" customWidth="1"/>
    <col min="15625" max="15625" width="14.28515625" customWidth="1"/>
    <col min="15626" max="15626" width="9.5703125" customWidth="1"/>
    <col min="15627" max="15627" width="15.5703125" customWidth="1"/>
    <col min="15630" max="15630" width="10.140625" customWidth="1"/>
    <col min="15632" max="15632" width="17.140625" customWidth="1"/>
    <col min="15878" max="15880" width="2.85546875" customWidth="1"/>
    <col min="15881" max="15881" width="14.28515625" customWidth="1"/>
    <col min="15882" max="15882" width="9.5703125" customWidth="1"/>
    <col min="15883" max="15883" width="15.5703125" customWidth="1"/>
    <col min="15886" max="15886" width="10.140625" customWidth="1"/>
    <col min="15888" max="15888" width="17.140625" customWidth="1"/>
    <col min="16134" max="16136" width="2.85546875" customWidth="1"/>
    <col min="16137" max="16137" width="14.28515625" customWidth="1"/>
    <col min="16138" max="16138" width="9.5703125" customWidth="1"/>
    <col min="16139" max="16139" width="15.5703125" customWidth="1"/>
    <col min="16142" max="16142" width="10.140625" customWidth="1"/>
    <col min="16144" max="16144" width="17.140625" customWidth="1"/>
  </cols>
  <sheetData>
    <row r="1" spans="2:12" s="70" customFormat="1" x14ac:dyDescent="0.25"/>
    <row r="2" spans="2:12" x14ac:dyDescent="0.25">
      <c r="B2" s="8" t="s">
        <v>80</v>
      </c>
    </row>
    <row r="3" spans="2:12" x14ac:dyDescent="0.25">
      <c r="I3" t="s">
        <v>96</v>
      </c>
      <c r="J3" s="16">
        <v>0.03</v>
      </c>
    </row>
    <row r="5" spans="2:12" x14ac:dyDescent="0.25">
      <c r="J5" s="42">
        <v>0.05</v>
      </c>
      <c r="K5" s="42"/>
      <c r="L5" s="71"/>
    </row>
    <row r="7" spans="2:12" x14ac:dyDescent="0.25">
      <c r="J7" s="42">
        <v>0.11</v>
      </c>
      <c r="L7" s="71"/>
    </row>
    <row r="9" spans="2:12" x14ac:dyDescent="0.25">
      <c r="J9" s="42">
        <v>0.02</v>
      </c>
      <c r="L9" s="71"/>
    </row>
    <row r="11" spans="2:12" x14ac:dyDescent="0.25">
      <c r="J11" s="85">
        <f>K23</f>
        <v>0.66911764705882348</v>
      </c>
    </row>
    <row r="14" spans="2:12" x14ac:dyDescent="0.25">
      <c r="J14" s="73">
        <f>J5+J11*(J7-J5)+J9</f>
        <v>0.11014705882352942</v>
      </c>
    </row>
    <row r="17" spans="2:13" x14ac:dyDescent="0.25">
      <c r="J17" s="74">
        <f>((1+J14)/(1+'[1]Alter Con py'!J35)-1)</f>
        <v>7.7812678469445951E-2</v>
      </c>
      <c r="K17" s="220">
        <f>((1+J14)/(1+J3))-1</f>
        <v>7.7812678469445951E-2</v>
      </c>
    </row>
    <row r="19" spans="2:13" s="15" customFormat="1" ht="15.75" x14ac:dyDescent="0.25">
      <c r="I19" s="190" t="s">
        <v>81</v>
      </c>
      <c r="J19" s="191"/>
      <c r="K19" s="192"/>
    </row>
    <row r="20" spans="2:13" x14ac:dyDescent="0.25">
      <c r="I20" s="75" t="s">
        <v>116</v>
      </c>
      <c r="J20" s="76"/>
      <c r="K20" s="77">
        <v>0.91</v>
      </c>
    </row>
    <row r="21" spans="2:13" x14ac:dyDescent="0.25">
      <c r="I21" s="75" t="s">
        <v>82</v>
      </c>
      <c r="J21" s="76"/>
      <c r="K21" s="78">
        <v>0.4</v>
      </c>
      <c r="M21" s="17"/>
    </row>
    <row r="22" spans="2:13" x14ac:dyDescent="0.25">
      <c r="I22" s="75" t="s">
        <v>83</v>
      </c>
      <c r="J22" s="76"/>
      <c r="K22" s="77">
        <v>0.1</v>
      </c>
    </row>
    <row r="23" spans="2:13" x14ac:dyDescent="0.25">
      <c r="I23" s="75" t="s">
        <v>115</v>
      </c>
      <c r="J23" s="76"/>
      <c r="K23" s="78">
        <f>K20/(1+(1-K22)*(K21))</f>
        <v>0.66911764705882348</v>
      </c>
    </row>
    <row r="24" spans="2:13" x14ac:dyDescent="0.25">
      <c r="I24" s="75" t="s">
        <v>84</v>
      </c>
      <c r="J24" s="76"/>
      <c r="K24" s="79">
        <f>+J5</f>
        <v>0.05</v>
      </c>
    </row>
    <row r="25" spans="2:13" x14ac:dyDescent="0.25">
      <c r="I25" s="75" t="s">
        <v>85</v>
      </c>
      <c r="J25" s="76"/>
      <c r="K25" s="79">
        <f>+J7</f>
        <v>0.11</v>
      </c>
    </row>
    <row r="26" spans="2:13" x14ac:dyDescent="0.25">
      <c r="B26" s="80" t="s">
        <v>86</v>
      </c>
      <c r="C26" s="80"/>
      <c r="D26" s="80"/>
      <c r="E26" s="80"/>
      <c r="F26" s="80"/>
      <c r="G26" s="80"/>
      <c r="H26" s="80"/>
      <c r="I26" s="81" t="s">
        <v>87</v>
      </c>
      <c r="J26" s="11"/>
      <c r="K26" s="82">
        <f>+J9</f>
        <v>0.02</v>
      </c>
    </row>
    <row r="27" spans="2:13" x14ac:dyDescent="0.25">
      <c r="I27" s="75"/>
      <c r="J27" s="76"/>
      <c r="K27" s="77"/>
    </row>
    <row r="28" spans="2:13" x14ac:dyDescent="0.25">
      <c r="I28" s="75" t="s">
        <v>88</v>
      </c>
      <c r="J28" s="76"/>
      <c r="K28" s="77"/>
    </row>
    <row r="29" spans="2:13" x14ac:dyDescent="0.25">
      <c r="I29" s="193" t="s">
        <v>89</v>
      </c>
      <c r="J29" s="193"/>
      <c r="K29" s="83">
        <f>+K30</f>
        <v>0.11014705882352942</v>
      </c>
    </row>
    <row r="30" spans="2:13" x14ac:dyDescent="0.25">
      <c r="I30" s="194" t="s">
        <v>90</v>
      </c>
      <c r="J30" s="194"/>
      <c r="K30" s="84">
        <f>+J14</f>
        <v>0.11014705882352942</v>
      </c>
    </row>
    <row r="32" spans="2:13" x14ac:dyDescent="0.25">
      <c r="J32" s="72">
        <f>J11*(1+(1-M34)*(M32))</f>
        <v>0.68245427442047424</v>
      </c>
      <c r="K32" s="17" t="s">
        <v>91</v>
      </c>
      <c r="L32" s="17" t="s">
        <v>92</v>
      </c>
      <c r="M32" s="85">
        <f>'Alter Con py'!C68/-'Alter Con py'!C73</f>
        <v>2.847380410022779E-2</v>
      </c>
    </row>
    <row r="34" spans="2:13" x14ac:dyDescent="0.25">
      <c r="J34" s="74">
        <f>J5+J32*(J7-J5)+J9</f>
        <v>0.11094725646522846</v>
      </c>
      <c r="K34" t="s">
        <v>93</v>
      </c>
      <c r="M34" s="16">
        <v>0.3</v>
      </c>
    </row>
    <row r="36" spans="2:13" x14ac:dyDescent="0.25">
      <c r="J36" s="74">
        <f>((1+J34)/(1+J3))-1</f>
        <v>7.8589569383717084E-2</v>
      </c>
    </row>
    <row r="38" spans="2:13" s="15" customFormat="1" x14ac:dyDescent="0.25"/>
    <row r="39" spans="2:13" s="15" customFormat="1" x14ac:dyDescent="0.25">
      <c r="B39" s="80" t="s">
        <v>94</v>
      </c>
      <c r="C39" s="86"/>
      <c r="D39" s="86"/>
      <c r="E39" s="86"/>
      <c r="F39" s="86"/>
      <c r="G39" s="86"/>
      <c r="H39" s="86"/>
      <c r="I39" s="86"/>
      <c r="J39" s="86"/>
    </row>
    <row r="41" spans="2:13" x14ac:dyDescent="0.25">
      <c r="J41" s="73">
        <f>'Alter Con py'!J28</f>
        <v>0.2</v>
      </c>
      <c r="L41" s="17" t="s">
        <v>95</v>
      </c>
      <c r="M41" s="74">
        <f>((1+J41)/(1+'[1]Alter Con py'!J35))-1</f>
        <v>0.16504854368932032</v>
      </c>
    </row>
    <row r="43" spans="2:13" x14ac:dyDescent="0.25">
      <c r="J43" s="85">
        <f>'Alter Con py'!C73/'Alter Con py'!C66</f>
        <v>0.9723145071982281</v>
      </c>
    </row>
    <row r="45" spans="2:13" x14ac:dyDescent="0.25">
      <c r="J45" s="85">
        <f>-'Alter Con py'!C68/'Alter Con py'!C66</f>
        <v>2.768549280177187E-2</v>
      </c>
    </row>
    <row r="48" spans="2:13" x14ac:dyDescent="0.25">
      <c r="J48" s="74">
        <f>J43*J34+J45*J41*(1-M34)</f>
        <v>0.11175159598723211</v>
      </c>
    </row>
    <row r="51" spans="10:10" x14ac:dyDescent="0.25">
      <c r="J51" s="74">
        <f>((1+J48)/(1+J3))-1</f>
        <v>7.9370481541002125E-2</v>
      </c>
    </row>
  </sheetData>
  <mergeCells count="3">
    <mergeCell ref="I19:K19"/>
    <mergeCell ref="I29:J29"/>
    <mergeCell ref="I30:J30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U104"/>
  <sheetViews>
    <sheetView tabSelected="1" topLeftCell="A61" zoomScaleNormal="100" zoomScaleSheetLayoutView="98" workbookViewId="0">
      <selection activeCell="I98" sqref="I98"/>
    </sheetView>
  </sheetViews>
  <sheetFormatPr baseColWidth="10" defaultRowHeight="15" x14ac:dyDescent="0.25"/>
  <cols>
    <col min="1" max="1" width="8.85546875" customWidth="1"/>
    <col min="2" max="2" width="26.7109375" customWidth="1"/>
    <col min="3" max="3" width="12" customWidth="1"/>
    <col min="4" max="4" width="12.140625" customWidth="1"/>
    <col min="5" max="6" width="13.42578125" customWidth="1"/>
    <col min="7" max="7" width="12.7109375" customWidth="1"/>
    <col min="8" max="8" width="9.85546875" customWidth="1"/>
    <col min="9" max="9" width="38.42578125" bestFit="1" customWidth="1"/>
    <col min="10" max="10" width="13" customWidth="1"/>
    <col min="11" max="11" width="16.42578125" customWidth="1"/>
    <col min="12" max="12" width="8.7109375" customWidth="1"/>
    <col min="13" max="13" width="7.42578125" customWidth="1"/>
    <col min="14" max="14" width="11.42578125" bestFit="1" customWidth="1"/>
    <col min="15" max="15" width="7.42578125" customWidth="1"/>
    <col min="16" max="16" width="8" customWidth="1"/>
    <col min="17" max="17" width="10.7109375" customWidth="1"/>
  </cols>
  <sheetData>
    <row r="2" spans="2:19" ht="16.5" x14ac:dyDescent="0.3">
      <c r="B2" s="18"/>
      <c r="C2" s="1"/>
      <c r="D2" s="1"/>
      <c r="E2" s="1"/>
      <c r="F2" s="1"/>
      <c r="G2" s="1"/>
      <c r="H2" s="1"/>
    </row>
    <row r="3" spans="2:19" x14ac:dyDescent="0.25">
      <c r="B3" s="94" t="s">
        <v>108</v>
      </c>
      <c r="C3" s="95"/>
      <c r="D3" s="95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</row>
    <row r="4" spans="2:19" ht="13.5" customHeight="1" x14ac:dyDescent="0.25">
      <c r="B4" s="119"/>
      <c r="C4" s="119"/>
      <c r="D4" s="119"/>
      <c r="E4" s="119"/>
      <c r="F4" s="119"/>
      <c r="G4" s="120"/>
      <c r="H4" s="120"/>
      <c r="I4" s="120"/>
      <c r="J4" s="119"/>
      <c r="K4" s="119"/>
      <c r="L4" s="119"/>
      <c r="M4" s="119"/>
      <c r="N4" s="119"/>
      <c r="O4" s="119"/>
      <c r="P4" s="119"/>
      <c r="Q4" s="119"/>
    </row>
    <row r="5" spans="2:19" x14ac:dyDescent="0.25">
      <c r="B5" s="186" t="s">
        <v>75</v>
      </c>
      <c r="C5" s="186" t="s">
        <v>78</v>
      </c>
      <c r="D5" s="186"/>
      <c r="E5" s="175" t="s">
        <v>52</v>
      </c>
      <c r="F5" s="175" t="s">
        <v>53</v>
      </c>
      <c r="G5" s="120"/>
      <c r="H5" s="120"/>
      <c r="I5" s="120"/>
      <c r="J5" s="119"/>
      <c r="K5" s="119"/>
      <c r="L5" s="119"/>
      <c r="M5" s="119"/>
      <c r="N5" s="119"/>
      <c r="O5" s="119"/>
      <c r="P5" s="119"/>
      <c r="Q5" s="119"/>
    </row>
    <row r="6" spans="2:19" x14ac:dyDescent="0.25">
      <c r="B6" s="186"/>
      <c r="C6" s="87" t="s">
        <v>54</v>
      </c>
      <c r="D6" s="87" t="s">
        <v>0</v>
      </c>
      <c r="E6" s="175"/>
      <c r="F6" s="175"/>
      <c r="G6" s="120"/>
      <c r="H6" s="120"/>
      <c r="I6" s="120"/>
      <c r="J6" s="119"/>
      <c r="K6" s="119"/>
      <c r="L6" s="119"/>
      <c r="M6" s="119"/>
      <c r="N6" s="119"/>
      <c r="O6" s="119"/>
      <c r="P6" s="119"/>
      <c r="Q6" s="119"/>
    </row>
    <row r="7" spans="2:19" x14ac:dyDescent="0.25">
      <c r="B7" s="88" t="s">
        <v>76</v>
      </c>
      <c r="C7" s="89">
        <v>700</v>
      </c>
      <c r="D7" s="90">
        <f>10200/12</f>
        <v>850</v>
      </c>
      <c r="E7" s="91">
        <f xml:space="preserve"> 0.5*12</f>
        <v>6</v>
      </c>
      <c r="F7" s="92">
        <f>0.3*12</f>
        <v>3.5999999999999996</v>
      </c>
      <c r="G7" s="120"/>
      <c r="H7" s="120"/>
      <c r="I7" s="120"/>
      <c r="J7" s="119"/>
      <c r="K7" s="119"/>
      <c r="L7" s="119"/>
      <c r="M7" s="119"/>
      <c r="N7" s="119"/>
      <c r="O7" s="119"/>
      <c r="P7" s="119"/>
      <c r="Q7" s="119"/>
    </row>
    <row r="8" spans="2:19" x14ac:dyDescent="0.25">
      <c r="B8" s="88" t="s">
        <v>77</v>
      </c>
      <c r="C8" s="89">
        <v>80</v>
      </c>
      <c r="D8" s="90">
        <v>200</v>
      </c>
      <c r="E8" s="92">
        <v>25</v>
      </c>
      <c r="F8" s="92">
        <v>14</v>
      </c>
      <c r="G8" s="120"/>
      <c r="H8" s="120"/>
      <c r="I8" s="120"/>
      <c r="J8" s="119"/>
      <c r="K8" s="119"/>
      <c r="L8" s="119"/>
      <c r="M8" s="119"/>
      <c r="N8" s="119"/>
      <c r="O8" s="119"/>
      <c r="P8" s="119"/>
      <c r="Q8" s="119"/>
    </row>
    <row r="9" spans="2:19" x14ac:dyDescent="0.25">
      <c r="B9" s="88" t="s">
        <v>74</v>
      </c>
      <c r="C9" s="89">
        <v>180</v>
      </c>
      <c r="D9" s="90">
        <v>250</v>
      </c>
      <c r="E9" s="92">
        <v>20</v>
      </c>
      <c r="F9" s="92">
        <v>10</v>
      </c>
      <c r="G9" s="120"/>
      <c r="H9" s="121"/>
      <c r="I9" s="120"/>
      <c r="J9" s="119"/>
      <c r="K9" s="119"/>
      <c r="L9" s="119"/>
      <c r="M9" s="119"/>
      <c r="N9" s="119"/>
      <c r="O9" s="119"/>
      <c r="P9" s="119"/>
      <c r="Q9" s="119"/>
    </row>
    <row r="10" spans="2:19" x14ac:dyDescent="0.25">
      <c r="B10" s="96"/>
      <c r="C10" s="96"/>
      <c r="D10" s="96"/>
      <c r="E10" s="120"/>
      <c r="F10" s="120"/>
      <c r="G10" s="120"/>
      <c r="H10" s="121"/>
      <c r="I10" s="120"/>
      <c r="J10" s="119"/>
      <c r="K10" s="119"/>
      <c r="L10" s="119"/>
      <c r="M10" s="119"/>
      <c r="N10" s="119"/>
      <c r="O10" s="119"/>
      <c r="P10" s="119"/>
      <c r="Q10" s="119"/>
    </row>
    <row r="11" spans="2:19" x14ac:dyDescent="0.25">
      <c r="B11" s="119"/>
      <c r="C11" s="119"/>
      <c r="D11" s="119"/>
      <c r="E11" s="119"/>
      <c r="F11" s="119"/>
      <c r="G11" s="119"/>
      <c r="H11" s="119"/>
      <c r="I11" s="119"/>
      <c r="J11" s="119"/>
      <c r="K11" s="207"/>
      <c r="L11" s="207"/>
      <c r="M11" s="207"/>
      <c r="N11" s="207"/>
      <c r="O11" s="207"/>
      <c r="P11" s="207"/>
      <c r="Q11" s="207"/>
    </row>
    <row r="12" spans="2:19" x14ac:dyDescent="0.25">
      <c r="B12" s="211" t="s">
        <v>24</v>
      </c>
      <c r="C12" s="212"/>
      <c r="D12" s="212"/>
      <c r="E12" s="212"/>
      <c r="F12" s="212"/>
      <c r="G12" s="212"/>
      <c r="H12" s="212"/>
      <c r="I12" s="213"/>
      <c r="J12" s="119"/>
      <c r="K12" s="35"/>
      <c r="L12" s="36"/>
      <c r="M12" s="37"/>
      <c r="N12" s="37"/>
      <c r="O12" s="38"/>
      <c r="P12" s="38"/>
      <c r="Q12" s="38"/>
    </row>
    <row r="13" spans="2:19" ht="26.25" x14ac:dyDescent="0.25">
      <c r="B13" s="169" t="s">
        <v>9</v>
      </c>
      <c r="C13" s="169" t="s">
        <v>10</v>
      </c>
      <c r="D13" s="170" t="s">
        <v>11</v>
      </c>
      <c r="E13" s="171" t="s">
        <v>16</v>
      </c>
      <c r="F13" s="171" t="s">
        <v>12</v>
      </c>
      <c r="G13" s="171" t="s">
        <v>13</v>
      </c>
      <c r="H13" s="171" t="s">
        <v>14</v>
      </c>
      <c r="I13" s="171" t="s">
        <v>15</v>
      </c>
      <c r="J13" s="119"/>
      <c r="K13" s="97"/>
      <c r="L13" s="98"/>
      <c r="M13" s="99"/>
      <c r="N13" s="100"/>
      <c r="O13" s="101"/>
      <c r="P13" s="102"/>
      <c r="Q13" s="102"/>
      <c r="R13" s="11"/>
      <c r="S13" s="11"/>
    </row>
    <row r="14" spans="2:19" x14ac:dyDescent="0.25">
      <c r="B14" s="103" t="s">
        <v>114</v>
      </c>
      <c r="C14" s="103">
        <v>10000</v>
      </c>
      <c r="D14" s="103">
        <v>4</v>
      </c>
      <c r="E14" s="104">
        <f>1/D14</f>
        <v>0.25</v>
      </c>
      <c r="F14" s="105">
        <f>+C14*E14</f>
        <v>2500</v>
      </c>
      <c r="G14" s="105">
        <v>0</v>
      </c>
      <c r="H14" s="105">
        <f>0.2*(C14)</f>
        <v>2000</v>
      </c>
      <c r="I14" s="105">
        <f>+H14</f>
        <v>2000</v>
      </c>
      <c r="J14" s="119"/>
      <c r="K14" s="39"/>
      <c r="L14" s="40"/>
      <c r="M14" s="122"/>
      <c r="N14" s="122"/>
      <c r="O14" s="122"/>
      <c r="P14" s="41"/>
      <c r="Q14" s="41"/>
      <c r="R14" s="11"/>
      <c r="S14" s="11"/>
    </row>
    <row r="15" spans="2:19" x14ac:dyDescent="0.25">
      <c r="B15" s="119" t="s">
        <v>105</v>
      </c>
      <c r="C15" s="119"/>
      <c r="D15" s="119"/>
      <c r="E15" s="119"/>
      <c r="F15" s="119"/>
      <c r="G15" s="119"/>
      <c r="H15" s="119"/>
      <c r="I15" s="119"/>
      <c r="J15" s="119"/>
      <c r="K15" s="120"/>
      <c r="L15" s="120"/>
      <c r="M15" s="120"/>
      <c r="N15" s="120"/>
      <c r="O15" s="120"/>
      <c r="P15" s="120"/>
      <c r="Q15" s="120"/>
    </row>
    <row r="16" spans="2:19" x14ac:dyDescent="0.25">
      <c r="B16" s="95"/>
      <c r="C16" s="94"/>
      <c r="D16" s="94"/>
      <c r="E16" s="95"/>
      <c r="F16" s="95"/>
      <c r="G16" s="95"/>
      <c r="H16" s="119"/>
      <c r="I16" s="119"/>
      <c r="J16" s="119"/>
      <c r="K16" s="119"/>
      <c r="L16" s="119"/>
      <c r="M16" s="119"/>
      <c r="N16" s="119"/>
      <c r="O16" s="119"/>
      <c r="P16" s="119"/>
      <c r="Q16" s="119"/>
    </row>
    <row r="17" spans="2:17" x14ac:dyDescent="0.25">
      <c r="B17" s="94"/>
      <c r="C17" s="94"/>
      <c r="D17" s="94"/>
      <c r="E17" s="95"/>
      <c r="F17" s="95"/>
      <c r="G17" s="95"/>
      <c r="H17" s="119"/>
      <c r="I17" s="119"/>
      <c r="J17" s="119"/>
      <c r="K17" s="119"/>
      <c r="L17" s="119"/>
      <c r="M17" s="119"/>
      <c r="N17" s="119"/>
      <c r="O17" s="119"/>
      <c r="P17" s="119"/>
      <c r="Q17" s="119"/>
    </row>
    <row r="18" spans="2:17" x14ac:dyDescent="0.25">
      <c r="B18" s="198" t="s">
        <v>111</v>
      </c>
      <c r="C18" s="198"/>
      <c r="D18" s="198"/>
      <c r="E18" s="198"/>
      <c r="F18" s="198"/>
      <c r="G18" s="198"/>
      <c r="H18" s="119"/>
      <c r="I18" s="119"/>
      <c r="J18" s="119"/>
      <c r="K18" s="119"/>
      <c r="L18" s="119"/>
      <c r="M18" s="119"/>
      <c r="N18" s="119"/>
      <c r="O18" s="119"/>
      <c r="P18" s="119"/>
      <c r="Q18" s="119"/>
    </row>
    <row r="19" spans="2:17" ht="15" customHeight="1" x14ac:dyDescent="0.25">
      <c r="B19" s="123"/>
      <c r="C19" s="123"/>
      <c r="D19" s="123"/>
      <c r="E19" s="123"/>
      <c r="F19" s="123"/>
      <c r="G19" s="123"/>
      <c r="H19" s="119"/>
      <c r="I19" s="119"/>
      <c r="J19" s="119"/>
      <c r="K19" s="119"/>
      <c r="L19" s="119"/>
      <c r="M19" s="119"/>
      <c r="N19" s="119"/>
      <c r="O19" s="119"/>
      <c r="P19" s="119"/>
      <c r="Q19" s="119"/>
    </row>
    <row r="20" spans="2:17" x14ac:dyDescent="0.25">
      <c r="B20" s="199" t="s">
        <v>17</v>
      </c>
      <c r="C20" s="200" t="s">
        <v>18</v>
      </c>
      <c r="D20" s="201"/>
      <c r="E20" s="201"/>
      <c r="F20" s="201"/>
      <c r="G20" s="202"/>
      <c r="H20" s="119"/>
      <c r="I20" s="119"/>
      <c r="J20" s="119"/>
      <c r="K20" s="119"/>
      <c r="L20" s="119"/>
      <c r="M20" s="119"/>
      <c r="N20" s="119"/>
      <c r="O20" s="119"/>
      <c r="P20" s="119"/>
      <c r="Q20" s="119"/>
    </row>
    <row r="21" spans="2:17" x14ac:dyDescent="0.25">
      <c r="B21" s="199"/>
      <c r="C21" s="172">
        <v>0</v>
      </c>
      <c r="D21" s="172">
        <v>1</v>
      </c>
      <c r="E21" s="172">
        <v>2</v>
      </c>
      <c r="F21" s="172">
        <v>3</v>
      </c>
      <c r="G21" s="172">
        <v>4</v>
      </c>
      <c r="H21" s="119"/>
      <c r="I21" s="124"/>
      <c r="J21" s="119"/>
      <c r="K21" s="119"/>
      <c r="L21" s="119"/>
      <c r="M21" s="119"/>
      <c r="N21" s="119"/>
      <c r="O21" s="119"/>
      <c r="P21" s="119"/>
      <c r="Q21" s="119"/>
    </row>
    <row r="22" spans="2:17" x14ac:dyDescent="0.25">
      <c r="B22" s="106" t="s">
        <v>20</v>
      </c>
      <c r="C22" s="107"/>
      <c r="D22" s="107">
        <f>(D7*E7+D8*E8+D9*E9)*12</f>
        <v>181200</v>
      </c>
      <c r="E22" s="107">
        <f>(D7*E7+D8*E8+D9*E9)*12</f>
        <v>181200</v>
      </c>
      <c r="F22" s="107">
        <f>(D7*E7+D8*E8+D9*E9)*12</f>
        <v>181200</v>
      </c>
      <c r="G22" s="107">
        <f>(D7*E7+D8*E8+D9*E9)*12</f>
        <v>181200</v>
      </c>
      <c r="H22" s="119"/>
      <c r="I22" s="119"/>
      <c r="J22" s="119"/>
      <c r="K22" s="119"/>
      <c r="L22" s="119"/>
      <c r="M22" s="119"/>
      <c r="N22" s="119"/>
      <c r="O22" s="119"/>
      <c r="P22" s="119"/>
      <c r="Q22" s="119"/>
    </row>
    <row r="23" spans="2:17" x14ac:dyDescent="0.25">
      <c r="B23" s="106" t="s">
        <v>19</v>
      </c>
      <c r="C23" s="107">
        <f>+'Alter Sin Py'!D31</f>
        <v>0</v>
      </c>
      <c r="D23" s="107">
        <f>($D$7*$F$7+$D$8*$F$8+$D$9*$F$9)*12</f>
        <v>100320</v>
      </c>
      <c r="E23" s="107">
        <f>($D$7*$F$7+$D$8*$F$8+$D$9*$F$9)*12</f>
        <v>100320</v>
      </c>
      <c r="F23" s="107">
        <f>($D$7*$F$7+$D$8*$F$8+$D$9*$F$9)*12</f>
        <v>100320</v>
      </c>
      <c r="G23" s="107">
        <f>($D$7*$F$7+$D$8*$F$8+$D$9*$F$9)*12</f>
        <v>100320</v>
      </c>
      <c r="H23" s="119"/>
      <c r="I23" s="125"/>
      <c r="J23" s="119"/>
      <c r="K23" s="119"/>
      <c r="L23" s="119"/>
      <c r="M23" s="119"/>
      <c r="N23" s="119"/>
      <c r="O23" s="119"/>
      <c r="P23" s="119"/>
      <c r="Q23" s="119"/>
    </row>
    <row r="24" spans="2:17" x14ac:dyDescent="0.25">
      <c r="B24" s="106" t="s">
        <v>55</v>
      </c>
      <c r="C24" s="108"/>
      <c r="D24" s="108">
        <f>+'Alter Con py'!$D$22*0.15</f>
        <v>27180</v>
      </c>
      <c r="E24" s="108">
        <f>+'Alter Con py'!$D$22*0.15</f>
        <v>27180</v>
      </c>
      <c r="F24" s="108">
        <f>+'Alter Con py'!$D$22*0.15</f>
        <v>27180</v>
      </c>
      <c r="G24" s="108">
        <f>+'Alter Con py'!$D$22*0.15</f>
        <v>27180</v>
      </c>
      <c r="H24" s="119"/>
      <c r="I24" s="119"/>
      <c r="J24" s="119"/>
      <c r="K24" s="119"/>
      <c r="L24" s="119"/>
      <c r="M24" s="119"/>
      <c r="N24" s="119"/>
      <c r="O24" s="119"/>
      <c r="P24" s="119"/>
      <c r="Q24" s="119"/>
    </row>
    <row r="25" spans="2:17" x14ac:dyDescent="0.25">
      <c r="B25" s="106" t="s">
        <v>60</v>
      </c>
      <c r="C25" s="108"/>
      <c r="D25" s="108">
        <f>$D$22*0.06</f>
        <v>10872</v>
      </c>
      <c r="E25" s="108">
        <f>$D$22*0.06</f>
        <v>10872</v>
      </c>
      <c r="F25" s="108">
        <f>$D$22*0.06</f>
        <v>10872</v>
      </c>
      <c r="G25" s="108">
        <f>$D$22*0.06</f>
        <v>10872</v>
      </c>
      <c r="H25" s="119"/>
      <c r="I25" s="126" t="s">
        <v>28</v>
      </c>
      <c r="J25" s="119"/>
      <c r="K25" s="119"/>
      <c r="L25" s="119"/>
      <c r="M25" s="119"/>
      <c r="N25" s="119"/>
      <c r="O25" s="119"/>
      <c r="P25" s="119"/>
      <c r="Q25" s="119"/>
    </row>
    <row r="26" spans="2:17" x14ac:dyDescent="0.25">
      <c r="B26" s="106" t="s">
        <v>25</v>
      </c>
      <c r="C26" s="108"/>
      <c r="D26" s="108">
        <f>+$F$14/POWER(1.03,1)</f>
        <v>2427.1844660194174</v>
      </c>
      <c r="E26" s="108">
        <f>+$F$14/POWER(1.03,2)</f>
        <v>2356.4897728343858</v>
      </c>
      <c r="F26" s="108">
        <f>+$F$14/POWER(1.03,3)</f>
        <v>2287.854148382899</v>
      </c>
      <c r="G26" s="108">
        <f>+$F$14/POWER(1.03,4)</f>
        <v>2221.2176197892222</v>
      </c>
      <c r="H26" s="119"/>
      <c r="I26" s="109" t="s">
        <v>29</v>
      </c>
      <c r="J26" s="110">
        <v>5000</v>
      </c>
      <c r="K26" s="119"/>
      <c r="L26" s="119"/>
      <c r="M26" s="119"/>
      <c r="N26" s="119"/>
      <c r="O26" s="119"/>
      <c r="P26" s="119"/>
      <c r="Q26" s="119"/>
    </row>
    <row r="27" spans="2:17" x14ac:dyDescent="0.25">
      <c r="B27" s="106" t="s">
        <v>79</v>
      </c>
      <c r="C27" s="108">
        <v>5000</v>
      </c>
      <c r="D27" s="108"/>
      <c r="E27" s="108"/>
      <c r="F27" s="108"/>
      <c r="G27" s="108"/>
      <c r="H27" s="119"/>
      <c r="I27" s="109"/>
      <c r="J27" s="110"/>
      <c r="K27" s="119"/>
      <c r="L27" s="119"/>
      <c r="M27" s="119"/>
      <c r="N27" s="119"/>
      <c r="O27" s="119"/>
      <c r="P27" s="119"/>
      <c r="Q27" s="119"/>
    </row>
    <row r="28" spans="2:17" x14ac:dyDescent="0.25">
      <c r="B28" s="106" t="s">
        <v>26</v>
      </c>
      <c r="C28" s="108"/>
      <c r="D28" s="108"/>
      <c r="E28" s="108"/>
      <c r="F28" s="108"/>
      <c r="G28" s="108">
        <f>+I14</f>
        <v>2000</v>
      </c>
      <c r="H28" s="119"/>
      <c r="I28" s="109" t="s">
        <v>30</v>
      </c>
      <c r="J28" s="111">
        <v>0.2</v>
      </c>
      <c r="K28" s="119"/>
      <c r="L28" s="127"/>
      <c r="M28" s="128"/>
      <c r="N28" s="119"/>
      <c r="O28" s="119"/>
      <c r="P28" s="119"/>
      <c r="Q28" s="119"/>
    </row>
    <row r="29" spans="2:17" x14ac:dyDescent="0.25">
      <c r="B29" s="106" t="s">
        <v>3</v>
      </c>
      <c r="C29" s="112">
        <f>+SUM(C22+C28)-SUM(C23:C27)</f>
        <v>-5000</v>
      </c>
      <c r="D29" s="112">
        <f>+SUM(D22+D28)-SUM(D23:D27)</f>
        <v>40400.815533980582</v>
      </c>
      <c r="E29" s="112">
        <f>+SUM(E22+E28)-SUM(E23:E27)</f>
        <v>40471.510227165621</v>
      </c>
      <c r="F29" s="112">
        <f>+SUM(F22+F28)-SUM(F23:F27)</f>
        <v>40540.145851617097</v>
      </c>
      <c r="G29" s="112">
        <f>+SUM(G22+G28)-SUM(G23:G27)</f>
        <v>42606.782380210789</v>
      </c>
      <c r="H29" s="119"/>
      <c r="I29" s="109" t="s">
        <v>31</v>
      </c>
      <c r="J29" s="113">
        <v>4</v>
      </c>
      <c r="K29" s="119"/>
      <c r="L29" s="119"/>
      <c r="M29" s="119"/>
      <c r="N29" s="119"/>
      <c r="O29" s="119"/>
      <c r="P29" s="119"/>
      <c r="Q29" s="119"/>
    </row>
    <row r="30" spans="2:17" x14ac:dyDescent="0.25">
      <c r="B30" s="106" t="s">
        <v>4</v>
      </c>
      <c r="C30" s="108">
        <f>C29</f>
        <v>-5000</v>
      </c>
      <c r="D30" s="108">
        <f>+D29</f>
        <v>40400.815533980582</v>
      </c>
      <c r="E30" s="108">
        <f>+E29</f>
        <v>40471.510227165621</v>
      </c>
      <c r="F30" s="108">
        <f>+F29</f>
        <v>40540.145851617097</v>
      </c>
      <c r="G30" s="108">
        <f>+G29</f>
        <v>42606.782380210789</v>
      </c>
      <c r="H30" s="119"/>
      <c r="I30" s="109" t="s">
        <v>32</v>
      </c>
      <c r="J30" s="114">
        <f>((1+J28)/(1+J31))-1</f>
        <v>0.16504854368932032</v>
      </c>
      <c r="K30" s="119"/>
      <c r="L30" s="119"/>
      <c r="M30" s="119"/>
      <c r="N30" s="119"/>
      <c r="O30" s="119"/>
      <c r="P30" s="119"/>
      <c r="Q30" s="119"/>
    </row>
    <row r="31" spans="2:17" x14ac:dyDescent="0.25">
      <c r="B31" s="106" t="s">
        <v>56</v>
      </c>
      <c r="C31" s="108">
        <v>0</v>
      </c>
      <c r="D31" s="107">
        <f>(+D30+C32)*0.3</f>
        <v>10620.244660194174</v>
      </c>
      <c r="E31" s="107">
        <f>+E30*0.3</f>
        <v>12141.453068149685</v>
      </c>
      <c r="F31" s="107">
        <f>+F30*0.3</f>
        <v>12162.043755485129</v>
      </c>
      <c r="G31" s="107">
        <f>+G30*0.3</f>
        <v>12782.034714063237</v>
      </c>
      <c r="H31" s="119"/>
      <c r="I31" s="109" t="s">
        <v>33</v>
      </c>
      <c r="J31" s="115">
        <v>0.03</v>
      </c>
      <c r="K31" s="129"/>
      <c r="L31" s="119"/>
      <c r="M31" s="119"/>
      <c r="N31" s="119"/>
      <c r="O31" s="119"/>
      <c r="P31" s="119"/>
      <c r="Q31" s="119"/>
    </row>
    <row r="32" spans="2:17" ht="17.25" customHeight="1" x14ac:dyDescent="0.25">
      <c r="B32" s="116" t="s">
        <v>2</v>
      </c>
      <c r="C32" s="130">
        <f>C30-C31</f>
        <v>-5000</v>
      </c>
      <c r="D32" s="130">
        <f>+D30-D31</f>
        <v>29780.570873786408</v>
      </c>
      <c r="E32" s="130">
        <f>+E30-E31</f>
        <v>28330.057159015938</v>
      </c>
      <c r="F32" s="130">
        <f>+F30-F31</f>
        <v>28378.102096131966</v>
      </c>
      <c r="G32" s="130">
        <f>+G30-G31</f>
        <v>29824.747666147552</v>
      </c>
      <c r="H32" s="119"/>
      <c r="I32" s="109" t="s">
        <v>34</v>
      </c>
      <c r="J32" s="117">
        <f>J26/4</f>
        <v>1250</v>
      </c>
      <c r="K32" s="119"/>
      <c r="L32" s="119"/>
      <c r="M32" s="119"/>
      <c r="N32" s="119"/>
      <c r="O32" s="119"/>
      <c r="P32" s="119"/>
      <c r="Q32" s="119"/>
    </row>
    <row r="33" spans="1:17" ht="30" customHeight="1" x14ac:dyDescent="0.25">
      <c r="B33" s="210" t="s">
        <v>27</v>
      </c>
      <c r="C33" s="210"/>
      <c r="D33" s="210"/>
      <c r="E33" s="210"/>
      <c r="F33" s="210"/>
      <c r="G33" s="210"/>
      <c r="H33" s="119"/>
      <c r="I33" s="119"/>
      <c r="J33" s="119"/>
      <c r="K33" s="119"/>
      <c r="L33" s="119"/>
      <c r="M33" s="119"/>
      <c r="N33" s="119"/>
      <c r="O33" s="119"/>
      <c r="P33" s="119"/>
      <c r="Q33" s="119"/>
    </row>
    <row r="34" spans="1:17" x14ac:dyDescent="0.25">
      <c r="A34" s="119"/>
      <c r="B34" s="119"/>
      <c r="C34" s="119"/>
      <c r="D34" s="119"/>
      <c r="E34" s="119"/>
      <c r="F34" s="119"/>
      <c r="G34" s="119"/>
      <c r="H34" s="119"/>
      <c r="I34" s="126" t="s">
        <v>39</v>
      </c>
      <c r="J34" s="119"/>
      <c r="K34" s="119"/>
      <c r="L34" s="119"/>
      <c r="M34" s="119"/>
      <c r="N34" s="119"/>
      <c r="O34" s="119"/>
      <c r="P34" s="119"/>
      <c r="Q34" s="119"/>
    </row>
    <row r="35" spans="1:17" ht="26.25" x14ac:dyDescent="0.25">
      <c r="A35" s="119"/>
      <c r="B35" s="208" t="s">
        <v>69</v>
      </c>
      <c r="C35" s="208"/>
      <c r="D35" s="208"/>
      <c r="E35" s="208"/>
      <c r="F35" s="208"/>
      <c r="G35" s="208"/>
      <c r="H35" s="119"/>
      <c r="I35" s="131" t="s">
        <v>35</v>
      </c>
      <c r="J35" s="132" t="s">
        <v>36</v>
      </c>
      <c r="K35" s="132" t="s">
        <v>118</v>
      </c>
      <c r="L35" s="132" t="s">
        <v>37</v>
      </c>
      <c r="M35" s="132" t="s">
        <v>65</v>
      </c>
      <c r="N35" s="132" t="s">
        <v>38</v>
      </c>
      <c r="O35" s="119"/>
      <c r="P35" s="119"/>
      <c r="Q35" s="119"/>
    </row>
    <row r="36" spans="1:17" ht="19.5" customHeight="1" x14ac:dyDescent="0.25">
      <c r="A36" s="119"/>
      <c r="B36" s="119"/>
      <c r="C36" s="119"/>
      <c r="D36" s="125"/>
      <c r="E36" s="119"/>
      <c r="F36" s="119"/>
      <c r="G36" s="119"/>
      <c r="H36" s="119"/>
      <c r="I36" s="133">
        <v>1</v>
      </c>
      <c r="J36" s="134">
        <f>J26</f>
        <v>5000</v>
      </c>
      <c r="K36" s="134">
        <f>+$J$32</f>
        <v>1250</v>
      </c>
      <c r="L36" s="135">
        <f>+J36*$J$30</f>
        <v>825.24271844660154</v>
      </c>
      <c r="M36" s="136">
        <f>K36+L36</f>
        <v>2075.2427184466014</v>
      </c>
      <c r="N36" s="135">
        <f>J36-K36</f>
        <v>3750</v>
      </c>
      <c r="O36" s="119"/>
      <c r="P36" s="119"/>
      <c r="Q36" s="119"/>
    </row>
    <row r="37" spans="1:17" x14ac:dyDescent="0.25">
      <c r="A37" s="119"/>
      <c r="B37" s="199" t="s">
        <v>17</v>
      </c>
      <c r="C37" s="209" t="s">
        <v>18</v>
      </c>
      <c r="D37" s="209"/>
      <c r="E37" s="209"/>
      <c r="F37" s="209"/>
      <c r="G37" s="209"/>
      <c r="H37" s="120"/>
      <c r="I37" s="133">
        <v>2</v>
      </c>
      <c r="J37" s="135">
        <f>N36</f>
        <v>3750</v>
      </c>
      <c r="K37" s="134">
        <f t="shared" ref="K37:K39" si="0">+$J$32</f>
        <v>1250</v>
      </c>
      <c r="L37" s="135">
        <f>+J37*$J$30</f>
        <v>618.93203883495119</v>
      </c>
      <c r="M37" s="136">
        <f>K37+L37</f>
        <v>1868.9320388349511</v>
      </c>
      <c r="N37" s="135">
        <f>J37-K37</f>
        <v>2500</v>
      </c>
      <c r="O37" s="119"/>
      <c r="P37" s="119"/>
      <c r="Q37" s="119"/>
    </row>
    <row r="38" spans="1:17" x14ac:dyDescent="0.25">
      <c r="A38" s="119"/>
      <c r="B38" s="199"/>
      <c r="C38" s="172">
        <v>0</v>
      </c>
      <c r="D38" s="172">
        <v>1</v>
      </c>
      <c r="E38" s="172">
        <v>2</v>
      </c>
      <c r="F38" s="172">
        <v>3</v>
      </c>
      <c r="G38" s="172">
        <v>4</v>
      </c>
      <c r="H38" s="120"/>
      <c r="I38" s="133">
        <v>3</v>
      </c>
      <c r="J38" s="135">
        <f>N37</f>
        <v>2500</v>
      </c>
      <c r="K38" s="134">
        <f t="shared" si="0"/>
        <v>1250</v>
      </c>
      <c r="L38" s="135">
        <f>+J38*$J$30</f>
        <v>412.62135922330077</v>
      </c>
      <c r="M38" s="136">
        <f>K38+L38</f>
        <v>1662.6213592233007</v>
      </c>
      <c r="N38" s="135">
        <f>J38-K38</f>
        <v>1250</v>
      </c>
      <c r="O38" s="137"/>
      <c r="P38" s="138"/>
      <c r="Q38" s="119"/>
    </row>
    <row r="39" spans="1:17" x14ac:dyDescent="0.25">
      <c r="A39" s="119"/>
      <c r="B39" s="118" t="s">
        <v>40</v>
      </c>
      <c r="C39" s="92"/>
      <c r="D39" s="92"/>
      <c r="E39" s="92"/>
      <c r="F39" s="92"/>
      <c r="G39" s="92"/>
      <c r="H39" s="120"/>
      <c r="I39" s="133">
        <v>4</v>
      </c>
      <c r="J39" s="135">
        <f>N38</f>
        <v>1250</v>
      </c>
      <c r="K39" s="134">
        <f t="shared" si="0"/>
        <v>1250</v>
      </c>
      <c r="L39" s="135">
        <f>+J39*$J$30</f>
        <v>206.31067961165039</v>
      </c>
      <c r="M39" s="136">
        <f>K39+L39</f>
        <v>1456.3106796116504</v>
      </c>
      <c r="N39" s="135">
        <f>J39-K39</f>
        <v>0</v>
      </c>
      <c r="O39" s="137"/>
      <c r="P39" s="138"/>
      <c r="Q39" s="119"/>
    </row>
    <row r="40" spans="1:17" x14ac:dyDescent="0.25">
      <c r="A40" s="119"/>
      <c r="B40" s="106" t="s">
        <v>44</v>
      </c>
      <c r="C40" s="108">
        <v>-10000</v>
      </c>
      <c r="D40" s="108"/>
      <c r="E40" s="108"/>
      <c r="F40" s="108"/>
      <c r="G40" s="108"/>
      <c r="H40" s="148"/>
      <c r="K40" s="43"/>
      <c r="L40" s="44"/>
      <c r="M40" s="45"/>
      <c r="N40" s="44"/>
      <c r="O40" s="46"/>
      <c r="P40" s="44"/>
    </row>
    <row r="41" spans="1:17" x14ac:dyDescent="0.25">
      <c r="A41" s="119"/>
      <c r="B41" s="106" t="s">
        <v>61</v>
      </c>
      <c r="C41" s="108">
        <f>C32</f>
        <v>-5000</v>
      </c>
      <c r="D41" s="108"/>
      <c r="E41" s="108"/>
      <c r="F41" s="108"/>
      <c r="G41" s="108"/>
      <c r="H41" s="148"/>
      <c r="K41" s="43"/>
      <c r="L41" s="44"/>
      <c r="M41" s="45"/>
      <c r="N41" s="44"/>
      <c r="O41" s="46"/>
      <c r="P41" s="44"/>
    </row>
    <row r="42" spans="1:17" x14ac:dyDescent="0.25">
      <c r="A42" s="119"/>
      <c r="B42" s="106" t="s">
        <v>106</v>
      </c>
      <c r="C42" s="108">
        <f>-D47-'Alter Sin Py'!D14</f>
        <v>-165600</v>
      </c>
      <c r="D42" s="108"/>
      <c r="E42" s="108"/>
      <c r="F42" s="108"/>
      <c r="G42" s="108"/>
      <c r="H42" s="148"/>
      <c r="K42" s="43"/>
      <c r="L42" s="44"/>
      <c r="M42" s="45"/>
      <c r="N42" s="44"/>
      <c r="O42" s="46"/>
      <c r="P42" s="44"/>
    </row>
    <row r="43" spans="1:17" x14ac:dyDescent="0.25">
      <c r="A43" s="119"/>
      <c r="B43" s="106" t="s">
        <v>107</v>
      </c>
      <c r="C43" s="108"/>
      <c r="D43" s="108"/>
      <c r="E43" s="108"/>
      <c r="F43" s="108"/>
      <c r="G43" s="108">
        <f>-C42</f>
        <v>165600</v>
      </c>
      <c r="H43" s="148"/>
      <c r="K43" s="43"/>
      <c r="L43" s="44"/>
      <c r="M43" s="45"/>
      <c r="N43" s="44"/>
      <c r="O43" s="46"/>
      <c r="P43" s="44"/>
    </row>
    <row r="44" spans="1:17" x14ac:dyDescent="0.25">
      <c r="A44" s="119"/>
      <c r="B44" s="106" t="s">
        <v>62</v>
      </c>
      <c r="C44" s="108"/>
      <c r="D44" s="108"/>
      <c r="E44" s="108"/>
      <c r="F44" s="108"/>
      <c r="G44" s="108">
        <f>+H14</f>
        <v>2000</v>
      </c>
      <c r="H44" s="148"/>
    </row>
    <row r="45" spans="1:17" x14ac:dyDescent="0.25">
      <c r="A45" s="119"/>
      <c r="B45" s="50" t="s">
        <v>41</v>
      </c>
      <c r="C45" s="139">
        <f>C40+C44+C41+C42</f>
        <v>-180600</v>
      </c>
      <c r="D45" s="139">
        <f>D40+D44+D41+D42</f>
        <v>0</v>
      </c>
      <c r="E45" s="139">
        <f>E40+E44+E41+E42</f>
        <v>0</v>
      </c>
      <c r="F45" s="139">
        <f t="shared" ref="E45:F45" si="1">F40+F44+F41+F42</f>
        <v>0</v>
      </c>
      <c r="G45" s="139">
        <f>G40+G44+G41+G42+G43</f>
        <v>167600</v>
      </c>
      <c r="H45" s="149"/>
    </row>
    <row r="46" spans="1:17" s="15" customFormat="1" x14ac:dyDescent="0.25">
      <c r="A46" s="127"/>
      <c r="B46" s="140" t="str">
        <f t="shared" ref="B46" si="2">+B22</f>
        <v xml:space="preserve">(+) Ventas netas en s/. </v>
      </c>
      <c r="C46" s="141"/>
      <c r="D46" s="141">
        <f>+D22</f>
        <v>181200</v>
      </c>
      <c r="E46" s="141">
        <f>+E22</f>
        <v>181200</v>
      </c>
      <c r="F46" s="141">
        <f t="shared" ref="D46:G47" si="3">+F22</f>
        <v>181200</v>
      </c>
      <c r="G46" s="141">
        <f t="shared" si="3"/>
        <v>181200</v>
      </c>
      <c r="H46" s="149"/>
    </row>
    <row r="47" spans="1:17" x14ac:dyDescent="0.25">
      <c r="A47" s="119"/>
      <c r="B47" s="140" t="str">
        <f>B23</f>
        <v xml:space="preserve">(-) Costos de ventas </v>
      </c>
      <c r="C47" s="108">
        <f>+C23</f>
        <v>0</v>
      </c>
      <c r="D47" s="108">
        <f>+D23</f>
        <v>100320</v>
      </c>
      <c r="E47" s="108">
        <f t="shared" si="3"/>
        <v>100320</v>
      </c>
      <c r="F47" s="108">
        <f t="shared" si="3"/>
        <v>100320</v>
      </c>
      <c r="G47" s="108">
        <f t="shared" si="3"/>
        <v>100320</v>
      </c>
      <c r="H47" s="148"/>
    </row>
    <row r="48" spans="1:17" x14ac:dyDescent="0.25">
      <c r="A48" s="119"/>
      <c r="B48" s="140" t="str">
        <f>B24</f>
        <v>(-) Gastos administrativos (15%)</v>
      </c>
      <c r="C48" s="108"/>
      <c r="D48" s="108">
        <f t="shared" ref="D48:F49" si="4">+E24</f>
        <v>27180</v>
      </c>
      <c r="E48" s="108">
        <f t="shared" si="4"/>
        <v>27180</v>
      </c>
      <c r="F48" s="108">
        <f t="shared" si="4"/>
        <v>27180</v>
      </c>
      <c r="G48" s="108">
        <f>+F48</f>
        <v>27180</v>
      </c>
      <c r="H48" s="148"/>
    </row>
    <row r="49" spans="1:13" x14ac:dyDescent="0.25">
      <c r="A49" s="119"/>
      <c r="B49" s="140" t="str">
        <f>+B25</f>
        <v>(-) Gastos de ventas (6%)</v>
      </c>
      <c r="C49" s="108"/>
      <c r="D49" s="108">
        <f t="shared" si="4"/>
        <v>10872</v>
      </c>
      <c r="E49" s="108">
        <f t="shared" si="4"/>
        <v>10872</v>
      </c>
      <c r="F49" s="108">
        <f t="shared" si="4"/>
        <v>10872</v>
      </c>
      <c r="G49" s="108">
        <f>+F49</f>
        <v>10872</v>
      </c>
      <c r="H49" s="148"/>
    </row>
    <row r="50" spans="1:13" x14ac:dyDescent="0.25">
      <c r="A50" s="119"/>
      <c r="B50" s="140" t="s">
        <v>42</v>
      </c>
      <c r="C50" s="108">
        <f>C31</f>
        <v>0</v>
      </c>
      <c r="D50" s="108">
        <f>+D31</f>
        <v>10620.244660194174</v>
      </c>
      <c r="E50" s="108">
        <f>+E31</f>
        <v>12141.453068149685</v>
      </c>
      <c r="F50" s="108">
        <f>+F31</f>
        <v>12162.043755485129</v>
      </c>
      <c r="G50" s="108">
        <f>+G31</f>
        <v>12782.034714063237</v>
      </c>
      <c r="H50" s="148"/>
    </row>
    <row r="51" spans="1:13" x14ac:dyDescent="0.25">
      <c r="A51" s="119"/>
      <c r="B51" s="142" t="s">
        <v>43</v>
      </c>
      <c r="C51" s="173">
        <f>+SUM(C46)-SUM((C47:C50))</f>
        <v>0</v>
      </c>
      <c r="D51" s="173">
        <f>+SUM(D46)-SUM((D47:D50))</f>
        <v>32207.755339805823</v>
      </c>
      <c r="E51" s="173">
        <f>+SUM(E46)-SUM((E47:E50))</f>
        <v>30686.546931850316</v>
      </c>
      <c r="F51" s="173">
        <f>+SUM(F46)-SUM((F47:F50))</f>
        <v>30665.956244514877</v>
      </c>
      <c r="G51" s="173">
        <f>+SUM(G46)-SUM((G47:G50))</f>
        <v>30045.965285936778</v>
      </c>
      <c r="H51" s="149"/>
    </row>
    <row r="52" spans="1:13" ht="18" customHeight="1" x14ac:dyDescent="0.25">
      <c r="A52" s="119"/>
      <c r="B52" s="116" t="s">
        <v>109</v>
      </c>
      <c r="C52" s="130">
        <f>+C45+C51</f>
        <v>-180600</v>
      </c>
      <c r="D52" s="130">
        <f>+D45+D51</f>
        <v>32207.755339805823</v>
      </c>
      <c r="E52" s="130">
        <f>+E45+E51</f>
        <v>30686.546931850316</v>
      </c>
      <c r="F52" s="130">
        <f>+F45+F51</f>
        <v>30665.956244514877</v>
      </c>
      <c r="G52" s="130">
        <f>+G45+G51</f>
        <v>197645.96528593678</v>
      </c>
      <c r="H52" s="150"/>
      <c r="I52" s="60"/>
    </row>
    <row r="53" spans="1:13" x14ac:dyDescent="0.25">
      <c r="A53" s="119"/>
      <c r="B53" s="119"/>
      <c r="C53" s="119"/>
      <c r="D53" s="119"/>
      <c r="E53" s="119"/>
      <c r="F53" s="119"/>
      <c r="G53" s="119"/>
      <c r="H53" s="119"/>
    </row>
    <row r="54" spans="1:13" x14ac:dyDescent="0.25">
      <c r="A54" s="119"/>
      <c r="B54" s="195" t="s">
        <v>70</v>
      </c>
      <c r="C54" s="195"/>
      <c r="D54" s="195"/>
      <c r="E54" s="195"/>
      <c r="F54" s="195"/>
      <c r="G54" s="195"/>
      <c r="H54" s="151"/>
      <c r="I54" s="19"/>
      <c r="J54" s="19"/>
      <c r="K54" s="19"/>
      <c r="L54" s="19"/>
      <c r="M54" s="19"/>
    </row>
    <row r="55" spans="1:13" ht="7.5" customHeight="1" x14ac:dyDescent="0.25">
      <c r="A55" s="119"/>
      <c r="B55" s="119"/>
      <c r="C55" s="119"/>
      <c r="D55" s="119"/>
      <c r="E55" s="119"/>
      <c r="F55" s="119"/>
      <c r="G55" s="119"/>
      <c r="H55" s="119"/>
    </row>
    <row r="56" spans="1:13" x14ac:dyDescent="0.25">
      <c r="A56" s="119"/>
      <c r="B56" s="196" t="s">
        <v>17</v>
      </c>
      <c r="C56" s="204" t="s">
        <v>18</v>
      </c>
      <c r="D56" s="205"/>
      <c r="E56" s="205"/>
      <c r="F56" s="205"/>
      <c r="G56" s="205"/>
      <c r="H56" s="206"/>
      <c r="I56" s="203"/>
      <c r="J56" s="203"/>
      <c r="K56" s="203"/>
      <c r="L56" s="203"/>
      <c r="M56" s="203"/>
    </row>
    <row r="57" spans="1:13" x14ac:dyDescent="0.25">
      <c r="A57" s="119"/>
      <c r="B57" s="196"/>
      <c r="C57" s="116">
        <f>C38</f>
        <v>0</v>
      </c>
      <c r="D57" s="116">
        <f>D38</f>
        <v>1</v>
      </c>
      <c r="E57" s="143">
        <f>E38</f>
        <v>2</v>
      </c>
      <c r="F57" s="116">
        <f>F38</f>
        <v>3</v>
      </c>
      <c r="G57" s="143">
        <f>G38</f>
        <v>4</v>
      </c>
      <c r="H57" s="206"/>
      <c r="I57" s="47"/>
      <c r="J57" s="47"/>
      <c r="K57" s="47"/>
      <c r="L57" s="47"/>
      <c r="M57" s="47"/>
    </row>
    <row r="58" spans="1:13" x14ac:dyDescent="0.25">
      <c r="A58" s="119"/>
      <c r="B58" s="140" t="s">
        <v>71</v>
      </c>
      <c r="C58" s="144">
        <f>+C52</f>
        <v>-180600</v>
      </c>
      <c r="D58" s="144">
        <f>+D52</f>
        <v>32207.755339805823</v>
      </c>
      <c r="E58" s="144">
        <f>+E52</f>
        <v>30686.546931850316</v>
      </c>
      <c r="F58" s="144">
        <f>+F52</f>
        <v>30665.956244514877</v>
      </c>
      <c r="G58" s="144">
        <f>+G52</f>
        <v>197645.96528593678</v>
      </c>
      <c r="H58" s="148"/>
      <c r="I58" s="48"/>
      <c r="J58" s="48"/>
      <c r="K58" s="48"/>
      <c r="L58" s="48"/>
      <c r="M58" s="48"/>
    </row>
    <row r="59" spans="1:13" x14ac:dyDescent="0.25">
      <c r="A59" s="119"/>
      <c r="B59" s="140" t="s">
        <v>72</v>
      </c>
      <c r="C59" s="144">
        <f>+'Alter Sin Py'!D36</f>
        <v>0</v>
      </c>
      <c r="D59" s="144">
        <f>'Alter Sin Py'!E36</f>
        <v>19336.800000000003</v>
      </c>
      <c r="E59" s="144">
        <f>+'Alter Sin Py'!F36</f>
        <v>19336.800000000003</v>
      </c>
      <c r="F59" s="144">
        <f>+'Alter Sin Py'!G36</f>
        <v>19336.800000000003</v>
      </c>
      <c r="G59" s="144">
        <f>+'Alter Sin Py'!H36</f>
        <v>19336.800000000003</v>
      </c>
      <c r="H59" s="148"/>
      <c r="I59" s="48"/>
      <c r="J59" s="48"/>
      <c r="K59" s="48"/>
      <c r="L59" s="48"/>
      <c r="M59" s="48"/>
    </row>
    <row r="60" spans="1:13" x14ac:dyDescent="0.25">
      <c r="A60" s="119"/>
      <c r="B60" s="116" t="s">
        <v>45</v>
      </c>
      <c r="C60" s="145">
        <f>C58-C59</f>
        <v>-180600</v>
      </c>
      <c r="D60" s="130">
        <f>D58+D59</f>
        <v>51544.555339805825</v>
      </c>
      <c r="E60" s="130">
        <f>E58+E59</f>
        <v>50023.346931850319</v>
      </c>
      <c r="F60" s="130">
        <f>F58+F59</f>
        <v>50002.75624451488</v>
      </c>
      <c r="G60" s="130">
        <f>G58+G59</f>
        <v>216982.76528593677</v>
      </c>
      <c r="H60" s="119"/>
    </row>
    <row r="61" spans="1:13" x14ac:dyDescent="0.25">
      <c r="A61" s="119"/>
      <c r="B61" s="119"/>
      <c r="C61" s="119"/>
      <c r="D61" s="119"/>
      <c r="E61" s="119"/>
      <c r="F61" s="119"/>
      <c r="G61" s="119"/>
      <c r="H61" s="119"/>
    </row>
    <row r="62" spans="1:13" x14ac:dyDescent="0.25">
      <c r="A62" s="119"/>
      <c r="B62" s="195" t="s">
        <v>66</v>
      </c>
      <c r="C62" s="195"/>
      <c r="D62" s="195"/>
      <c r="E62" s="195"/>
      <c r="F62" s="195"/>
      <c r="G62" s="195"/>
      <c r="H62" s="152"/>
      <c r="I62" s="61"/>
      <c r="J62" s="61"/>
      <c r="K62" s="61"/>
      <c r="L62" s="61"/>
      <c r="M62" s="61"/>
    </row>
    <row r="63" spans="1:13" ht="6" customHeight="1" x14ac:dyDescent="0.25">
      <c r="A63" s="119"/>
      <c r="B63" s="119"/>
      <c r="C63" s="119"/>
      <c r="D63" s="119"/>
      <c r="E63" s="119"/>
      <c r="F63" s="119"/>
      <c r="G63" s="119"/>
      <c r="H63" s="119"/>
    </row>
    <row r="64" spans="1:13" x14ac:dyDescent="0.25">
      <c r="A64" s="119"/>
      <c r="B64" s="196" t="s">
        <v>17</v>
      </c>
      <c r="C64" s="197" t="s">
        <v>18</v>
      </c>
      <c r="D64" s="197"/>
      <c r="E64" s="197"/>
      <c r="F64" s="197"/>
      <c r="G64" s="197"/>
      <c r="H64" s="119"/>
    </row>
    <row r="65" spans="1:21" x14ac:dyDescent="0.25">
      <c r="A65" s="119"/>
      <c r="B65" s="196"/>
      <c r="C65" s="116">
        <v>0</v>
      </c>
      <c r="D65" s="116">
        <v>1</v>
      </c>
      <c r="E65" s="116">
        <v>2</v>
      </c>
      <c r="F65" s="116">
        <v>3</v>
      </c>
      <c r="G65" s="116">
        <v>4</v>
      </c>
      <c r="H65" s="119"/>
    </row>
    <row r="66" spans="1:21" x14ac:dyDescent="0.25">
      <c r="A66" s="119"/>
      <c r="B66" s="153" t="str">
        <f t="shared" ref="B66" si="5">B58</f>
        <v>FCE Con Equipos Nuevos</v>
      </c>
      <c r="C66" s="154">
        <f>C52</f>
        <v>-180600</v>
      </c>
      <c r="D66" s="155">
        <f>D58</f>
        <v>32207.755339805823</v>
      </c>
      <c r="E66" s="155">
        <f>E58</f>
        <v>30686.546931850316</v>
      </c>
      <c r="F66" s="155">
        <f>F58</f>
        <v>30665.956244514877</v>
      </c>
      <c r="G66" s="155">
        <f>G58</f>
        <v>197645.96528593678</v>
      </c>
      <c r="H66" s="119"/>
    </row>
    <row r="67" spans="1:21" x14ac:dyDescent="0.25">
      <c r="A67" s="119"/>
      <c r="B67" s="49" t="s">
        <v>46</v>
      </c>
      <c r="C67" s="156"/>
      <c r="D67" s="156"/>
      <c r="E67" s="156"/>
      <c r="F67" s="156"/>
      <c r="G67" s="156"/>
      <c r="H67" s="119"/>
    </row>
    <row r="68" spans="1:21" x14ac:dyDescent="0.25">
      <c r="A68" s="119"/>
      <c r="B68" s="140" t="s">
        <v>47</v>
      </c>
      <c r="C68" s="146">
        <f>J26</f>
        <v>5000</v>
      </c>
      <c r="D68" s="157"/>
      <c r="E68" s="157"/>
      <c r="F68" s="157"/>
      <c r="G68" s="157"/>
      <c r="H68" s="119"/>
    </row>
    <row r="69" spans="1:21" x14ac:dyDescent="0.25">
      <c r="A69" s="119"/>
      <c r="B69" s="140" t="s">
        <v>48</v>
      </c>
      <c r="C69" s="157"/>
      <c r="D69" s="147">
        <f>$K$36</f>
        <v>1250</v>
      </c>
      <c r="E69" s="147">
        <f t="shared" ref="E69:G69" si="6">$K$36</f>
        <v>1250</v>
      </c>
      <c r="F69" s="147">
        <f t="shared" si="6"/>
        <v>1250</v>
      </c>
      <c r="G69" s="147">
        <f t="shared" si="6"/>
        <v>1250</v>
      </c>
      <c r="H69" s="119"/>
    </row>
    <row r="70" spans="1:21" x14ac:dyDescent="0.25">
      <c r="A70" s="119"/>
      <c r="B70" s="140" t="s">
        <v>49</v>
      </c>
      <c r="C70" s="157"/>
      <c r="D70" s="158">
        <f>L36</f>
        <v>825.24271844660154</v>
      </c>
      <c r="E70" s="158">
        <f>L37</f>
        <v>618.93203883495119</v>
      </c>
      <c r="F70" s="157">
        <f>L38</f>
        <v>412.62135922330077</v>
      </c>
      <c r="G70" s="157">
        <f>L39</f>
        <v>206.31067961165039</v>
      </c>
      <c r="H70" s="119"/>
    </row>
    <row r="71" spans="1:21" x14ac:dyDescent="0.25">
      <c r="A71" s="119"/>
      <c r="B71" s="140" t="s">
        <v>50</v>
      </c>
      <c r="C71" s="157"/>
      <c r="D71" s="158">
        <f>+D70*0.3</f>
        <v>247.57281553398045</v>
      </c>
      <c r="E71" s="158">
        <f>+E70*0.3</f>
        <v>185.67961165048536</v>
      </c>
      <c r="F71" s="158">
        <f>+F70*0.3</f>
        <v>123.78640776699022</v>
      </c>
      <c r="G71" s="158">
        <f>+G70*0.3</f>
        <v>61.893203883495111</v>
      </c>
      <c r="H71" s="119"/>
    </row>
    <row r="72" spans="1:21" x14ac:dyDescent="0.25">
      <c r="A72" s="119"/>
      <c r="B72" s="50" t="s">
        <v>51</v>
      </c>
      <c r="C72" s="159">
        <f>+C68-C69-C70+C71</f>
        <v>5000</v>
      </c>
      <c r="D72" s="159">
        <f>+D68-D69-D70+D71</f>
        <v>-1827.669902912621</v>
      </c>
      <c r="E72" s="159">
        <f>+E68-E69-E70+E71</f>
        <v>-1683.2524271844657</v>
      </c>
      <c r="F72" s="159">
        <f>+F68-F69-F70+F71</f>
        <v>-1538.8349514563106</v>
      </c>
      <c r="G72" s="159">
        <f>+G68-G69-G70+G71</f>
        <v>-1394.4174757281553</v>
      </c>
      <c r="H72" s="119"/>
    </row>
    <row r="73" spans="1:21" x14ac:dyDescent="0.25">
      <c r="A73" s="119"/>
      <c r="B73" s="116" t="s">
        <v>73</v>
      </c>
      <c r="C73" s="160">
        <f>C66+C72</f>
        <v>-175600</v>
      </c>
      <c r="D73" s="160">
        <f>D66+D72</f>
        <v>30380.085436893201</v>
      </c>
      <c r="E73" s="160">
        <f>E66+E72</f>
        <v>29003.29450466585</v>
      </c>
      <c r="F73" s="160">
        <f>F66+F72</f>
        <v>29127.121293058568</v>
      </c>
      <c r="G73" s="160">
        <f>G66+G72</f>
        <v>196251.54781020863</v>
      </c>
      <c r="H73" s="119"/>
      <c r="I73" s="60"/>
    </row>
    <row r="74" spans="1:21" x14ac:dyDescent="0.25">
      <c r="A74" s="119"/>
      <c r="B74" s="119"/>
      <c r="C74" s="119"/>
      <c r="D74" s="119"/>
      <c r="E74" s="119"/>
      <c r="F74" s="119"/>
      <c r="G74" s="119"/>
      <c r="H74" s="119"/>
      <c r="I74" s="60"/>
    </row>
    <row r="75" spans="1:21" x14ac:dyDescent="0.25">
      <c r="A75" s="119"/>
      <c r="B75" s="119"/>
      <c r="C75" s="119"/>
      <c r="D75" s="119"/>
      <c r="E75" s="119"/>
      <c r="F75" s="119"/>
      <c r="G75" s="119"/>
      <c r="H75" s="119"/>
    </row>
    <row r="76" spans="1:21" x14ac:dyDescent="0.25">
      <c r="A76" s="119"/>
      <c r="B76" s="215" t="s">
        <v>97</v>
      </c>
      <c r="C76" s="215"/>
      <c r="D76" s="215"/>
      <c r="E76" s="119"/>
      <c r="F76" s="119"/>
      <c r="G76" s="119"/>
      <c r="H76" s="119"/>
    </row>
    <row r="77" spans="1:21" x14ac:dyDescent="0.25">
      <c r="A77" s="119"/>
      <c r="B77" s="126"/>
      <c r="C77" s="119"/>
      <c r="D77" s="119"/>
      <c r="E77" s="119"/>
      <c r="F77" s="119"/>
      <c r="G77" s="119"/>
      <c r="H77" s="119"/>
    </row>
    <row r="78" spans="1:21" x14ac:dyDescent="0.25">
      <c r="A78" s="119"/>
      <c r="B78" s="126" t="s">
        <v>112</v>
      </c>
      <c r="C78" s="161">
        <f>'COSTO DE CAPITAL'!K17</f>
        <v>7.7812678469445951E-2</v>
      </c>
      <c r="D78" s="119"/>
      <c r="E78" s="119"/>
      <c r="F78" s="119"/>
      <c r="G78" s="119"/>
      <c r="H78" s="119"/>
    </row>
    <row r="79" spans="1:21" x14ac:dyDescent="0.25">
      <c r="A79" s="119"/>
      <c r="B79" s="126" t="s">
        <v>113</v>
      </c>
      <c r="C79" s="162">
        <f>'COSTO DE CAPITAL'!M41</f>
        <v>0.16504854368932032</v>
      </c>
      <c r="D79" s="119"/>
      <c r="E79" s="119"/>
      <c r="F79" s="119"/>
      <c r="G79" s="119"/>
      <c r="H79" s="119"/>
    </row>
    <row r="80" spans="1:21" x14ac:dyDescent="0.25">
      <c r="A80" s="119"/>
      <c r="B80" s="119"/>
      <c r="C80" s="119"/>
      <c r="D80" s="119"/>
      <c r="E80" s="119"/>
      <c r="F80" s="119"/>
      <c r="G80" s="119"/>
      <c r="H80" s="162"/>
      <c r="J80" s="216"/>
      <c r="K80" s="217"/>
      <c r="L80" s="217"/>
      <c r="M80" s="217"/>
      <c r="N80" s="217"/>
      <c r="O80" s="217"/>
      <c r="P80" s="217"/>
      <c r="Q80" s="217"/>
      <c r="R80" s="217"/>
      <c r="S80" s="217"/>
      <c r="T80" s="217"/>
      <c r="U80" s="217"/>
    </row>
    <row r="81" spans="1:21" x14ac:dyDescent="0.25">
      <c r="A81" s="119"/>
      <c r="B81" s="163" t="s">
        <v>63</v>
      </c>
      <c r="C81" s="164">
        <f>+NPV(C78,D60:G60)+C60</f>
        <v>111007.88409156346</v>
      </c>
      <c r="D81" s="119"/>
      <c r="E81" s="119"/>
      <c r="F81" s="119"/>
      <c r="G81" s="119"/>
      <c r="H81" s="162"/>
      <c r="J81" s="216"/>
      <c r="K81" s="217"/>
      <c r="L81" s="217"/>
      <c r="M81" s="217"/>
      <c r="N81" s="217"/>
      <c r="O81" s="217"/>
      <c r="P81" s="217"/>
      <c r="Q81" s="217"/>
      <c r="R81" s="217"/>
      <c r="S81" s="217"/>
      <c r="T81" s="217"/>
      <c r="U81" s="217"/>
    </row>
    <row r="82" spans="1:21" x14ac:dyDescent="0.25">
      <c r="A82" s="119"/>
      <c r="B82" s="119"/>
      <c r="C82" s="119"/>
      <c r="D82" s="119"/>
      <c r="E82" s="119"/>
      <c r="F82" s="119"/>
      <c r="G82" s="119"/>
      <c r="H82" s="162"/>
      <c r="J82" s="216"/>
      <c r="K82" s="217"/>
      <c r="L82" s="217"/>
      <c r="M82" s="217"/>
      <c r="N82" s="217"/>
      <c r="O82" s="217"/>
      <c r="P82" s="217"/>
      <c r="Q82" s="217"/>
      <c r="R82" s="217"/>
      <c r="S82" s="217"/>
      <c r="T82" s="217"/>
      <c r="U82" s="217"/>
    </row>
    <row r="83" spans="1:21" x14ac:dyDescent="0.25">
      <c r="A83" s="119"/>
      <c r="B83" s="163" t="s">
        <v>64</v>
      </c>
      <c r="C83" s="165">
        <f>IRR(C60:G60)</f>
        <v>0.26707377027689305</v>
      </c>
      <c r="D83" s="119"/>
      <c r="E83" s="119"/>
      <c r="F83" s="119"/>
      <c r="G83" s="119"/>
      <c r="H83" s="119"/>
      <c r="J83" s="216"/>
      <c r="K83" s="218"/>
      <c r="L83" s="218"/>
      <c r="M83" s="218"/>
      <c r="N83" s="218"/>
      <c r="O83" s="218"/>
      <c r="P83" s="218"/>
      <c r="Q83" s="218"/>
      <c r="R83" s="218"/>
      <c r="S83" s="218"/>
      <c r="T83" s="218"/>
      <c r="U83" s="218"/>
    </row>
    <row r="84" spans="1:21" x14ac:dyDescent="0.25">
      <c r="A84" s="119"/>
      <c r="B84" s="119"/>
      <c r="C84" s="119"/>
      <c r="D84" s="119"/>
      <c r="E84" s="119"/>
      <c r="F84" s="119"/>
      <c r="G84" s="119"/>
      <c r="H84" s="119"/>
      <c r="J84" s="216"/>
      <c r="K84" s="218"/>
      <c r="L84" s="218"/>
      <c r="M84" s="218"/>
      <c r="N84" s="218"/>
      <c r="O84" s="218"/>
      <c r="P84" s="218"/>
      <c r="Q84" s="218"/>
      <c r="R84" s="218"/>
      <c r="S84" s="218"/>
      <c r="T84" s="218"/>
      <c r="U84" s="218"/>
    </row>
    <row r="85" spans="1:21" x14ac:dyDescent="0.25">
      <c r="A85" s="119"/>
      <c r="B85" s="119"/>
      <c r="C85" s="119"/>
      <c r="D85" s="119"/>
      <c r="E85" s="119"/>
      <c r="F85" s="119"/>
      <c r="G85" s="119"/>
      <c r="H85" s="119"/>
    </row>
    <row r="86" spans="1:21" x14ac:dyDescent="0.25">
      <c r="A86" s="119"/>
      <c r="B86" s="214" t="s">
        <v>101</v>
      </c>
      <c r="C86" s="214"/>
      <c r="D86" s="214"/>
      <c r="E86" s="119"/>
      <c r="F86" s="119"/>
      <c r="G86" s="119"/>
      <c r="H86" s="119"/>
    </row>
    <row r="87" spans="1:21" x14ac:dyDescent="0.25">
      <c r="A87" s="119"/>
      <c r="B87" s="119"/>
      <c r="C87" s="119"/>
      <c r="D87" s="119"/>
      <c r="E87" s="119"/>
      <c r="F87" s="119"/>
      <c r="G87" s="119"/>
      <c r="H87" s="119"/>
    </row>
    <row r="88" spans="1:21" ht="18" customHeight="1" x14ac:dyDescent="0.25">
      <c r="A88" s="119"/>
      <c r="B88" s="126" t="s">
        <v>98</v>
      </c>
      <c r="C88" s="166">
        <f>NPV(C78,D52:G52)+C52</f>
        <v>46648.884602435515</v>
      </c>
      <c r="D88" s="119"/>
      <c r="E88" s="119"/>
      <c r="F88" s="119"/>
      <c r="G88" s="119"/>
      <c r="H88" s="119"/>
    </row>
    <row r="89" spans="1:21" ht="18.75" customHeight="1" x14ac:dyDescent="0.25">
      <c r="A89" s="119"/>
      <c r="B89" s="119" t="s">
        <v>99</v>
      </c>
      <c r="C89" s="174">
        <f>IRR(C52:G52)</f>
        <v>0.15751446579818751</v>
      </c>
      <c r="D89" s="119"/>
      <c r="E89" s="119"/>
      <c r="F89" s="119"/>
      <c r="G89" s="119"/>
      <c r="H89" s="119"/>
    </row>
    <row r="90" spans="1:21" x14ac:dyDescent="0.25">
      <c r="A90" s="119"/>
      <c r="B90" s="119"/>
      <c r="C90" s="119"/>
      <c r="D90" s="119"/>
      <c r="E90" s="119"/>
      <c r="F90" s="119"/>
      <c r="G90" s="119"/>
      <c r="H90" s="119"/>
    </row>
    <row r="91" spans="1:21" x14ac:dyDescent="0.25">
      <c r="A91" s="119"/>
      <c r="B91" s="214" t="s">
        <v>100</v>
      </c>
      <c r="C91" s="214"/>
      <c r="D91" s="214"/>
      <c r="E91" s="119"/>
      <c r="F91" s="119"/>
      <c r="G91" s="119"/>
      <c r="H91" s="119"/>
    </row>
    <row r="92" spans="1:21" x14ac:dyDescent="0.25">
      <c r="A92" s="119"/>
      <c r="B92" s="119"/>
      <c r="C92" s="119"/>
      <c r="D92" s="119"/>
      <c r="E92" s="119"/>
      <c r="F92" s="119"/>
      <c r="H92" s="119"/>
    </row>
    <row r="93" spans="1:21" x14ac:dyDescent="0.25">
      <c r="A93" s="119"/>
      <c r="B93" s="126" t="s">
        <v>102</v>
      </c>
      <c r="C93" s="167">
        <f>C88+C95</f>
        <v>47110.054088474288</v>
      </c>
      <c r="D93" s="119"/>
      <c r="E93" s="119"/>
      <c r="F93" s="119"/>
      <c r="G93" s="119"/>
      <c r="H93" s="119"/>
    </row>
    <row r="94" spans="1:21" x14ac:dyDescent="0.25">
      <c r="A94" s="119"/>
      <c r="B94" s="126"/>
      <c r="C94" s="126"/>
      <c r="D94" s="119"/>
      <c r="E94" s="119"/>
      <c r="F94" s="119"/>
      <c r="G94" s="119"/>
      <c r="H94" s="119"/>
    </row>
    <row r="95" spans="1:21" x14ac:dyDescent="0.25">
      <c r="A95" s="119"/>
      <c r="B95" s="126" t="s">
        <v>103</v>
      </c>
      <c r="C95" s="168">
        <f>NPV(C79,D71:G71)</f>
        <v>461.1694860387729</v>
      </c>
      <c r="D95" s="119"/>
      <c r="E95" s="119"/>
      <c r="F95" s="119"/>
      <c r="G95" s="119"/>
      <c r="H95" s="119"/>
    </row>
    <row r="96" spans="1:21" x14ac:dyDescent="0.25">
      <c r="A96" s="119"/>
      <c r="B96" s="126"/>
      <c r="C96" s="126"/>
      <c r="D96" s="119"/>
      <c r="E96" s="119"/>
      <c r="F96" s="119"/>
      <c r="G96" s="119"/>
      <c r="H96" s="119"/>
    </row>
    <row r="97" spans="1:8" x14ac:dyDescent="0.25">
      <c r="A97" s="119"/>
      <c r="B97" s="126" t="s">
        <v>104</v>
      </c>
      <c r="C97" s="174">
        <f>IRR(C73:G73)</f>
        <v>0.15832916858986223</v>
      </c>
      <c r="D97" s="119"/>
      <c r="E97" s="119"/>
      <c r="F97" s="119"/>
      <c r="G97" s="119"/>
      <c r="H97" s="119"/>
    </row>
    <row r="98" spans="1:8" x14ac:dyDescent="0.25">
      <c r="A98" s="119"/>
      <c r="B98" s="119"/>
      <c r="C98" s="119"/>
      <c r="D98" s="119"/>
      <c r="E98" s="119"/>
      <c r="F98" s="119"/>
      <c r="G98" s="119"/>
      <c r="H98" s="119"/>
    </row>
    <row r="99" spans="1:8" x14ac:dyDescent="0.25">
      <c r="A99" s="119"/>
      <c r="B99" s="119"/>
      <c r="C99" s="119"/>
      <c r="D99" s="119"/>
      <c r="E99" s="119"/>
      <c r="F99" s="119"/>
      <c r="G99" s="119"/>
      <c r="H99" s="119"/>
    </row>
    <row r="100" spans="1:8" x14ac:dyDescent="0.25">
      <c r="A100" s="119"/>
      <c r="B100" s="119"/>
      <c r="C100" s="119"/>
      <c r="D100" s="119"/>
      <c r="E100" s="119"/>
      <c r="F100" s="119"/>
      <c r="G100" s="119"/>
      <c r="H100" s="119"/>
    </row>
    <row r="101" spans="1:8" x14ac:dyDescent="0.25">
      <c r="A101" s="119"/>
      <c r="B101" s="119"/>
      <c r="C101" s="119"/>
      <c r="D101" s="119"/>
      <c r="E101" s="119"/>
      <c r="F101" s="119"/>
      <c r="G101" s="119"/>
      <c r="H101" s="119"/>
    </row>
    <row r="102" spans="1:8" x14ac:dyDescent="0.25">
      <c r="A102" s="119"/>
      <c r="B102" s="119"/>
      <c r="C102" s="119"/>
      <c r="D102" s="119"/>
      <c r="E102" s="119"/>
      <c r="F102" s="119"/>
      <c r="G102" s="119"/>
      <c r="H102" s="119"/>
    </row>
    <row r="103" spans="1:8" x14ac:dyDescent="0.25">
      <c r="A103" s="119"/>
      <c r="B103" s="119"/>
      <c r="C103" s="119"/>
      <c r="D103" s="119"/>
      <c r="E103" s="119"/>
      <c r="F103" s="119"/>
      <c r="G103" s="119"/>
      <c r="H103" s="119"/>
    </row>
    <row r="104" spans="1:8" ht="30.75" customHeight="1" x14ac:dyDescent="0.25">
      <c r="A104" s="119"/>
      <c r="B104" s="119"/>
      <c r="C104" s="119"/>
      <c r="D104" s="119"/>
      <c r="E104" s="119"/>
      <c r="F104" s="119"/>
      <c r="G104" s="119"/>
      <c r="H104" s="119"/>
    </row>
  </sheetData>
  <mergeCells count="28">
    <mergeCell ref="B91:D91"/>
    <mergeCell ref="B76:D76"/>
    <mergeCell ref="J80:J82"/>
    <mergeCell ref="K80:U82"/>
    <mergeCell ref="J83:J84"/>
    <mergeCell ref="K83:U84"/>
    <mergeCell ref="B86:D86"/>
    <mergeCell ref="B5:B6"/>
    <mergeCell ref="C5:D5"/>
    <mergeCell ref="E5:E6"/>
    <mergeCell ref="F5:F6"/>
    <mergeCell ref="I56:M56"/>
    <mergeCell ref="C56:G56"/>
    <mergeCell ref="H56:H57"/>
    <mergeCell ref="K11:Q11"/>
    <mergeCell ref="B35:G35"/>
    <mergeCell ref="B37:B38"/>
    <mergeCell ref="C37:G37"/>
    <mergeCell ref="B33:G33"/>
    <mergeCell ref="B54:G54"/>
    <mergeCell ref="B12:I12"/>
    <mergeCell ref="B62:G62"/>
    <mergeCell ref="B64:B65"/>
    <mergeCell ref="C64:G64"/>
    <mergeCell ref="B56:B57"/>
    <mergeCell ref="B18:G18"/>
    <mergeCell ref="B20:B21"/>
    <mergeCell ref="C20:G20"/>
  </mergeCells>
  <pageMargins left="0.46" right="0.49" top="0.74803149606299213" bottom="0.74803149606299213" header="0.31496062992125984" footer="0.31496062992125984"/>
  <pageSetup paperSize="9" scale="70" orientation="landscape" r:id="rId1"/>
  <rowBreaks count="2" manualBreakCount="2">
    <brk id="33" max="13" man="1"/>
    <brk id="74" max="13" man="1"/>
  </rowBreaks>
  <colBreaks count="1" manualBreakCount="1">
    <brk id="14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Alter Sin Py</vt:lpstr>
      <vt:lpstr>COSTO DE CAPITAL</vt:lpstr>
      <vt:lpstr>Alter Con py</vt:lpstr>
      <vt:lpstr>'Alter Con py'!Área_de_impresión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Pavilion</dc:creator>
  <cp:lastModifiedBy>EDISON ACHALMA</cp:lastModifiedBy>
  <cp:lastPrinted>2013-02-17T12:33:31Z</cp:lastPrinted>
  <dcterms:created xsi:type="dcterms:W3CDTF">2012-10-08T15:21:45Z</dcterms:created>
  <dcterms:modified xsi:type="dcterms:W3CDTF">2021-08-11T20:27:16Z</dcterms:modified>
</cp:coreProperties>
</file>