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4 CASOS DE PROYECTOS EN EMPRESAS EN MARCHA/"/>
    </mc:Choice>
  </mc:AlternateContent>
  <xr:revisionPtr revIDLastSave="0" documentId="8_{4B0C4D85-6B63-4ED0-B20F-AE0C74D649CF}" xr6:coauthVersionLast="47" xr6:coauthVersionMax="47" xr10:uidLastSave="{00000000-0000-0000-0000-000000000000}"/>
  <bookViews>
    <workbookView xWindow="-120" yWindow="-16320" windowWidth="29040" windowHeight="15720" activeTab="1"/>
  </bookViews>
  <sheets>
    <sheet name="Alter Sin Py" sheetId="5" r:id="rId1"/>
    <sheet name="Alter Con py" sheetId="9" r:id="rId2"/>
    <sheet name="costo capital" sheetId="10" r:id="rId3"/>
    <sheet name="Valor Economico" sheetId="11" r:id="rId4"/>
  </sheets>
  <externalReferences>
    <externalReference r:id="rId5"/>
  </externalReferences>
  <definedNames>
    <definedName name="_xlnm.Print_Area" localSheetId="2">'costo capital'!$B$2:$M$52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1" l="1"/>
  <c r="C75" i="11"/>
  <c r="C79" i="11" s="1"/>
  <c r="B73" i="11"/>
  <c r="G64" i="11"/>
  <c r="F64" i="11"/>
  <c r="E64" i="11"/>
  <c r="D64" i="11"/>
  <c r="C64" i="11"/>
  <c r="C54" i="11"/>
  <c r="B53" i="11"/>
  <c r="B52" i="11"/>
  <c r="E51" i="11"/>
  <c r="B51" i="11"/>
  <c r="B50" i="11"/>
  <c r="F49" i="11"/>
  <c r="E49" i="11"/>
  <c r="D49" i="11"/>
  <c r="C45" i="11"/>
  <c r="J41" i="11"/>
  <c r="L41" i="11" s="1"/>
  <c r="D77" i="11" s="1"/>
  <c r="D78" i="11" s="1"/>
  <c r="J37" i="11"/>
  <c r="K42" i="11" s="1"/>
  <c r="J35" i="11"/>
  <c r="E30" i="11"/>
  <c r="D52" i="11" s="1"/>
  <c r="G29" i="11"/>
  <c r="G51" i="11" s="1"/>
  <c r="F29" i="11"/>
  <c r="F51" i="11"/>
  <c r="E29" i="11"/>
  <c r="D29" i="11"/>
  <c r="D51" i="11" s="1"/>
  <c r="C29" i="11"/>
  <c r="C34" i="11"/>
  <c r="C35" i="11" s="1"/>
  <c r="C37" i="11" s="1"/>
  <c r="D28" i="11"/>
  <c r="D31" i="11" s="1"/>
  <c r="G20" i="11"/>
  <c r="D20" i="11"/>
  <c r="C20" i="11"/>
  <c r="I19" i="11"/>
  <c r="E19" i="11"/>
  <c r="E20" i="11" s="1"/>
  <c r="H18" i="11"/>
  <c r="H20" i="11" s="1"/>
  <c r="E18" i="11"/>
  <c r="D49" i="9"/>
  <c r="E49" i="9"/>
  <c r="F49" i="9"/>
  <c r="D32" i="5"/>
  <c r="D37" i="5" s="1"/>
  <c r="D38" i="5" s="1"/>
  <c r="D20" i="9"/>
  <c r="G20" i="9"/>
  <c r="C20" i="9"/>
  <c r="I19" i="9"/>
  <c r="E19" i="9"/>
  <c r="F19" i="9" s="1"/>
  <c r="D29" i="9"/>
  <c r="D28" i="9"/>
  <c r="D50" i="9" s="1"/>
  <c r="D17" i="5"/>
  <c r="D15" i="5"/>
  <c r="E33" i="5" s="1"/>
  <c r="D14" i="5"/>
  <c r="D16" i="5"/>
  <c r="E34" i="5" s="1"/>
  <c r="C45" i="9"/>
  <c r="R14" i="10"/>
  <c r="R15" i="10" s="1"/>
  <c r="R16" i="10" s="1"/>
  <c r="S15" i="10" s="1"/>
  <c r="E31" i="9"/>
  <c r="D53" i="9" s="1"/>
  <c r="O10" i="10"/>
  <c r="B73" i="9"/>
  <c r="H18" i="9"/>
  <c r="H20" i="9" s="1"/>
  <c r="J37" i="9"/>
  <c r="K42" i="9"/>
  <c r="E29" i="9"/>
  <c r="E51" i="9"/>
  <c r="F29" i="9"/>
  <c r="F51" i="9"/>
  <c r="G29" i="9"/>
  <c r="G51" i="9"/>
  <c r="E15" i="5"/>
  <c r="F33" i="5" s="1"/>
  <c r="F15" i="5"/>
  <c r="G33" i="5"/>
  <c r="G15" i="5"/>
  <c r="H33" i="5" s="1"/>
  <c r="K26" i="10"/>
  <c r="K24" i="10"/>
  <c r="G79" i="9"/>
  <c r="C75" i="9"/>
  <c r="C79" i="9"/>
  <c r="J41" i="9"/>
  <c r="N41" i="9" s="1"/>
  <c r="J42" i="9" s="1"/>
  <c r="G64" i="9"/>
  <c r="F64" i="9"/>
  <c r="E64" i="9"/>
  <c r="D64" i="9"/>
  <c r="C64" i="9"/>
  <c r="B52" i="9"/>
  <c r="B53" i="9"/>
  <c r="B50" i="9"/>
  <c r="B51" i="9"/>
  <c r="J41" i="10"/>
  <c r="M41" i="10"/>
  <c r="H86" i="11" s="1"/>
  <c r="E18" i="9"/>
  <c r="F18" i="9" s="1"/>
  <c r="F20" i="9" s="1"/>
  <c r="C29" i="9"/>
  <c r="C51" i="9"/>
  <c r="D35" i="5"/>
  <c r="J7" i="10"/>
  <c r="K25" i="10" s="1"/>
  <c r="J35" i="9"/>
  <c r="L41" i="9" s="1"/>
  <c r="C54" i="9"/>
  <c r="D51" i="9"/>
  <c r="K41" i="9"/>
  <c r="E76" i="9" s="1"/>
  <c r="G48" i="9"/>
  <c r="G49" i="9" s="1"/>
  <c r="F30" i="9"/>
  <c r="E52" i="9" s="1"/>
  <c r="G30" i="9"/>
  <c r="F52" i="9" s="1"/>
  <c r="G52" i="9" s="1"/>
  <c r="E28" i="9"/>
  <c r="G16" i="5"/>
  <c r="H34" i="5" s="1"/>
  <c r="E29" i="5"/>
  <c r="E30" i="5"/>
  <c r="F16" i="5"/>
  <c r="G34" i="5" s="1"/>
  <c r="E16" i="5"/>
  <c r="F34" i="5" s="1"/>
  <c r="E14" i="5"/>
  <c r="F29" i="5" s="1"/>
  <c r="F30" i="5" s="1"/>
  <c r="D76" i="9"/>
  <c r="F14" i="5"/>
  <c r="F17" i="5" s="1"/>
  <c r="C55" i="9"/>
  <c r="F31" i="9"/>
  <c r="E53" i="9" s="1"/>
  <c r="E35" i="5"/>
  <c r="C34" i="9"/>
  <c r="C35" i="9"/>
  <c r="C37" i="9" s="1"/>
  <c r="K41" i="11"/>
  <c r="D76" i="11" s="1"/>
  <c r="D79" i="11" s="1"/>
  <c r="F18" i="11"/>
  <c r="C51" i="11"/>
  <c r="C55" i="11"/>
  <c r="E28" i="11"/>
  <c r="E50" i="11" s="1"/>
  <c r="F31" i="11"/>
  <c r="E53" i="11" s="1"/>
  <c r="G48" i="11"/>
  <c r="G49" i="11" s="1"/>
  <c r="E31" i="11"/>
  <c r="D53" i="11" s="1"/>
  <c r="E76" i="11"/>
  <c r="F28" i="11"/>
  <c r="F50" i="11"/>
  <c r="D77" i="9" l="1"/>
  <c r="D78" i="9" s="1"/>
  <c r="M41" i="9"/>
  <c r="E34" i="9"/>
  <c r="E35" i="9" s="1"/>
  <c r="L42" i="9"/>
  <c r="N42" i="9"/>
  <c r="C47" i="9"/>
  <c r="C49" i="9" s="1"/>
  <c r="C56" i="9" s="1"/>
  <c r="F35" i="5"/>
  <c r="E32" i="9"/>
  <c r="F32" i="9"/>
  <c r="G32" i="9"/>
  <c r="D32" i="9"/>
  <c r="D34" i="9" s="1"/>
  <c r="D35" i="9" s="1"/>
  <c r="C66" i="11"/>
  <c r="C66" i="9"/>
  <c r="D18" i="5"/>
  <c r="G31" i="11"/>
  <c r="F53" i="11" s="1"/>
  <c r="G53" i="11" s="1"/>
  <c r="F28" i="9"/>
  <c r="E50" i="9"/>
  <c r="H86" i="9"/>
  <c r="J14" i="10"/>
  <c r="D50" i="11"/>
  <c r="F30" i="11"/>
  <c r="E52" i="11" s="1"/>
  <c r="I18" i="11"/>
  <c r="E17" i="5"/>
  <c r="D30" i="9"/>
  <c r="I18" i="9"/>
  <c r="F19" i="11"/>
  <c r="F20" i="11" s="1"/>
  <c r="G30" i="11"/>
  <c r="F52" i="11" s="1"/>
  <c r="N41" i="11"/>
  <c r="J42" i="11" s="1"/>
  <c r="G14" i="5"/>
  <c r="G28" i="11"/>
  <c r="M41" i="11"/>
  <c r="G29" i="5"/>
  <c r="G30" i="5" s="1"/>
  <c r="E30" i="9"/>
  <c r="D52" i="9" s="1"/>
  <c r="G31" i="9"/>
  <c r="F53" i="9" s="1"/>
  <c r="G53" i="9" s="1"/>
  <c r="E20" i="9"/>
  <c r="D30" i="11"/>
  <c r="D31" i="9"/>
  <c r="D36" i="9" l="1"/>
  <c r="D54" i="9" s="1"/>
  <c r="D55" i="9" s="1"/>
  <c r="D56" i="9" s="1"/>
  <c r="D65" i="9" s="1"/>
  <c r="G33" i="11"/>
  <c r="I20" i="11"/>
  <c r="E32" i="11"/>
  <c r="E34" i="11" s="1"/>
  <c r="E35" i="11" s="1"/>
  <c r="D32" i="11"/>
  <c r="D34" i="11" s="1"/>
  <c r="D35" i="11" s="1"/>
  <c r="F32" i="11"/>
  <c r="G32" i="11"/>
  <c r="E20" i="5"/>
  <c r="F20" i="5"/>
  <c r="D20" i="5"/>
  <c r="G20" i="5"/>
  <c r="E18" i="5"/>
  <c r="F18" i="5" s="1"/>
  <c r="G18" i="5" s="1"/>
  <c r="L42" i="11"/>
  <c r="N42" i="11"/>
  <c r="C65" i="9"/>
  <c r="C47" i="11"/>
  <c r="C49" i="11" s="1"/>
  <c r="C56" i="11" s="1"/>
  <c r="G35" i="5"/>
  <c r="D79" i="9"/>
  <c r="G17" i="5"/>
  <c r="H29" i="5"/>
  <c r="H30" i="5" s="1"/>
  <c r="G52" i="11"/>
  <c r="H84" i="11"/>
  <c r="H84" i="9"/>
  <c r="K30" i="10"/>
  <c r="K29" i="10" s="1"/>
  <c r="J17" i="10"/>
  <c r="F34" i="11"/>
  <c r="F35" i="11" s="1"/>
  <c r="E77" i="9"/>
  <c r="M42" i="9"/>
  <c r="E36" i="9"/>
  <c r="E54" i="9" s="1"/>
  <c r="E55" i="9" s="1"/>
  <c r="E56" i="9" s="1"/>
  <c r="I20" i="9"/>
  <c r="G33" i="9"/>
  <c r="F50" i="9"/>
  <c r="G28" i="9"/>
  <c r="F34" i="9"/>
  <c r="F35" i="9" s="1"/>
  <c r="G34" i="11"/>
  <c r="G35" i="11" s="1"/>
  <c r="G50" i="11"/>
  <c r="D36" i="11" l="1"/>
  <c r="D54" i="11" s="1"/>
  <c r="D55" i="11" s="1"/>
  <c r="D56" i="11" s="1"/>
  <c r="D65" i="11" s="1"/>
  <c r="E65" i="9"/>
  <c r="E36" i="11"/>
  <c r="E54" i="11" s="1"/>
  <c r="E55" i="11" s="1"/>
  <c r="E56" i="11" s="1"/>
  <c r="E65" i="11" s="1"/>
  <c r="E37" i="11"/>
  <c r="G22" i="5"/>
  <c r="E37" i="9"/>
  <c r="E21" i="5"/>
  <c r="F36" i="5" s="1"/>
  <c r="F37" i="5" s="1"/>
  <c r="F38" i="5" s="1"/>
  <c r="D22" i="5"/>
  <c r="F21" i="5"/>
  <c r="G36" i="5" s="1"/>
  <c r="G21" i="5"/>
  <c r="H36" i="5" s="1"/>
  <c r="D21" i="5"/>
  <c r="E36" i="5" s="1"/>
  <c r="E37" i="5" s="1"/>
  <c r="E38" i="5" s="1"/>
  <c r="G36" i="11"/>
  <c r="G54" i="11" s="1"/>
  <c r="G55" i="11" s="1"/>
  <c r="G56" i="11" s="1"/>
  <c r="F36" i="9"/>
  <c r="F54" i="9" s="1"/>
  <c r="F55" i="9" s="1"/>
  <c r="F56" i="9" s="1"/>
  <c r="E78" i="9"/>
  <c r="C98" i="9" s="1"/>
  <c r="F36" i="11"/>
  <c r="F54" i="11" s="1"/>
  <c r="F55" i="11" s="1"/>
  <c r="F56" i="11" s="1"/>
  <c r="F65" i="11" s="1"/>
  <c r="F37" i="11"/>
  <c r="C67" i="9"/>
  <c r="C73" i="9"/>
  <c r="D73" i="9"/>
  <c r="D80" i="9" s="1"/>
  <c r="G37" i="5"/>
  <c r="G38" i="5" s="1"/>
  <c r="C65" i="11"/>
  <c r="F22" i="5"/>
  <c r="H35" i="5"/>
  <c r="H37" i="5" s="1"/>
  <c r="H38" i="5" s="1"/>
  <c r="G34" i="9"/>
  <c r="G35" i="9" s="1"/>
  <c r="G50" i="9"/>
  <c r="E77" i="11"/>
  <c r="M42" i="11"/>
  <c r="D37" i="9"/>
  <c r="G66" i="9" l="1"/>
  <c r="G66" i="11"/>
  <c r="D40" i="5"/>
  <c r="G65" i="11"/>
  <c r="C59" i="11"/>
  <c r="F65" i="9"/>
  <c r="F37" i="9"/>
  <c r="E66" i="11"/>
  <c r="E66" i="9"/>
  <c r="E22" i="5"/>
  <c r="G37" i="11"/>
  <c r="C73" i="11"/>
  <c r="C67" i="11"/>
  <c r="E78" i="11"/>
  <c r="C98" i="11" s="1"/>
  <c r="D66" i="9"/>
  <c r="D67" i="9" s="1"/>
  <c r="D66" i="11"/>
  <c r="D43" i="5"/>
  <c r="E73" i="9"/>
  <c r="E67" i="9"/>
  <c r="E73" i="11"/>
  <c r="E67" i="11"/>
  <c r="G36" i="9"/>
  <c r="G54" i="9" s="1"/>
  <c r="G55" i="9" s="1"/>
  <c r="G56" i="9" s="1"/>
  <c r="G37" i="9"/>
  <c r="F73" i="11"/>
  <c r="F80" i="11" s="1"/>
  <c r="F67" i="11"/>
  <c r="D67" i="11"/>
  <c r="D73" i="11"/>
  <c r="D80" i="11" s="1"/>
  <c r="J45" i="10"/>
  <c r="C80" i="9"/>
  <c r="F66" i="9"/>
  <c r="F66" i="11"/>
  <c r="C58" i="11"/>
  <c r="E79" i="9"/>
  <c r="D37" i="11"/>
  <c r="G65" i="9" l="1"/>
  <c r="C58" i="9"/>
  <c r="C59" i="9"/>
  <c r="C87" i="11"/>
  <c r="C85" i="11"/>
  <c r="C80" i="11"/>
  <c r="C94" i="11"/>
  <c r="C101" i="11" s="1"/>
  <c r="E80" i="9"/>
  <c r="G67" i="11"/>
  <c r="G73" i="11"/>
  <c r="G80" i="11" s="1"/>
  <c r="M32" i="10"/>
  <c r="J43" i="10"/>
  <c r="E79" i="11"/>
  <c r="E80" i="11" s="1"/>
  <c r="F67" i="9"/>
  <c r="F73" i="9"/>
  <c r="F80" i="9" s="1"/>
  <c r="C87" i="9" l="1"/>
  <c r="J32" i="10"/>
  <c r="J34" i="10" s="1"/>
  <c r="J36" i="10" s="1"/>
  <c r="K21" i="10"/>
  <c r="G67" i="9"/>
  <c r="C85" i="9" s="1"/>
  <c r="G73" i="9"/>
  <c r="G80" i="9" s="1"/>
  <c r="C103" i="9" s="1"/>
  <c r="J48" i="10"/>
  <c r="J51" i="10" s="1"/>
  <c r="C103" i="11"/>
  <c r="C94" i="9"/>
  <c r="C101" i="9" s="1"/>
</calcChain>
</file>

<file path=xl/comments1.xml><?xml version="1.0" encoding="utf-8"?>
<comments xmlns="http://schemas.openxmlformats.org/spreadsheetml/2006/main">
  <authors>
    <author>Henry</author>
  </authors>
  <commentList>
    <comment ref="K36" authorId="0" shapeId="0">
      <text>
        <r>
          <rPr>
            <sz val="9"/>
            <color indexed="81"/>
            <rFont val="Tahoma"/>
            <family val="2"/>
          </rPr>
          <t xml:space="preserve">Debido a que la tasa de inflación tiene tendencia a la alza (BCRP).
</t>
        </r>
      </text>
    </comment>
  </commentList>
</comments>
</file>

<file path=xl/comments2.xml><?xml version="1.0" encoding="utf-8"?>
<comments xmlns="http://schemas.openxmlformats.org/spreadsheetml/2006/main">
  <authors>
    <author>Henry</author>
  </authors>
  <commentList>
    <comment ref="J5" authorId="0" shapeId="0">
      <text>
        <r>
          <rPr>
            <sz val="9"/>
            <color indexed="81"/>
            <rFont val="Tahoma"/>
            <family val="2"/>
          </rPr>
          <t xml:space="preserve">Media Aritmética de los Rendimientos Anuales de T.BILLS de EE. UU (serie histórica anual 1928 - 2011).
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Promedio de Rendimiento de la Cartera de Mercado  anual (Serie histórica de 03/01/2050 a 03/01/2011), no se tomó en cuenta el año 2012 porque se dispone toda la data para el año 2012.
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Riesgo País promedio del Perú, a partir de la serie histórica de 10 años recientes (08/10/2002 - 08/10/2012). El 2.30% corresponde a 230.23 Puntos Básicos.</t>
        </r>
      </text>
    </comment>
  </commentList>
</comments>
</file>

<file path=xl/comments3.xml><?xml version="1.0" encoding="utf-8"?>
<comments xmlns="http://schemas.openxmlformats.org/spreadsheetml/2006/main">
  <authors>
    <author>Henry</author>
  </authors>
  <commentList>
    <comment ref="K36" authorId="0" shapeId="0">
      <text>
        <r>
          <rPr>
            <sz val="9"/>
            <color indexed="81"/>
            <rFont val="Tahoma"/>
            <family val="2"/>
          </rPr>
          <t xml:space="preserve">Debido a que la tasa de inflación tiene tendencia a la alza (BCRP).
</t>
        </r>
      </text>
    </comment>
  </commentList>
</comments>
</file>

<file path=xl/sharedStrings.xml><?xml version="1.0" encoding="utf-8"?>
<sst xmlns="http://schemas.openxmlformats.org/spreadsheetml/2006/main" count="244" uniqueCount="123">
  <si>
    <t>Nueva</t>
  </si>
  <si>
    <t>Horizonte de evaluacion: 4 años</t>
  </si>
  <si>
    <t>Utilidad Neta</t>
  </si>
  <si>
    <t xml:space="preserve">Cantidad (vasos de jugo) al mes </t>
  </si>
  <si>
    <t xml:space="preserve">Utilidad operativa </t>
  </si>
  <si>
    <t>Utilidad imponible</t>
  </si>
  <si>
    <t>Ingresos</t>
  </si>
  <si>
    <t xml:space="preserve">total de ingresos </t>
  </si>
  <si>
    <t>Egresos</t>
  </si>
  <si>
    <t xml:space="preserve">Flujo de Caja Economico </t>
  </si>
  <si>
    <t>Inversión Inicial</t>
  </si>
  <si>
    <t>Monto</t>
  </si>
  <si>
    <t>Vida util</t>
  </si>
  <si>
    <t>Depreci Anual</t>
  </si>
  <si>
    <t>Valor  Residual</t>
  </si>
  <si>
    <t>Valor Mercado</t>
  </si>
  <si>
    <t>Utilidad</t>
  </si>
  <si>
    <t>tasa de Deprec</t>
  </si>
  <si>
    <t>DESCRIPCIÓN DE CATEGORÍA</t>
  </si>
  <si>
    <t>PERIODO (EN AÑOS)</t>
  </si>
  <si>
    <t xml:space="preserve">(-) Costos de ventas </t>
  </si>
  <si>
    <t xml:space="preserve">(+) Ventas netas en s/. </t>
  </si>
  <si>
    <t>(-) Costos de ventas</t>
  </si>
  <si>
    <t xml:space="preserve">(-) Impuestos </t>
  </si>
  <si>
    <t>Total Egresos</t>
  </si>
  <si>
    <t>DATOS:</t>
  </si>
  <si>
    <t>DEPRECIACIÓN DE ACTIVOS</t>
  </si>
  <si>
    <t>(-) Depreciaciones</t>
  </si>
  <si>
    <t xml:space="preserve">Utilidad venta maquinas </t>
  </si>
  <si>
    <t>1/ Se considera Horizonte de proyeccción de 4 años, ya que el activo fijo (maquinas electrodomestico tiene una vida útil de 4años).</t>
  </si>
  <si>
    <t>PRÉSTAMO</t>
  </si>
  <si>
    <t>Monto del préstamo</t>
  </si>
  <si>
    <t>Tasa Efectiva Anual (TEA)</t>
  </si>
  <si>
    <t>Plazo Devolución</t>
  </si>
  <si>
    <t>Tasa de Interés Real</t>
  </si>
  <si>
    <t>Tasa Inflación Anual</t>
  </si>
  <si>
    <t>Cuota de Capital</t>
  </si>
  <si>
    <t>Periodo</t>
  </si>
  <si>
    <t>Saldo Inicial</t>
  </si>
  <si>
    <t>Interes</t>
  </si>
  <si>
    <t>Principal</t>
  </si>
  <si>
    <t>Saldo Final</t>
  </si>
  <si>
    <t>TABLA DE AMORTIZACIÓN DE LA DEUDA</t>
  </si>
  <si>
    <t>Inversiones y Liquidación</t>
  </si>
  <si>
    <t>Flujo de Inversiones</t>
  </si>
  <si>
    <t>Impuestos (-)</t>
  </si>
  <si>
    <t>Flujo de Caja Operativo</t>
  </si>
  <si>
    <t>Flujo de Caja Económico (FCE)</t>
  </si>
  <si>
    <t>Maquinarias (-)</t>
  </si>
  <si>
    <t>FCE Incremental</t>
  </si>
  <si>
    <t>Financiamiento Neto</t>
  </si>
  <si>
    <t>Préstamos (+)</t>
  </si>
  <si>
    <t>Amortizaciones (-)</t>
  </si>
  <si>
    <t>Intereses (-)</t>
  </si>
  <si>
    <t>Escudo Fiscal por Intereses(+)</t>
  </si>
  <si>
    <t>Flujo Financiamiento Neto</t>
  </si>
  <si>
    <t>EVALUACIÓN:</t>
  </si>
  <si>
    <t>Ru : COSTO DE CAPITAL DESAPALANCADO</t>
  </si>
  <si>
    <t>Nominal</t>
  </si>
  <si>
    <t>Con</t>
  </si>
  <si>
    <t>=</t>
  </si>
  <si>
    <t>WACCA: COSTO PROMEDIO PONDERADO DE CAPITAL</t>
  </si>
  <si>
    <t>Real=</t>
  </si>
  <si>
    <t>EVALUACIÓN POR METODOLOGÍA : APV (VALOR PRESENTE AJUSTADO)</t>
  </si>
  <si>
    <t>TIRF</t>
  </si>
  <si>
    <t>BetaApalancado</t>
  </si>
  <si>
    <t>D/E de USA</t>
  </si>
  <si>
    <t>Beta Desapalancado</t>
  </si>
  <si>
    <t>Rf</t>
  </si>
  <si>
    <t>Rm</t>
  </si>
  <si>
    <t>Rp</t>
  </si>
  <si>
    <t>COK Desapalancado, Ru</t>
  </si>
  <si>
    <t>Ru=COK desapalancado= Rf+BD (Rm-Rf)+Rp</t>
  </si>
  <si>
    <t>Ru</t>
  </si>
  <si>
    <t>% Ru</t>
  </si>
  <si>
    <t>CANTIDADES</t>
  </si>
  <si>
    <t>PRECIO</t>
  </si>
  <si>
    <t>COSTO</t>
  </si>
  <si>
    <t xml:space="preserve">Actual </t>
  </si>
  <si>
    <t>(-) Gastos administrativos (15%)</t>
  </si>
  <si>
    <t>(-) Impuestos (30%)</t>
  </si>
  <si>
    <t xml:space="preserve">intereses </t>
  </si>
  <si>
    <t>(-) Gastos de ventas 6%)</t>
  </si>
  <si>
    <t>Venta de Activo Fijo (+)</t>
  </si>
  <si>
    <t xml:space="preserve">VANE INCREMENTAL </t>
  </si>
  <si>
    <t xml:space="preserve">TIRE INCREMENTAL </t>
  </si>
  <si>
    <t>cuota</t>
  </si>
  <si>
    <t>Información para la Situación Con Proyecto</t>
  </si>
  <si>
    <t>Se obtiene el EGP y FC de la opcion de maquina nueva y local renovado</t>
  </si>
  <si>
    <t xml:space="preserve">FLUJO DE CAJA FINANCIERO   CON EQUIPOS NUEVOS </t>
  </si>
  <si>
    <t>CALCULO DEL VANF Y TIRF</t>
  </si>
  <si>
    <t>DATOS</t>
  </si>
  <si>
    <t>ESTADO DE GANANCIAS Y PERDIDAS CON EQUIPO ACTUAL</t>
  </si>
  <si>
    <t>FLUJO DE CAJA ECONÓMICO  CON EQUIPO ACTUAL</t>
  </si>
  <si>
    <t>VANE =</t>
  </si>
  <si>
    <t>Tasa impositiva</t>
  </si>
  <si>
    <t>Re : COSTO DE CAPITAL REAPALANCADO</t>
  </si>
  <si>
    <t>ESTADO DE GANANCIAS Y PÉRDIDAS  CON EQUIPOS NUEVOS</t>
  </si>
  <si>
    <t>FLUJO DE CAJA ECONÓMICO CON EQUIPOS NUEVOS</t>
  </si>
  <si>
    <t xml:space="preserve">FLUJO DE CAJA ECONOMICO  INCREMENTAL </t>
  </si>
  <si>
    <t>FCE Con Equipos Nuevos</t>
  </si>
  <si>
    <t>FCE Con Equipos Actuales</t>
  </si>
  <si>
    <r>
      <t>Alternativa B:</t>
    </r>
    <r>
      <rPr>
        <sz val="10"/>
        <rFont val="Arial Narrow"/>
        <family val="2"/>
      </rPr>
      <t xml:space="preserve"> Producir con los equipos nuevos </t>
    </r>
  </si>
  <si>
    <t xml:space="preserve">Se obtiene el EGP y FCE de opcion  de seguir con la maquina actual </t>
  </si>
  <si>
    <t>Flujo de Caja Financiero</t>
  </si>
  <si>
    <t>D/E 0.38 DEL PROBLEMA</t>
  </si>
  <si>
    <t>Eucaliptus Globulus Labill.</t>
  </si>
  <si>
    <t>Molle ( Schinus molle)</t>
  </si>
  <si>
    <t>Muña ( Minthotachys Mollis)</t>
  </si>
  <si>
    <t>(-) Gastos de Ventas (8%)</t>
  </si>
  <si>
    <t>MAQUINARIA NUEVA</t>
  </si>
  <si>
    <t>(-) Gastos de ventas (8%)</t>
  </si>
  <si>
    <t>OIL</t>
  </si>
  <si>
    <t>Precio</t>
  </si>
  <si>
    <t>Costo</t>
  </si>
  <si>
    <t>Eucaliptus (Globulus Labill)</t>
  </si>
  <si>
    <t xml:space="preserve">Cantidad (litros) al mes </t>
  </si>
  <si>
    <t>ACONDICONAMIENTO LOCAL</t>
  </si>
  <si>
    <t>TOTAL</t>
  </si>
  <si>
    <t>Capital de trabajo</t>
  </si>
  <si>
    <t>Capital de trabajo(-)</t>
  </si>
  <si>
    <t>Acondicionamiento de local (-)</t>
  </si>
  <si>
    <t>TIRE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</si>
</sst>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5" formatCode="&quot;S/.&quot;\ #,##0;[Red]&quot;S/.&quot;\ \-#,##0"/>
    <numFmt numFmtId="167" formatCode="&quot;S/.&quot;\ #,##0.00;[Red]&quot;S/.&quot;\ \-#,##0.00"/>
    <numFmt numFmtId="171" formatCode="_ * #,##0.00_ ;_ * \-#,##0.00_ ;_ * &quot;-&quot;??_ ;_ @_ "/>
    <numFmt numFmtId="175" formatCode="_(* #,##0_);_(* \(#,##0\);_(* &quot;-&quot;??_);_(@_)"/>
    <numFmt numFmtId="176" formatCode="0.0"/>
    <numFmt numFmtId="188" formatCode="_ * #,##0.0_ ;_ * \-#,##0.0_ ;_ * &quot;-&quot;??_ ;_ @_ "/>
    <numFmt numFmtId="189" formatCode="_ * #,##0.0000_ ;_ * \-#,##0.0000_ ;_ * &quot;-&quot;??_ ;_ @_ "/>
    <numFmt numFmtId="190" formatCode="#,##0.0"/>
    <numFmt numFmtId="194" formatCode="0.00000"/>
    <numFmt numFmtId="195" formatCode="0.0000"/>
    <numFmt numFmtId="208" formatCode="_ * #,##0_ ;_ * \-#,##0_ ;_ * &quot;-&quot;??_ ;_ @_ "/>
    <numFmt numFmtId="209" formatCode="&quot;S/.&quot;\ #,##0_);[Red]\(&quot;S/.&quot;\ #,##0\)"/>
    <numFmt numFmtId="217" formatCode="#,##0_ ;[Red]\-#,##0\ 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9"/>
      <name val="Arial Narrow"/>
      <family val="2"/>
    </font>
    <font>
      <sz val="9.5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270">
        <stop position="0">
          <color theme="0" tint="0.80001220740379042"/>
        </stop>
        <stop position="1">
          <color theme="6" tint="0.40000610370189521"/>
        </stop>
      </gradientFill>
    </fill>
    <fill>
      <gradientFill degree="90">
        <stop position="0">
          <color theme="0" tint="0.80001220740379042"/>
        </stop>
        <stop position="1">
          <color theme="6" tint="0.4000061037018952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6" fillId="0" borderId="0" applyNumberFormat="0" applyFill="0" applyBorder="0" applyAlignment="0" applyProtection="0"/>
    <xf numFmtId="171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3" fillId="0" borderId="0" applyFont="0" applyFill="0" applyBorder="0" applyAlignment="0" applyProtection="0"/>
  </cellStyleXfs>
  <cellXfs count="215">
    <xf numFmtId="0" fontId="0" fillId="0" borderId="0" xfId="0"/>
    <xf numFmtId="0" fontId="18" fillId="0" borderId="0" xfId="0" applyFont="1"/>
    <xf numFmtId="0" fontId="2" fillId="0" borderId="0" xfId="4" applyFont="1"/>
    <xf numFmtId="0" fontId="3" fillId="0" borderId="0" xfId="4" applyFont="1"/>
    <xf numFmtId="175" fontId="3" fillId="0" borderId="1" xfId="3" applyNumberFormat="1" applyFont="1" applyBorder="1"/>
    <xf numFmtId="0" fontId="3" fillId="0" borderId="0" xfId="4" applyFont="1" applyFill="1" applyBorder="1"/>
    <xf numFmtId="0" fontId="3" fillId="0" borderId="1" xfId="4" applyFont="1" applyBorder="1"/>
    <xf numFmtId="175" fontId="3" fillId="0" borderId="1" xfId="4" applyNumberFormat="1" applyFont="1" applyBorder="1"/>
    <xf numFmtId="0" fontId="2" fillId="0" borderId="1" xfId="4" applyFont="1" applyBorder="1"/>
    <xf numFmtId="0" fontId="17" fillId="0" borderId="0" xfId="0" applyFont="1"/>
    <xf numFmtId="2" fontId="0" fillId="0" borderId="0" xfId="0" applyNumberFormat="1"/>
    <xf numFmtId="171" fontId="18" fillId="0" borderId="0" xfId="0" applyNumberFormat="1" applyFont="1"/>
    <xf numFmtId="0" fontId="18" fillId="0" borderId="0" xfId="0" applyFont="1" applyFill="1" applyBorder="1"/>
    <xf numFmtId="175" fontId="3" fillId="0" borderId="0" xfId="4" applyNumberFormat="1" applyFont="1" applyFill="1" applyBorder="1"/>
    <xf numFmtId="0" fontId="0" fillId="0" borderId="0" xfId="0" applyFill="1" applyBorder="1"/>
    <xf numFmtId="0" fontId="4" fillId="0" borderId="0" xfId="4" applyFont="1" applyFill="1" applyBorder="1" applyAlignment="1">
      <alignment horizontal="center"/>
    </xf>
    <xf numFmtId="0" fontId="2" fillId="0" borderId="0" xfId="4" applyFont="1" applyFill="1" applyBorder="1" applyAlignment="1">
      <alignment horizontal="center"/>
    </xf>
    <xf numFmtId="171" fontId="2" fillId="0" borderId="0" xfId="4" applyNumberFormat="1" applyFont="1" applyFill="1" applyBorder="1"/>
    <xf numFmtId="0" fontId="0" fillId="0" borderId="0" xfId="0" applyFill="1"/>
    <xf numFmtId="9" fontId="0" fillId="0" borderId="0" xfId="0" applyNumberFormat="1"/>
    <xf numFmtId="1" fontId="19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20" fillId="0" borderId="0" xfId="0" applyFont="1"/>
    <xf numFmtId="0" fontId="0" fillId="0" borderId="0" xfId="0" applyBorder="1"/>
    <xf numFmtId="0" fontId="3" fillId="0" borderId="1" xfId="4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4" fillId="0" borderId="0" xfId="0" applyFont="1" applyFill="1" applyAlignment="1"/>
    <xf numFmtId="0" fontId="18" fillId="0" borderId="0" xfId="0" applyFont="1" applyFill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208" fontId="3" fillId="0" borderId="1" xfId="4" applyNumberFormat="1" applyFont="1" applyBorder="1"/>
    <xf numFmtId="0" fontId="15" fillId="0" borderId="0" xfId="0" applyFont="1" applyFill="1" applyAlignment="1">
      <alignment wrapText="1"/>
    </xf>
    <xf numFmtId="175" fontId="0" fillId="0" borderId="1" xfId="0" applyNumberFormat="1" applyFill="1" applyBorder="1"/>
    <xf numFmtId="175" fontId="6" fillId="0" borderId="1" xfId="4" applyNumberFormat="1" applyFont="1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175" fontId="4" fillId="0" borderId="1" xfId="4" applyNumberFormat="1" applyFont="1" applyFill="1" applyBorder="1" applyAlignment="1">
      <alignment horizontal="center"/>
    </xf>
    <xf numFmtId="208" fontId="4" fillId="3" borderId="1" xfId="4" applyNumberFormat="1" applyFont="1" applyFill="1" applyBorder="1"/>
    <xf numFmtId="175" fontId="4" fillId="0" borderId="1" xfId="4" applyNumberFormat="1" applyFont="1" applyBorder="1"/>
    <xf numFmtId="0" fontId="23" fillId="2" borderId="2" xfId="0" applyFont="1" applyFill="1" applyBorder="1" applyAlignment="1">
      <alignment horizontal="center"/>
    </xf>
    <xf numFmtId="208" fontId="2" fillId="0" borderId="1" xfId="4" applyNumberFormat="1" applyFont="1" applyBorder="1"/>
    <xf numFmtId="175" fontId="0" fillId="0" borderId="0" xfId="0" applyNumberFormat="1"/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wrapText="1"/>
    </xf>
    <xf numFmtId="0" fontId="2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/>
    </xf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94" fontId="7" fillId="0" borderId="0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71" fontId="7" fillId="0" borderId="0" xfId="2" applyFont="1" applyFill="1" applyBorder="1" applyAlignment="1">
      <alignment horizontal="right"/>
    </xf>
    <xf numFmtId="0" fontId="24" fillId="0" borderId="0" xfId="0" applyFont="1" applyFill="1" applyBorder="1" applyAlignment="1"/>
    <xf numFmtId="3" fontId="25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/>
    <xf numFmtId="171" fontId="25" fillId="0" borderId="0" xfId="2" applyFont="1" applyFill="1" applyBorder="1" applyAlignment="1">
      <alignment horizontal="right"/>
    </xf>
    <xf numFmtId="10" fontId="0" fillId="0" borderId="0" xfId="0" applyNumberFormat="1"/>
    <xf numFmtId="0" fontId="3" fillId="4" borderId="1" xfId="0" applyFont="1" applyFill="1" applyBorder="1"/>
    <xf numFmtId="0" fontId="26" fillId="0" borderId="0" xfId="0" applyFont="1"/>
    <xf numFmtId="0" fontId="27" fillId="0" borderId="0" xfId="0" applyFont="1" applyFill="1" applyBorder="1" applyAlignment="1">
      <alignment horizontal="center"/>
    </xf>
    <xf numFmtId="3" fontId="27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right"/>
    </xf>
    <xf numFmtId="190" fontId="27" fillId="0" borderId="0" xfId="0" applyNumberFormat="1" applyFont="1" applyFill="1" applyBorder="1"/>
    <xf numFmtId="4" fontId="18" fillId="0" borderId="0" xfId="0" applyNumberFormat="1" applyFont="1" applyFill="1" applyBorder="1"/>
    <xf numFmtId="4" fontId="20" fillId="0" borderId="0" xfId="0" applyNumberFormat="1" applyFont="1" applyFill="1" applyBorder="1"/>
    <xf numFmtId="4" fontId="28" fillId="0" borderId="0" xfId="0" applyNumberFormat="1" applyFont="1" applyFill="1" applyBorder="1"/>
    <xf numFmtId="0" fontId="18" fillId="0" borderId="1" xfId="0" applyFont="1" applyBorder="1"/>
    <xf numFmtId="0" fontId="2" fillId="5" borderId="1" xfId="0" applyFont="1" applyFill="1" applyBorder="1"/>
    <xf numFmtId="0" fontId="3" fillId="0" borderId="1" xfId="0" applyFont="1" applyFill="1" applyBorder="1"/>
    <xf numFmtId="0" fontId="2" fillId="2" borderId="1" xfId="0" applyFont="1" applyFill="1" applyBorder="1" applyAlignment="1">
      <alignment horizontal="center"/>
    </xf>
    <xf numFmtId="4" fontId="29" fillId="5" borderId="1" xfId="0" applyNumberFormat="1" applyFont="1" applyFill="1" applyBorder="1"/>
    <xf numFmtId="4" fontId="21" fillId="0" borderId="1" xfId="0" applyNumberFormat="1" applyFont="1" applyFill="1" applyBorder="1"/>
    <xf numFmtId="171" fontId="4" fillId="3" borderId="1" xfId="4" applyNumberFormat="1" applyFont="1" applyFill="1" applyBorder="1"/>
    <xf numFmtId="0" fontId="23" fillId="0" borderId="0" xfId="0" applyFont="1" applyFill="1" applyBorder="1" applyAlignment="1">
      <alignment horizontal="center"/>
    </xf>
    <xf numFmtId="4" fontId="0" fillId="0" borderId="0" xfId="0" applyNumberFormat="1" applyFill="1" applyBorder="1"/>
    <xf numFmtId="208" fontId="3" fillId="0" borderId="1" xfId="0" applyNumberFormat="1" applyFont="1" applyFill="1" applyBorder="1"/>
    <xf numFmtId="188" fontId="4" fillId="3" borderId="1" xfId="4" applyNumberFormat="1" applyFont="1" applyFill="1" applyBorder="1"/>
    <xf numFmtId="0" fontId="17" fillId="5" borderId="1" xfId="0" applyFont="1" applyFill="1" applyBorder="1"/>
    <xf numFmtId="0" fontId="9" fillId="0" borderId="1" xfId="0" applyFont="1" applyFill="1" applyBorder="1"/>
    <xf numFmtId="4" fontId="17" fillId="0" borderId="1" xfId="0" applyNumberFormat="1" applyFont="1" applyBorder="1"/>
    <xf numFmtId="0" fontId="7" fillId="0" borderId="1" xfId="0" applyFont="1" applyFill="1" applyBorder="1"/>
    <xf numFmtId="0" fontId="9" fillId="5" borderId="1" xfId="0" applyFont="1" applyFill="1" applyBorder="1"/>
    <xf numFmtId="190" fontId="29" fillId="0" borderId="1" xfId="0" applyNumberFormat="1" applyFont="1" applyFill="1" applyBorder="1"/>
    <xf numFmtId="190" fontId="30" fillId="5" borderId="1" xfId="0" applyNumberFormat="1" applyFont="1" applyFill="1" applyBorder="1"/>
    <xf numFmtId="190" fontId="0" fillId="0" borderId="1" xfId="0" applyNumberFormat="1" applyBorder="1"/>
    <xf numFmtId="0" fontId="23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0" xfId="0" applyFill="1"/>
    <xf numFmtId="0" fontId="16" fillId="0" borderId="0" xfId="1"/>
    <xf numFmtId="195" fontId="0" fillId="0" borderId="0" xfId="0" applyNumberFormat="1"/>
    <xf numFmtId="0" fontId="17" fillId="5" borderId="0" xfId="0" applyFont="1" applyFill="1"/>
    <xf numFmtId="0" fontId="0" fillId="5" borderId="0" xfId="0" applyFill="1"/>
    <xf numFmtId="10" fontId="0" fillId="8" borderId="0" xfId="0" applyNumberFormat="1" applyFill="1"/>
    <xf numFmtId="10" fontId="13" fillId="8" borderId="0" xfId="5" applyNumberFormat="1" applyFont="1" applyFill="1"/>
    <xf numFmtId="176" fontId="0" fillId="0" borderId="0" xfId="0" applyNumberFormat="1"/>
    <xf numFmtId="3" fontId="0" fillId="0" borderId="0" xfId="0" applyNumberFormat="1"/>
    <xf numFmtId="4" fontId="27" fillId="4" borderId="0" xfId="0" applyNumberFormat="1" applyFont="1" applyFill="1"/>
    <xf numFmtId="3" fontId="27" fillId="0" borderId="0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3" fontId="11" fillId="0" borderId="1" xfId="0" applyNumberFormat="1" applyFont="1" applyFill="1" applyBorder="1"/>
    <xf numFmtId="190" fontId="11" fillId="0" borderId="1" xfId="0" applyNumberFormat="1" applyFont="1" applyFill="1" applyBorder="1"/>
    <xf numFmtId="3" fontId="19" fillId="0" borderId="1" xfId="0" applyNumberFormat="1" applyFont="1" applyFill="1" applyBorder="1"/>
    <xf numFmtId="10" fontId="19" fillId="0" borderId="1" xfId="5" applyNumberFormat="1" applyFont="1" applyFill="1" applyBorder="1"/>
    <xf numFmtId="0" fontId="19" fillId="0" borderId="1" xfId="0" applyFont="1" applyFill="1" applyBorder="1"/>
    <xf numFmtId="10" fontId="19" fillId="0" borderId="1" xfId="5" applyNumberFormat="1" applyFont="1" applyBorder="1"/>
    <xf numFmtId="9" fontId="19" fillId="0" borderId="1" xfId="0" applyNumberFormat="1" applyFont="1" applyBorder="1"/>
    <xf numFmtId="209" fontId="19" fillId="0" borderId="1" xfId="0" applyNumberFormat="1" applyFont="1" applyFill="1" applyBorder="1"/>
    <xf numFmtId="10" fontId="0" fillId="0" borderId="1" xfId="0" applyNumberFormat="1" applyBorder="1"/>
    <xf numFmtId="189" fontId="13" fillId="0" borderId="1" xfId="2" applyNumberFormat="1" applyFon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10" fontId="0" fillId="0" borderId="4" xfId="0" applyNumberFormat="1" applyBorder="1"/>
    <xf numFmtId="0" fontId="0" fillId="0" borderId="3" xfId="0" applyFill="1" applyBorder="1"/>
    <xf numFmtId="10" fontId="0" fillId="0" borderId="4" xfId="0" applyNumberFormat="1" applyFill="1" applyBorder="1"/>
    <xf numFmtId="0" fontId="0" fillId="0" borderId="0" xfId="0" applyFill="1" applyAlignment="1">
      <alignment horizontal="center"/>
    </xf>
    <xf numFmtId="9" fontId="0" fillId="6" borderId="0" xfId="0" applyNumberFormat="1" applyFill="1"/>
    <xf numFmtId="0" fontId="23" fillId="2" borderId="0" xfId="0" applyFont="1" applyFill="1" applyBorder="1" applyAlignment="1">
      <alignment horizontal="center"/>
    </xf>
    <xf numFmtId="175" fontId="3" fillId="0" borderId="0" xfId="4" applyNumberFormat="1" applyFont="1" applyBorder="1"/>
    <xf numFmtId="208" fontId="3" fillId="0" borderId="0" xfId="4" applyNumberFormat="1" applyFont="1" applyBorder="1"/>
    <xf numFmtId="208" fontId="2" fillId="0" borderId="0" xfId="4" applyNumberFormat="1" applyFont="1" applyBorder="1"/>
    <xf numFmtId="0" fontId="3" fillId="0" borderId="0" xfId="4" applyFont="1" applyBorder="1"/>
    <xf numFmtId="208" fontId="4" fillId="3" borderId="0" xfId="4" applyNumberFormat="1" applyFont="1" applyFill="1" applyBorder="1"/>
    <xf numFmtId="0" fontId="23" fillId="2" borderId="5" xfId="0" applyFont="1" applyFill="1" applyBorder="1" applyAlignment="1">
      <alignment horizontal="center"/>
    </xf>
    <xf numFmtId="0" fontId="3" fillId="0" borderId="6" xfId="4" applyFont="1" applyBorder="1"/>
    <xf numFmtId="175" fontId="3" fillId="0" borderId="5" xfId="4" applyNumberFormat="1" applyFont="1" applyBorder="1"/>
    <xf numFmtId="208" fontId="3" fillId="0" borderId="5" xfId="4" applyNumberFormat="1" applyFont="1" applyBorder="1"/>
    <xf numFmtId="208" fontId="2" fillId="0" borderId="5" xfId="4" applyNumberFormat="1" applyFont="1" applyBorder="1"/>
    <xf numFmtId="0" fontId="3" fillId="0" borderId="5" xfId="4" applyFont="1" applyBorder="1"/>
    <xf numFmtId="0" fontId="23" fillId="2" borderId="7" xfId="0" applyFont="1" applyFill="1" applyBorder="1" applyAlignment="1">
      <alignment horizontal="center"/>
    </xf>
    <xf numFmtId="208" fontId="4" fillId="3" borderId="8" xfId="4" applyNumberFormat="1" applyFont="1" applyFill="1" applyBorder="1"/>
    <xf numFmtId="208" fontId="4" fillId="3" borderId="9" xfId="4" applyNumberFormat="1" applyFont="1" applyFill="1" applyBorder="1"/>
    <xf numFmtId="208" fontId="18" fillId="0" borderId="1" xfId="0" applyNumberFormat="1" applyFont="1" applyBorder="1"/>
    <xf numFmtId="0" fontId="3" fillId="0" borderId="0" xfId="4" applyFont="1" applyFill="1" applyBorder="1" applyAlignment="1">
      <alignment horizontal="left" indent="3"/>
    </xf>
    <xf numFmtId="2" fontId="3" fillId="0" borderId="0" xfId="4" applyNumberFormat="1" applyFont="1" applyFill="1" applyBorder="1"/>
    <xf numFmtId="176" fontId="5" fillId="0" borderId="0" xfId="4" applyNumberFormat="1" applyFont="1" applyFill="1" applyBorder="1"/>
    <xf numFmtId="0" fontId="17" fillId="0" borderId="0" xfId="0" applyFont="1" applyFill="1" applyBorder="1"/>
    <xf numFmtId="1" fontId="17" fillId="5" borderId="1" xfId="0" applyNumberFormat="1" applyFont="1" applyFill="1" applyBorder="1"/>
    <xf numFmtId="3" fontId="0" fillId="0" borderId="1" xfId="0" applyNumberFormat="1" applyBorder="1"/>
    <xf numFmtId="217" fontId="0" fillId="0" borderId="0" xfId="0" applyNumberFormat="1"/>
    <xf numFmtId="3" fontId="29" fillId="0" borderId="1" xfId="0" applyNumberFormat="1" applyFont="1" applyFill="1" applyBorder="1"/>
    <xf numFmtId="167" fontId="4" fillId="0" borderId="0" xfId="4" applyNumberFormat="1" applyFont="1" applyFill="1" applyBorder="1" applyAlignment="1">
      <alignment horizontal="center"/>
    </xf>
    <xf numFmtId="10" fontId="0" fillId="0" borderId="0" xfId="0" applyNumberFormat="1" applyFill="1"/>
    <xf numFmtId="0" fontId="2" fillId="9" borderId="1" xfId="0" applyFont="1" applyFill="1" applyBorder="1"/>
    <xf numFmtId="208" fontId="3" fillId="9" borderId="1" xfId="4" applyNumberFormat="1" applyFont="1" applyFill="1" applyBorder="1"/>
    <xf numFmtId="175" fontId="2" fillId="10" borderId="1" xfId="3" applyNumberFormat="1" applyFont="1" applyFill="1" applyBorder="1"/>
    <xf numFmtId="0" fontId="23" fillId="11" borderId="1" xfId="0" applyFont="1" applyFill="1" applyBorder="1" applyAlignment="1">
      <alignment horizontal="center"/>
    </xf>
    <xf numFmtId="0" fontId="4" fillId="11" borderId="1" xfId="4" applyFont="1" applyFill="1" applyBorder="1" applyAlignment="1">
      <alignment horizontal="center"/>
    </xf>
    <xf numFmtId="0" fontId="4" fillId="11" borderId="1" xfId="4" applyFont="1" applyFill="1" applyBorder="1" applyAlignment="1">
      <alignment horizontal="center" wrapText="1"/>
    </xf>
    <xf numFmtId="0" fontId="31" fillId="11" borderId="1" xfId="0" applyFont="1" applyFill="1" applyBorder="1" applyAlignment="1">
      <alignment horizontal="center" wrapText="1"/>
    </xf>
    <xf numFmtId="0" fontId="32" fillId="0" borderId="1" xfId="0" applyFont="1" applyBorder="1" applyAlignment="1">
      <alignment vertical="center" wrapText="1"/>
    </xf>
    <xf numFmtId="0" fontId="23" fillId="2" borderId="2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11" borderId="1" xfId="0" applyFont="1" applyFill="1" applyBorder="1" applyAlignment="1">
      <alignment horizontal="center"/>
    </xf>
    <xf numFmtId="175" fontId="2" fillId="9" borderId="10" xfId="3" applyNumberFormat="1" applyFont="1" applyFill="1" applyBorder="1"/>
    <xf numFmtId="0" fontId="0" fillId="0" borderId="1" xfId="0" applyFont="1" applyBorder="1" applyAlignment="1">
      <alignment horizontal="center" vertical="center" wrapText="1"/>
    </xf>
    <xf numFmtId="0" fontId="2" fillId="0" borderId="6" xfId="4" applyFont="1" applyBorder="1"/>
    <xf numFmtId="0" fontId="2" fillId="0" borderId="1" xfId="4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3" fillId="6" borderId="1" xfId="0" applyFont="1" applyFill="1" applyBorder="1"/>
    <xf numFmtId="188" fontId="12" fillId="12" borderId="1" xfId="4" applyNumberFormat="1" applyFont="1" applyFill="1" applyBorder="1"/>
    <xf numFmtId="10" fontId="17" fillId="13" borderId="1" xfId="0" applyNumberFormat="1" applyFont="1" applyFill="1" applyBorder="1"/>
    <xf numFmtId="165" fontId="0" fillId="0" borderId="0" xfId="0" applyNumberFormat="1"/>
    <xf numFmtId="9" fontId="13" fillId="0" borderId="0" xfId="5" applyFont="1"/>
    <xf numFmtId="0" fontId="23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/>
    </xf>
    <xf numFmtId="0" fontId="23" fillId="2" borderId="15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" fillId="9" borderId="1" xfId="4" applyFont="1" applyFill="1" applyBorder="1" applyAlignment="1">
      <alignment horizontal="center"/>
    </xf>
    <xf numFmtId="0" fontId="2" fillId="9" borderId="10" xfId="4" applyFont="1" applyFill="1" applyBorder="1" applyAlignment="1">
      <alignment horizontal="center" vertical="center"/>
    </xf>
    <xf numFmtId="0" fontId="2" fillId="9" borderId="17" xfId="4" applyFont="1" applyFill="1" applyBorder="1" applyAlignment="1">
      <alignment horizontal="center" vertical="center"/>
    </xf>
    <xf numFmtId="0" fontId="2" fillId="0" borderId="0" xfId="4" applyFont="1" applyAlignment="1">
      <alignment horizontal="left"/>
    </xf>
    <xf numFmtId="0" fontId="20" fillId="9" borderId="1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/>
    </xf>
    <xf numFmtId="0" fontId="23" fillId="2" borderId="12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 vertical="center"/>
    </xf>
    <xf numFmtId="0" fontId="2" fillId="10" borderId="1" xfId="4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/>
    </xf>
    <xf numFmtId="0" fontId="35" fillId="0" borderId="19" xfId="0" applyFont="1" applyBorder="1" applyAlignment="1">
      <alignment horizontal="left" wrapText="1"/>
    </xf>
    <xf numFmtId="0" fontId="0" fillId="6" borderId="0" xfId="0" applyFill="1" applyAlignment="1">
      <alignment horizontal="center"/>
    </xf>
    <xf numFmtId="0" fontId="22" fillId="0" borderId="0" xfId="0" applyFont="1" applyFill="1" applyAlignment="1">
      <alignment horizontal="center"/>
    </xf>
    <xf numFmtId="0" fontId="23" fillId="11" borderId="2" xfId="0" applyFont="1" applyFill="1" applyBorder="1" applyAlignment="1">
      <alignment horizontal="center"/>
    </xf>
    <xf numFmtId="0" fontId="23" fillId="11" borderId="14" xfId="0" applyFont="1" applyFill="1" applyBorder="1" applyAlignment="1">
      <alignment horizontal="center"/>
    </xf>
    <xf numFmtId="0" fontId="23" fillId="11" borderId="15" xfId="0" applyFont="1" applyFill="1" applyBorder="1" applyAlignment="1">
      <alignment horizontal="center"/>
    </xf>
    <xf numFmtId="0" fontId="4" fillId="11" borderId="2" xfId="4" applyFont="1" applyFill="1" applyBorder="1" applyAlignment="1">
      <alignment horizontal="center" vertical="center"/>
    </xf>
    <xf numFmtId="0" fontId="4" fillId="11" borderId="14" xfId="4" applyFont="1" applyFill="1" applyBorder="1" applyAlignment="1">
      <alignment horizontal="center" vertical="center"/>
    </xf>
    <xf numFmtId="0" fontId="4" fillId="11" borderId="15" xfId="4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/>
    </xf>
    <xf numFmtId="0" fontId="34" fillId="14" borderId="18" xfId="0" applyFont="1" applyFill="1" applyBorder="1" applyAlignment="1">
      <alignment horizontal="center"/>
    </xf>
    <xf numFmtId="0" fontId="34" fillId="14" borderId="19" xfId="0" applyFont="1" applyFill="1" applyBorder="1" applyAlignment="1">
      <alignment horizontal="center"/>
    </xf>
    <xf numFmtId="0" fontId="34" fillId="14" borderId="20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Hipervínculo" xfId="1" builtinId="8"/>
    <cellStyle name="Millares" xfId="2" builtinId="3"/>
    <cellStyle name="Millares 2" xfId="3"/>
    <cellStyle name="Normal" xfId="0" builtinId="0"/>
    <cellStyle name="Normal 2" xfId="4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82</xdr:row>
      <xdr:rowOff>171450</xdr:rowOff>
    </xdr:from>
    <xdr:to>
      <xdr:col>6</xdr:col>
      <xdr:colOff>581025</xdr:colOff>
      <xdr:row>84</xdr:row>
      <xdr:rowOff>95250</xdr:rowOff>
    </xdr:to>
    <xdr:pic>
      <xdr:nvPicPr>
        <xdr:cNvPr id="1401" name="8 Imagen">
          <a:extLst>
            <a:ext uri="{FF2B5EF4-FFF2-40B4-BE49-F238E27FC236}">
              <a16:creationId xmlns:a16="http://schemas.microsoft.com/office/drawing/2014/main" id="{46E8293D-8E5F-425B-B018-644D674F6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5925800"/>
          <a:ext cx="9525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84</xdr:row>
      <xdr:rowOff>180975</xdr:rowOff>
    </xdr:from>
    <xdr:to>
      <xdr:col>6</xdr:col>
      <xdr:colOff>514350</xdr:colOff>
      <xdr:row>86</xdr:row>
      <xdr:rowOff>85725</xdr:rowOff>
    </xdr:to>
    <xdr:pic>
      <xdr:nvPicPr>
        <xdr:cNvPr id="1402" name="10 Imagen">
          <a:extLst>
            <a:ext uri="{FF2B5EF4-FFF2-40B4-BE49-F238E27FC236}">
              <a16:creationId xmlns:a16="http://schemas.microsoft.com/office/drawing/2014/main" id="{270EBE99-8A90-490E-8F48-875193805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6316325"/>
          <a:ext cx="847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90</xdr:row>
      <xdr:rowOff>28575</xdr:rowOff>
    </xdr:from>
    <xdr:to>
      <xdr:col>9</xdr:col>
      <xdr:colOff>609600</xdr:colOff>
      <xdr:row>106</xdr:row>
      <xdr:rowOff>123825</xdr:rowOff>
    </xdr:to>
    <xdr:pic>
      <xdr:nvPicPr>
        <xdr:cNvPr id="1403" name="3 Imagen">
          <a:extLst>
            <a:ext uri="{FF2B5EF4-FFF2-40B4-BE49-F238E27FC236}">
              <a16:creationId xmlns:a16="http://schemas.microsoft.com/office/drawing/2014/main" id="{E93A8129-4793-428F-A27B-76FF34137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306925"/>
          <a:ext cx="3771900" cy="3286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91</xdr:row>
      <xdr:rowOff>57150</xdr:rowOff>
    </xdr:from>
    <xdr:to>
      <xdr:col>1</xdr:col>
      <xdr:colOff>1743075</xdr:colOff>
      <xdr:row>94</xdr:row>
      <xdr:rowOff>104775</xdr:rowOff>
    </xdr:to>
    <xdr:pic>
      <xdr:nvPicPr>
        <xdr:cNvPr id="1404" name="4 Imagen">
          <a:extLst>
            <a:ext uri="{FF2B5EF4-FFF2-40B4-BE49-F238E27FC236}">
              <a16:creationId xmlns:a16="http://schemas.microsoft.com/office/drawing/2014/main" id="{A814A5A2-FB4B-43BF-B01E-56292C0A6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7526000"/>
          <a:ext cx="15811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96</xdr:row>
      <xdr:rowOff>66675</xdr:rowOff>
    </xdr:from>
    <xdr:to>
      <xdr:col>1</xdr:col>
      <xdr:colOff>1724025</xdr:colOff>
      <xdr:row>98</xdr:row>
      <xdr:rowOff>114300</xdr:rowOff>
    </xdr:to>
    <xdr:pic>
      <xdr:nvPicPr>
        <xdr:cNvPr id="1405" name="9 Imagen">
          <a:extLst>
            <a:ext uri="{FF2B5EF4-FFF2-40B4-BE49-F238E27FC236}">
              <a16:creationId xmlns:a16="http://schemas.microsoft.com/office/drawing/2014/main" id="{1E17F878-1B4C-4665-9BF3-B52AEAFD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8488025"/>
          <a:ext cx="15906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99</xdr:row>
      <xdr:rowOff>95250</xdr:rowOff>
    </xdr:from>
    <xdr:to>
      <xdr:col>1</xdr:col>
      <xdr:colOff>1647825</xdr:colOff>
      <xdr:row>101</xdr:row>
      <xdr:rowOff>95250</xdr:rowOff>
    </xdr:to>
    <xdr:pic>
      <xdr:nvPicPr>
        <xdr:cNvPr id="1406" name="12 Imagen">
          <a:extLst>
            <a:ext uri="{FF2B5EF4-FFF2-40B4-BE49-F238E27FC236}">
              <a16:creationId xmlns:a16="http://schemas.microsoft.com/office/drawing/2014/main" id="{AC85200F-4C12-4210-B812-7CA124183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278600"/>
          <a:ext cx="13906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12</xdr:row>
      <xdr:rowOff>171450</xdr:rowOff>
    </xdr:from>
    <xdr:to>
      <xdr:col>8</xdr:col>
      <xdr:colOff>942975</xdr:colOff>
      <xdr:row>14</xdr:row>
      <xdr:rowOff>28575</xdr:rowOff>
    </xdr:to>
    <xdr:pic>
      <xdr:nvPicPr>
        <xdr:cNvPr id="5463" name="6 Imagen">
          <a:extLst>
            <a:ext uri="{FF2B5EF4-FFF2-40B4-BE49-F238E27FC236}">
              <a16:creationId xmlns:a16="http://schemas.microsoft.com/office/drawing/2014/main" id="{240438AC-C010-412E-835C-5144B84AE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2457450"/>
          <a:ext cx="466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476250</xdr:colOff>
      <xdr:row>4</xdr:row>
      <xdr:rowOff>0</xdr:rowOff>
    </xdr:from>
    <xdr:to>
      <xdr:col>8</xdr:col>
      <xdr:colOff>933450</xdr:colOff>
      <xdr:row>5</xdr:row>
      <xdr:rowOff>47625</xdr:rowOff>
    </xdr:to>
    <xdr:pic>
      <xdr:nvPicPr>
        <xdr:cNvPr id="5464" name="7 Imagen">
          <a:extLst>
            <a:ext uri="{FF2B5EF4-FFF2-40B4-BE49-F238E27FC236}">
              <a16:creationId xmlns:a16="http://schemas.microsoft.com/office/drawing/2014/main" id="{62A99B99-C3F1-46C4-A924-3EF70D71E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762000"/>
          <a:ext cx="4572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5</xdr:row>
      <xdr:rowOff>142875</xdr:rowOff>
    </xdr:from>
    <xdr:to>
      <xdr:col>8</xdr:col>
      <xdr:colOff>942975</xdr:colOff>
      <xdr:row>7</xdr:row>
      <xdr:rowOff>38100</xdr:rowOff>
    </xdr:to>
    <xdr:pic>
      <xdr:nvPicPr>
        <xdr:cNvPr id="5465" name="8 Imagen">
          <a:extLst>
            <a:ext uri="{FF2B5EF4-FFF2-40B4-BE49-F238E27FC236}">
              <a16:creationId xmlns:a16="http://schemas.microsoft.com/office/drawing/2014/main" id="{FF84F24E-448C-462A-9C6B-EB12AE55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1095375"/>
          <a:ext cx="5715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361950</xdr:colOff>
      <xdr:row>7</xdr:row>
      <xdr:rowOff>180975</xdr:rowOff>
    </xdr:from>
    <xdr:to>
      <xdr:col>9</xdr:col>
      <xdr:colOff>0</xdr:colOff>
      <xdr:row>9</xdr:row>
      <xdr:rowOff>76200</xdr:rowOff>
    </xdr:to>
    <xdr:pic>
      <xdr:nvPicPr>
        <xdr:cNvPr id="5466" name="9 Imagen">
          <a:extLst>
            <a:ext uri="{FF2B5EF4-FFF2-40B4-BE49-F238E27FC236}">
              <a16:creationId xmlns:a16="http://schemas.microsoft.com/office/drawing/2014/main" id="{9D5856B0-3629-47A8-B889-089053EE8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514475"/>
          <a:ext cx="5905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428625</xdr:colOff>
      <xdr:row>9</xdr:row>
      <xdr:rowOff>161925</xdr:rowOff>
    </xdr:from>
    <xdr:to>
      <xdr:col>8</xdr:col>
      <xdr:colOff>923925</xdr:colOff>
      <xdr:row>11</xdr:row>
      <xdr:rowOff>38100</xdr:rowOff>
    </xdr:to>
    <xdr:pic>
      <xdr:nvPicPr>
        <xdr:cNvPr id="5467" name="10 Imagen">
          <a:extLst>
            <a:ext uri="{FF2B5EF4-FFF2-40B4-BE49-F238E27FC236}">
              <a16:creationId xmlns:a16="http://schemas.microsoft.com/office/drawing/2014/main" id="{2D5A0226-87BC-498E-8591-C37379CF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876425"/>
          <a:ext cx="4953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161925</xdr:colOff>
      <xdr:row>15</xdr:row>
      <xdr:rowOff>161925</xdr:rowOff>
    </xdr:from>
    <xdr:to>
      <xdr:col>8</xdr:col>
      <xdr:colOff>904875</xdr:colOff>
      <xdr:row>17</xdr:row>
      <xdr:rowOff>19050</xdr:rowOff>
    </xdr:to>
    <xdr:pic>
      <xdr:nvPicPr>
        <xdr:cNvPr id="5468" name="12 Imagen">
          <a:extLst>
            <a:ext uri="{FF2B5EF4-FFF2-40B4-BE49-F238E27FC236}">
              <a16:creationId xmlns:a16="http://schemas.microsoft.com/office/drawing/2014/main" id="{5F09F154-2536-4F88-89EE-30FEFDBF9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3019425"/>
          <a:ext cx="11239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47625</xdr:colOff>
      <xdr:row>2</xdr:row>
      <xdr:rowOff>171450</xdr:rowOff>
    </xdr:from>
    <xdr:to>
      <xdr:col>4</xdr:col>
      <xdr:colOff>514350</xdr:colOff>
      <xdr:row>24</xdr:row>
      <xdr:rowOff>47625</xdr:rowOff>
    </xdr:to>
    <xdr:pic>
      <xdr:nvPicPr>
        <xdr:cNvPr id="5469" name="13 Imagen">
          <a:extLst>
            <a:ext uri="{FF2B5EF4-FFF2-40B4-BE49-F238E27FC236}">
              <a16:creationId xmlns:a16="http://schemas.microsoft.com/office/drawing/2014/main" id="{98190279-F07C-41CE-A6AE-5BF8F3F6F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52450"/>
          <a:ext cx="2752725" cy="407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26</xdr:row>
      <xdr:rowOff>152400</xdr:rowOff>
    </xdr:from>
    <xdr:to>
      <xdr:col>4</xdr:col>
      <xdr:colOff>723900</xdr:colOff>
      <xdr:row>37</xdr:row>
      <xdr:rowOff>104775</xdr:rowOff>
    </xdr:to>
    <xdr:pic>
      <xdr:nvPicPr>
        <xdr:cNvPr id="5470" name="14 Imagen">
          <a:extLst>
            <a:ext uri="{FF2B5EF4-FFF2-40B4-BE49-F238E27FC236}">
              <a16:creationId xmlns:a16="http://schemas.microsoft.com/office/drawing/2014/main" id="{5C330A75-0DAF-4C96-A1B6-04F07C17B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5114925"/>
          <a:ext cx="2895600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295275</xdr:colOff>
      <xdr:row>30</xdr:row>
      <xdr:rowOff>114300</xdr:rowOff>
    </xdr:from>
    <xdr:to>
      <xdr:col>8</xdr:col>
      <xdr:colOff>762000</xdr:colOff>
      <xdr:row>32</xdr:row>
      <xdr:rowOff>28575</xdr:rowOff>
    </xdr:to>
    <xdr:pic>
      <xdr:nvPicPr>
        <xdr:cNvPr id="5471" name="15 Imagen">
          <a:extLst>
            <a:ext uri="{FF2B5EF4-FFF2-40B4-BE49-F238E27FC236}">
              <a16:creationId xmlns:a16="http://schemas.microsoft.com/office/drawing/2014/main" id="{AA6D44CC-9695-48E8-9456-B2F7CC58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838825"/>
          <a:ext cx="4667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428625</xdr:colOff>
      <xdr:row>30</xdr:row>
      <xdr:rowOff>161925</xdr:rowOff>
    </xdr:from>
    <xdr:to>
      <xdr:col>11</xdr:col>
      <xdr:colOff>581025</xdr:colOff>
      <xdr:row>32</xdr:row>
      <xdr:rowOff>123825</xdr:rowOff>
    </xdr:to>
    <xdr:pic>
      <xdr:nvPicPr>
        <xdr:cNvPr id="5472" name="16 Imagen">
          <a:extLst>
            <a:ext uri="{FF2B5EF4-FFF2-40B4-BE49-F238E27FC236}">
              <a16:creationId xmlns:a16="http://schemas.microsoft.com/office/drawing/2014/main" id="{6DBC2773-B206-46AB-939B-19325C1F9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5886450"/>
          <a:ext cx="1524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361950</xdr:colOff>
      <xdr:row>33</xdr:row>
      <xdr:rowOff>19050</xdr:rowOff>
    </xdr:from>
    <xdr:to>
      <xdr:col>12</xdr:col>
      <xdr:colOff>9525</xdr:colOff>
      <xdr:row>34</xdr:row>
      <xdr:rowOff>38100</xdr:rowOff>
    </xdr:to>
    <xdr:pic>
      <xdr:nvPicPr>
        <xdr:cNvPr id="5473" name="17 Imagen">
          <a:extLst>
            <a:ext uri="{FF2B5EF4-FFF2-40B4-BE49-F238E27FC236}">
              <a16:creationId xmlns:a16="http://schemas.microsoft.com/office/drawing/2014/main" id="{C628873A-844F-43CD-90EF-AA182D2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6315075"/>
          <a:ext cx="4095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32</xdr:row>
      <xdr:rowOff>95250</xdr:rowOff>
    </xdr:from>
    <xdr:to>
      <xdr:col>8</xdr:col>
      <xdr:colOff>762000</xdr:colOff>
      <xdr:row>34</xdr:row>
      <xdr:rowOff>19050</xdr:rowOff>
    </xdr:to>
    <xdr:pic>
      <xdr:nvPicPr>
        <xdr:cNvPr id="5474" name="18 Imagen">
          <a:extLst>
            <a:ext uri="{FF2B5EF4-FFF2-40B4-BE49-F238E27FC236}">
              <a16:creationId xmlns:a16="http://schemas.microsoft.com/office/drawing/2014/main" id="{63975E32-A136-4120-BD1E-385C3C0D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6200775"/>
          <a:ext cx="5143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85725</xdr:colOff>
      <xdr:row>34</xdr:row>
      <xdr:rowOff>152400</xdr:rowOff>
    </xdr:from>
    <xdr:to>
      <xdr:col>9</xdr:col>
      <xdr:colOff>57150</xdr:colOff>
      <xdr:row>36</xdr:row>
      <xdr:rowOff>28575</xdr:rowOff>
    </xdr:to>
    <xdr:pic>
      <xdr:nvPicPr>
        <xdr:cNvPr id="5475" name="19 Imagen">
          <a:extLst>
            <a:ext uri="{FF2B5EF4-FFF2-40B4-BE49-F238E27FC236}">
              <a16:creationId xmlns:a16="http://schemas.microsoft.com/office/drawing/2014/main" id="{184B1FFD-43E8-4271-B54D-ED0F22FE2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6638925"/>
          <a:ext cx="11144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</xdr:colOff>
      <xdr:row>39</xdr:row>
      <xdr:rowOff>133350</xdr:rowOff>
    </xdr:from>
    <xdr:to>
      <xdr:col>4</xdr:col>
      <xdr:colOff>742950</xdr:colOff>
      <xdr:row>48</xdr:row>
      <xdr:rowOff>133350</xdr:rowOff>
    </xdr:to>
    <xdr:pic>
      <xdr:nvPicPr>
        <xdr:cNvPr id="5476" name="21 Imagen">
          <a:extLst>
            <a:ext uri="{FF2B5EF4-FFF2-40B4-BE49-F238E27FC236}">
              <a16:creationId xmlns:a16="http://schemas.microsoft.com/office/drawing/2014/main" id="{4D6E7657-56BE-4C71-8F66-70B77EC9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7572375"/>
          <a:ext cx="293370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266700</xdr:colOff>
      <xdr:row>46</xdr:row>
      <xdr:rowOff>180975</xdr:rowOff>
    </xdr:from>
    <xdr:to>
      <xdr:col>8</xdr:col>
      <xdr:colOff>923925</xdr:colOff>
      <xdr:row>48</xdr:row>
      <xdr:rowOff>104775</xdr:rowOff>
    </xdr:to>
    <xdr:pic>
      <xdr:nvPicPr>
        <xdr:cNvPr id="5477" name="22 Imagen">
          <a:extLst>
            <a:ext uri="{FF2B5EF4-FFF2-40B4-BE49-F238E27FC236}">
              <a16:creationId xmlns:a16="http://schemas.microsoft.com/office/drawing/2014/main" id="{83E8EF78-195F-4300-8C24-67355B046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953500"/>
          <a:ext cx="6572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39</xdr:row>
      <xdr:rowOff>161925</xdr:rowOff>
    </xdr:from>
    <xdr:to>
      <xdr:col>8</xdr:col>
      <xdr:colOff>838200</xdr:colOff>
      <xdr:row>41</xdr:row>
      <xdr:rowOff>66675</xdr:rowOff>
    </xdr:to>
    <xdr:pic>
      <xdr:nvPicPr>
        <xdr:cNvPr id="5478" name="24 Imagen">
          <a:extLst>
            <a:ext uri="{FF2B5EF4-FFF2-40B4-BE49-F238E27FC236}">
              <a16:creationId xmlns:a16="http://schemas.microsoft.com/office/drawing/2014/main" id="{D00CF743-F20D-4A98-B9E3-270580083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600950"/>
          <a:ext cx="6096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495300</xdr:colOff>
      <xdr:row>41</xdr:row>
      <xdr:rowOff>114300</xdr:rowOff>
    </xdr:from>
    <xdr:to>
      <xdr:col>8</xdr:col>
      <xdr:colOff>838200</xdr:colOff>
      <xdr:row>43</xdr:row>
      <xdr:rowOff>133350</xdr:rowOff>
    </xdr:to>
    <xdr:pic>
      <xdr:nvPicPr>
        <xdr:cNvPr id="5479" name="25 Imagen">
          <a:extLst>
            <a:ext uri="{FF2B5EF4-FFF2-40B4-BE49-F238E27FC236}">
              <a16:creationId xmlns:a16="http://schemas.microsoft.com/office/drawing/2014/main" id="{9690550F-52C7-44C8-86A2-6B659B9DF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7934325"/>
          <a:ext cx="342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581025</xdr:colOff>
      <xdr:row>43</xdr:row>
      <xdr:rowOff>95250</xdr:rowOff>
    </xdr:from>
    <xdr:to>
      <xdr:col>8</xdr:col>
      <xdr:colOff>847725</xdr:colOff>
      <xdr:row>45</xdr:row>
      <xdr:rowOff>142875</xdr:rowOff>
    </xdr:to>
    <xdr:pic>
      <xdr:nvPicPr>
        <xdr:cNvPr id="5480" name="26 Imagen">
          <a:extLst>
            <a:ext uri="{FF2B5EF4-FFF2-40B4-BE49-F238E27FC236}">
              <a16:creationId xmlns:a16="http://schemas.microsoft.com/office/drawing/2014/main" id="{6C19EC2B-8EFB-4AC3-B5E2-FCCDD8978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8296275"/>
          <a:ext cx="2667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742950</xdr:colOff>
      <xdr:row>49</xdr:row>
      <xdr:rowOff>133350</xdr:rowOff>
    </xdr:from>
    <xdr:to>
      <xdr:col>8</xdr:col>
      <xdr:colOff>828675</xdr:colOff>
      <xdr:row>51</xdr:row>
      <xdr:rowOff>66675</xdr:rowOff>
    </xdr:to>
    <xdr:pic>
      <xdr:nvPicPr>
        <xdr:cNvPr id="5481" name="27 Imagen">
          <a:extLst>
            <a:ext uri="{FF2B5EF4-FFF2-40B4-BE49-F238E27FC236}">
              <a16:creationId xmlns:a16="http://schemas.microsoft.com/office/drawing/2014/main" id="{2F152BE5-8219-4518-88E0-1BFDBA46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9477375"/>
          <a:ext cx="14192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39</xdr:row>
      <xdr:rowOff>142875</xdr:rowOff>
    </xdr:from>
    <xdr:to>
      <xdr:col>11</xdr:col>
      <xdr:colOff>390525</xdr:colOff>
      <xdr:row>41</xdr:row>
      <xdr:rowOff>0</xdr:rowOff>
    </xdr:to>
    <xdr:pic>
      <xdr:nvPicPr>
        <xdr:cNvPr id="5482" name="28 Imagen">
          <a:extLst>
            <a:ext uri="{FF2B5EF4-FFF2-40B4-BE49-F238E27FC236}">
              <a16:creationId xmlns:a16="http://schemas.microsoft.com/office/drawing/2014/main" id="{EAED8D9F-3DFB-49E9-AA02-14ECF6A66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7581900"/>
          <a:ext cx="2571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82</xdr:row>
      <xdr:rowOff>171450</xdr:rowOff>
    </xdr:from>
    <xdr:to>
      <xdr:col>7</xdr:col>
      <xdr:colOff>114300</xdr:colOff>
      <xdr:row>84</xdr:row>
      <xdr:rowOff>95250</xdr:rowOff>
    </xdr:to>
    <xdr:pic>
      <xdr:nvPicPr>
        <xdr:cNvPr id="6152" name="8 Imagen">
          <a:extLst>
            <a:ext uri="{FF2B5EF4-FFF2-40B4-BE49-F238E27FC236}">
              <a16:creationId xmlns:a16="http://schemas.microsoft.com/office/drawing/2014/main" id="{640E8EF4-A00E-46EF-8973-145F8C894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15925800"/>
          <a:ext cx="11144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266700</xdr:colOff>
      <xdr:row>84</xdr:row>
      <xdr:rowOff>180975</xdr:rowOff>
    </xdr:from>
    <xdr:to>
      <xdr:col>7</xdr:col>
      <xdr:colOff>47625</xdr:colOff>
      <xdr:row>86</xdr:row>
      <xdr:rowOff>85725</xdr:rowOff>
    </xdr:to>
    <xdr:pic>
      <xdr:nvPicPr>
        <xdr:cNvPr id="6153" name="10 Imagen">
          <a:extLst>
            <a:ext uri="{FF2B5EF4-FFF2-40B4-BE49-F238E27FC236}">
              <a16:creationId xmlns:a16="http://schemas.microsoft.com/office/drawing/2014/main" id="{EC323E49-5D9F-4042-8DDD-C553098AD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6316325"/>
          <a:ext cx="10096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400050</xdr:colOff>
      <xdr:row>90</xdr:row>
      <xdr:rowOff>28575</xdr:rowOff>
    </xdr:from>
    <xdr:to>
      <xdr:col>10</xdr:col>
      <xdr:colOff>95250</xdr:colOff>
      <xdr:row>106</xdr:row>
      <xdr:rowOff>123825</xdr:rowOff>
    </xdr:to>
    <xdr:pic>
      <xdr:nvPicPr>
        <xdr:cNvPr id="6154" name="3 Imagen">
          <a:extLst>
            <a:ext uri="{FF2B5EF4-FFF2-40B4-BE49-F238E27FC236}">
              <a16:creationId xmlns:a16="http://schemas.microsoft.com/office/drawing/2014/main" id="{102F900E-E3F2-489F-8ACF-1BAD314AC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306925"/>
          <a:ext cx="4019550" cy="3286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91</xdr:row>
      <xdr:rowOff>57150</xdr:rowOff>
    </xdr:from>
    <xdr:to>
      <xdr:col>1</xdr:col>
      <xdr:colOff>762000</xdr:colOff>
      <xdr:row>94</xdr:row>
      <xdr:rowOff>104775</xdr:rowOff>
    </xdr:to>
    <xdr:pic>
      <xdr:nvPicPr>
        <xdr:cNvPr id="6155" name="4 Imagen">
          <a:extLst>
            <a:ext uri="{FF2B5EF4-FFF2-40B4-BE49-F238E27FC236}">
              <a16:creationId xmlns:a16="http://schemas.microsoft.com/office/drawing/2014/main" id="{8A2CBA42-D634-48EB-AAFE-91448D78D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7526000"/>
          <a:ext cx="600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133350</xdr:colOff>
      <xdr:row>96</xdr:row>
      <xdr:rowOff>66675</xdr:rowOff>
    </xdr:from>
    <xdr:to>
      <xdr:col>1</xdr:col>
      <xdr:colOff>762000</xdr:colOff>
      <xdr:row>98</xdr:row>
      <xdr:rowOff>114300</xdr:rowOff>
    </xdr:to>
    <xdr:pic>
      <xdr:nvPicPr>
        <xdr:cNvPr id="6156" name="9 Imagen">
          <a:extLst>
            <a:ext uri="{FF2B5EF4-FFF2-40B4-BE49-F238E27FC236}">
              <a16:creationId xmlns:a16="http://schemas.microsoft.com/office/drawing/2014/main" id="{E1060F32-11E2-4DCC-93D3-7A99461F7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8488025"/>
          <a:ext cx="6286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257175</xdr:colOff>
      <xdr:row>99</xdr:row>
      <xdr:rowOff>95250</xdr:rowOff>
    </xdr:from>
    <xdr:to>
      <xdr:col>1</xdr:col>
      <xdr:colOff>762000</xdr:colOff>
      <xdr:row>101</xdr:row>
      <xdr:rowOff>95250</xdr:rowOff>
    </xdr:to>
    <xdr:pic>
      <xdr:nvPicPr>
        <xdr:cNvPr id="6157" name="12 Imagen">
          <a:extLst>
            <a:ext uri="{FF2B5EF4-FFF2-40B4-BE49-F238E27FC236}">
              <a16:creationId xmlns:a16="http://schemas.microsoft.com/office/drawing/2014/main" id="{63483308-B27F-44CB-B0DF-D6A09DF14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19278600"/>
          <a:ext cx="5048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ARTIX/Desktop/trabajo%20para%20proyectos/del%20profe/Copia%20de%20_EVALUACI&#211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"/>
      <sheetName val="Betas"/>
      <sheetName val="Rm"/>
      <sheetName val="ALTER A - SIN PY"/>
      <sheetName val="Costo de Capital"/>
      <sheetName val="ALTER B - CON PY_EVALUACION"/>
    </sheetNames>
    <sheetDataSet>
      <sheetData sheetId="0" refreshError="1"/>
      <sheetData sheetId="1"/>
      <sheetData sheetId="2">
        <row r="23">
          <cell r="M23">
            <v>7.5222447123215477E-2</v>
          </cell>
        </row>
      </sheetData>
      <sheetData sheetId="3" refreshError="1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topLeftCell="B10" workbookViewId="0">
      <selection activeCell="D32" sqref="D32"/>
    </sheetView>
  </sheetViews>
  <sheetFormatPr baseColWidth="10" defaultRowHeight="15" x14ac:dyDescent="0.25"/>
  <cols>
    <col min="2" max="2" width="11.42578125" customWidth="1"/>
    <col min="3" max="3" width="26.7109375" customWidth="1"/>
    <col min="4" max="4" width="10.28515625" customWidth="1"/>
    <col min="5" max="5" width="9" customWidth="1"/>
    <col min="6" max="6" width="7.5703125" customWidth="1"/>
    <col min="7" max="7" width="8" customWidth="1"/>
    <col min="8" max="8" width="8.42578125" customWidth="1"/>
    <col min="9" max="9" width="8" customWidth="1"/>
    <col min="10" max="10" width="8.5703125" customWidth="1"/>
  </cols>
  <sheetData>
    <row r="1" spans="2:14" x14ac:dyDescent="0.25">
      <c r="C1" s="9" t="s">
        <v>91</v>
      </c>
    </row>
    <row r="2" spans="2:14" ht="16.5" x14ac:dyDescent="0.3">
      <c r="B2" s="1"/>
      <c r="C2" s="182" t="s">
        <v>3</v>
      </c>
      <c r="D2" s="181" t="s">
        <v>75</v>
      </c>
      <c r="E2" s="181"/>
      <c r="F2" s="185" t="s">
        <v>113</v>
      </c>
      <c r="G2" s="185" t="s">
        <v>114</v>
      </c>
      <c r="H2" s="1"/>
      <c r="I2" s="9"/>
    </row>
    <row r="3" spans="2:14" ht="16.5" x14ac:dyDescent="0.3">
      <c r="B3" s="1"/>
      <c r="C3" s="183"/>
      <c r="D3" s="160" t="s">
        <v>78</v>
      </c>
      <c r="E3" s="160" t="s">
        <v>0</v>
      </c>
      <c r="F3" s="186"/>
      <c r="G3" s="186"/>
      <c r="H3" s="1"/>
      <c r="I3" s="9"/>
    </row>
    <row r="4" spans="2:14" ht="16.5" x14ac:dyDescent="0.3">
      <c r="B4" s="1"/>
      <c r="C4" s="154" t="s">
        <v>115</v>
      </c>
      <c r="D4" s="161">
        <v>100</v>
      </c>
      <c r="E4" s="161">
        <v>450</v>
      </c>
      <c r="F4" s="161">
        <v>60</v>
      </c>
      <c r="G4" s="161">
        <v>40</v>
      </c>
      <c r="H4" s="1"/>
      <c r="I4" s="9"/>
    </row>
    <row r="5" spans="2:14" ht="16.5" x14ac:dyDescent="0.3">
      <c r="B5" s="1"/>
      <c r="C5" s="154" t="s">
        <v>107</v>
      </c>
      <c r="D5" s="161">
        <v>50</v>
      </c>
      <c r="E5" s="161">
        <v>250</v>
      </c>
      <c r="F5" s="161">
        <v>350</v>
      </c>
      <c r="G5" s="161">
        <v>280</v>
      </c>
      <c r="H5" s="1"/>
      <c r="I5" s="9"/>
      <c r="J5" s="21"/>
    </row>
    <row r="6" spans="2:14" ht="16.5" x14ac:dyDescent="0.3">
      <c r="B6" s="1"/>
      <c r="C6" s="154" t="s">
        <v>108</v>
      </c>
      <c r="D6" s="161">
        <v>50</v>
      </c>
      <c r="E6" s="161">
        <v>250</v>
      </c>
      <c r="F6" s="161">
        <v>480</v>
      </c>
      <c r="G6" s="161">
        <v>280</v>
      </c>
      <c r="H6" s="1"/>
      <c r="I6" s="9"/>
    </row>
    <row r="7" spans="2:14" ht="16.5" x14ac:dyDescent="0.3">
      <c r="B7" s="1"/>
      <c r="C7" s="3" t="s">
        <v>1</v>
      </c>
      <c r="D7" s="3"/>
      <c r="E7" s="3"/>
      <c r="F7" s="1"/>
      <c r="G7" s="1"/>
      <c r="H7" s="1"/>
      <c r="I7" s="1"/>
      <c r="J7" s="1"/>
      <c r="K7" s="1"/>
    </row>
    <row r="8" spans="2:14" ht="16.5" x14ac:dyDescent="0.3">
      <c r="B8" s="1"/>
      <c r="C8" s="184" t="s">
        <v>103</v>
      </c>
      <c r="D8" s="184"/>
      <c r="E8" s="184"/>
      <c r="F8" s="184"/>
      <c r="G8" s="184"/>
      <c r="H8" s="184"/>
      <c r="I8" s="1"/>
      <c r="J8" s="1"/>
      <c r="K8" s="1"/>
    </row>
    <row r="9" spans="2:14" ht="12.75" customHeight="1" x14ac:dyDescent="0.3">
      <c r="B9" s="1"/>
      <c r="C9" s="2"/>
      <c r="D9" s="2"/>
      <c r="E9" s="2"/>
      <c r="F9" s="3"/>
      <c r="G9" s="3"/>
      <c r="H9" s="3"/>
      <c r="I9" s="1"/>
      <c r="J9" s="1"/>
      <c r="K9" s="1"/>
    </row>
    <row r="10" spans="2:14" ht="16.5" x14ac:dyDescent="0.3">
      <c r="B10" s="1"/>
      <c r="C10" s="190" t="s">
        <v>92</v>
      </c>
      <c r="D10" s="190"/>
      <c r="E10" s="190"/>
      <c r="F10" s="190"/>
      <c r="G10" s="190"/>
      <c r="H10" s="190"/>
      <c r="I10" s="29"/>
      <c r="J10" s="29"/>
      <c r="K10" s="29"/>
      <c r="L10" s="26"/>
      <c r="M10" s="26"/>
      <c r="N10" s="26"/>
    </row>
    <row r="11" spans="2:14" s="18" customFormat="1" ht="6.75" customHeight="1" thickBot="1" x14ac:dyDescent="0.35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6"/>
      <c r="M11" s="26"/>
      <c r="N11" s="26"/>
    </row>
    <row r="12" spans="2:14" s="18" customFormat="1" ht="16.5" x14ac:dyDescent="0.3">
      <c r="B12" s="27"/>
      <c r="C12" s="179" t="s">
        <v>18</v>
      </c>
      <c r="D12" s="187" t="s">
        <v>19</v>
      </c>
      <c r="E12" s="188"/>
      <c r="F12" s="188"/>
      <c r="G12" s="189"/>
      <c r="H12" s="121"/>
      <c r="I12" s="30"/>
      <c r="J12" s="30"/>
      <c r="K12" s="30"/>
      <c r="L12" s="30"/>
      <c r="M12" s="30"/>
      <c r="N12" s="30"/>
    </row>
    <row r="13" spans="2:14" ht="14.25" customHeight="1" x14ac:dyDescent="0.3">
      <c r="B13" s="1"/>
      <c r="C13" s="180"/>
      <c r="D13" s="87">
        <v>1</v>
      </c>
      <c r="E13" s="87">
        <v>2</v>
      </c>
      <c r="F13" s="87">
        <v>3</v>
      </c>
      <c r="G13" s="127">
        <v>4</v>
      </c>
      <c r="H13" s="121"/>
      <c r="I13" s="31"/>
      <c r="J13" s="31"/>
      <c r="K13" s="31"/>
      <c r="L13" s="31"/>
      <c r="M13" s="31"/>
      <c r="N13" s="31"/>
    </row>
    <row r="14" spans="2:14" ht="13.5" customHeight="1" x14ac:dyDescent="0.3">
      <c r="B14" s="1"/>
      <c r="C14" s="128" t="s">
        <v>21</v>
      </c>
      <c r="D14" s="7">
        <f>(D4*F4+D5*F5+D6*F6)*12</f>
        <v>570000</v>
      </c>
      <c r="E14" s="7">
        <f>+D14</f>
        <v>570000</v>
      </c>
      <c r="F14" s="7">
        <f>+E14</f>
        <v>570000</v>
      </c>
      <c r="G14" s="129">
        <f>+F14</f>
        <v>570000</v>
      </c>
      <c r="H14" s="122"/>
      <c r="I14" s="11"/>
      <c r="J14" s="1"/>
      <c r="K14" s="1"/>
    </row>
    <row r="15" spans="2:14" ht="13.5" customHeight="1" x14ac:dyDescent="0.3">
      <c r="B15" s="1"/>
      <c r="C15" s="128" t="s">
        <v>20</v>
      </c>
      <c r="D15" s="7">
        <f>($D$4*$G$4+$D$5*$G$5+$D$6*$G$6)*12</f>
        <v>384000</v>
      </c>
      <c r="E15" s="7">
        <f>($D$4*$G$4+$D$5*$G$5+$D$6*$G$6)*12</f>
        <v>384000</v>
      </c>
      <c r="F15" s="7">
        <f>($D$4*$G$4+$D$5*$G$5+$D$6*$G$6)*12</f>
        <v>384000</v>
      </c>
      <c r="G15" s="129">
        <f>($D$4*$G$4+$D$5*$G$5+$D$6*$G$6)*12</f>
        <v>384000</v>
      </c>
      <c r="H15" s="122"/>
      <c r="I15" s="1"/>
      <c r="J15" s="1"/>
      <c r="K15" s="1"/>
    </row>
    <row r="16" spans="2:14" ht="13.5" customHeight="1" x14ac:dyDescent="0.3">
      <c r="B16" s="1"/>
      <c r="C16" s="128" t="s">
        <v>79</v>
      </c>
      <c r="D16" s="33">
        <f>0.15*$D$14</f>
        <v>85500</v>
      </c>
      <c r="E16" s="33">
        <f>0.15*$D$14</f>
        <v>85500</v>
      </c>
      <c r="F16" s="33">
        <f>0.15*$D$14</f>
        <v>85500</v>
      </c>
      <c r="G16" s="130">
        <f>0.15*$D$14</f>
        <v>85500</v>
      </c>
      <c r="H16" s="123"/>
      <c r="I16" s="1"/>
      <c r="J16" s="1"/>
      <c r="K16" s="1"/>
    </row>
    <row r="17" spans="2:14" ht="13.5" customHeight="1" x14ac:dyDescent="0.3">
      <c r="B17" s="1"/>
      <c r="C17" s="128" t="s">
        <v>109</v>
      </c>
      <c r="D17" s="33">
        <f>0.08*D14</f>
        <v>45600</v>
      </c>
      <c r="E17" s="33">
        <f>0.08*E14</f>
        <v>45600</v>
      </c>
      <c r="F17" s="33">
        <f>0.08*F14</f>
        <v>45600</v>
      </c>
      <c r="G17" s="130">
        <f>0.08*G14</f>
        <v>45600</v>
      </c>
      <c r="H17" s="123"/>
      <c r="I17" s="1"/>
      <c r="J17" s="1"/>
      <c r="K17" s="1"/>
    </row>
    <row r="18" spans="2:14" ht="13.5" customHeight="1" x14ac:dyDescent="0.3">
      <c r="B18" s="1"/>
      <c r="C18" s="162" t="s">
        <v>4</v>
      </c>
      <c r="D18" s="42">
        <f>+D14-(D15+D16+D17)</f>
        <v>54900</v>
      </c>
      <c r="E18" s="42">
        <f>+D18</f>
        <v>54900</v>
      </c>
      <c r="F18" s="42">
        <f>+E18</f>
        <v>54900</v>
      </c>
      <c r="G18" s="131">
        <f>+F18</f>
        <v>54900</v>
      </c>
      <c r="H18" s="124"/>
      <c r="I18" s="1"/>
      <c r="J18" s="1"/>
      <c r="K18" s="1"/>
    </row>
    <row r="19" spans="2:14" ht="13.5" customHeight="1" x14ac:dyDescent="0.3">
      <c r="B19" s="1"/>
      <c r="C19" s="128" t="s">
        <v>81</v>
      </c>
      <c r="D19" s="6">
        <v>0</v>
      </c>
      <c r="E19" s="6">
        <v>0</v>
      </c>
      <c r="F19" s="6">
        <v>0</v>
      </c>
      <c r="G19" s="132">
        <v>0</v>
      </c>
      <c r="H19" s="125"/>
      <c r="I19" s="1"/>
      <c r="J19" s="1"/>
      <c r="K19" s="1"/>
    </row>
    <row r="20" spans="2:14" ht="13.5" customHeight="1" x14ac:dyDescent="0.3">
      <c r="B20" s="1"/>
      <c r="C20" s="162" t="s">
        <v>5</v>
      </c>
      <c r="D20" s="33">
        <f>+$D$18</f>
        <v>54900</v>
      </c>
      <c r="E20" s="33">
        <f>+$D$18</f>
        <v>54900</v>
      </c>
      <c r="F20" s="33">
        <f>+$D$18</f>
        <v>54900</v>
      </c>
      <c r="G20" s="130">
        <f>+$D$18</f>
        <v>54900</v>
      </c>
      <c r="H20" s="123"/>
      <c r="I20" s="1"/>
      <c r="J20" s="1"/>
      <c r="K20" s="1"/>
    </row>
    <row r="21" spans="2:14" ht="13.5" customHeight="1" x14ac:dyDescent="0.3">
      <c r="B21" s="1"/>
      <c r="C21" s="128" t="s">
        <v>80</v>
      </c>
      <c r="D21" s="7">
        <f>+$D$20*0.3</f>
        <v>16470</v>
      </c>
      <c r="E21" s="7">
        <f>+$D$20*0.3</f>
        <v>16470</v>
      </c>
      <c r="F21" s="7">
        <f>+$D$20*0.3</f>
        <v>16470</v>
      </c>
      <c r="G21" s="129">
        <f>+$D$20*0.3</f>
        <v>16470</v>
      </c>
      <c r="H21" s="122"/>
      <c r="I21" s="1"/>
      <c r="J21" s="1"/>
      <c r="K21" s="1"/>
    </row>
    <row r="22" spans="2:14" ht="17.25" thickBot="1" x14ac:dyDescent="0.35">
      <c r="B22" s="1"/>
      <c r="C22" s="133" t="s">
        <v>2</v>
      </c>
      <c r="D22" s="134">
        <f>+D20-D21</f>
        <v>38430</v>
      </c>
      <c r="E22" s="134">
        <f>+E20-E21</f>
        <v>38430</v>
      </c>
      <c r="F22" s="134">
        <f>+F20-F21</f>
        <v>38430</v>
      </c>
      <c r="G22" s="135">
        <f>+G20-G21</f>
        <v>38430</v>
      </c>
      <c r="H22" s="126"/>
      <c r="I22" s="1"/>
      <c r="J22" s="1"/>
      <c r="K22" s="1"/>
    </row>
    <row r="23" spans="2:14" s="14" customFormat="1" ht="16.5" x14ac:dyDescent="0.3">
      <c r="B23" s="12"/>
      <c r="C23" s="5"/>
      <c r="D23" s="13"/>
      <c r="E23" s="5"/>
      <c r="F23" s="5"/>
      <c r="G23" s="5"/>
      <c r="H23" s="5"/>
      <c r="I23" s="12"/>
      <c r="J23" s="12"/>
      <c r="K23" s="12"/>
    </row>
    <row r="24" spans="2:14" s="14" customFormat="1" ht="16.5" customHeight="1" x14ac:dyDescent="0.3">
      <c r="B24" s="12"/>
      <c r="C24" s="190" t="s">
        <v>93</v>
      </c>
      <c r="D24" s="190"/>
      <c r="E24" s="190"/>
      <c r="F24" s="190"/>
      <c r="G24" s="190"/>
      <c r="H24" s="190"/>
      <c r="I24" s="34"/>
      <c r="J24" s="34"/>
      <c r="K24" s="34"/>
      <c r="L24" s="34"/>
      <c r="M24" s="34"/>
      <c r="N24" s="34"/>
    </row>
    <row r="25" spans="2:14" s="14" customFormat="1" ht="12.75" customHeight="1" x14ac:dyDescent="0.3">
      <c r="B25" s="12"/>
      <c r="C25" s="28"/>
      <c r="D25" s="28"/>
      <c r="E25" s="28"/>
      <c r="F25" s="28"/>
      <c r="G25" s="28"/>
      <c r="H25" s="28"/>
      <c r="I25" s="34"/>
      <c r="J25" s="34"/>
      <c r="K25" s="34"/>
      <c r="L25" s="34"/>
      <c r="M25" s="34"/>
      <c r="N25" s="34"/>
    </row>
    <row r="26" spans="2:14" s="14" customFormat="1" ht="16.5" x14ac:dyDescent="0.3">
      <c r="B26" s="12"/>
      <c r="C26" s="175" t="s">
        <v>18</v>
      </c>
      <c r="D26" s="176" t="s">
        <v>19</v>
      </c>
      <c r="E26" s="177"/>
      <c r="F26" s="177"/>
      <c r="G26" s="177"/>
      <c r="H26" s="178"/>
      <c r="I26" s="12"/>
      <c r="J26" s="12"/>
      <c r="K26" s="12"/>
    </row>
    <row r="27" spans="2:14" s="14" customFormat="1" ht="15.75" customHeight="1" x14ac:dyDescent="0.3">
      <c r="B27" s="12"/>
      <c r="C27" s="175"/>
      <c r="D27" s="32">
        <v>0</v>
      </c>
      <c r="E27" s="32">
        <v>1</v>
      </c>
      <c r="F27" s="32">
        <v>2</v>
      </c>
      <c r="G27" s="32">
        <v>3</v>
      </c>
      <c r="H27" s="32">
        <v>4</v>
      </c>
      <c r="I27" s="12"/>
      <c r="J27" s="12"/>
      <c r="K27" s="12"/>
    </row>
    <row r="28" spans="2:14" s="14" customFormat="1" ht="15.75" customHeight="1" x14ac:dyDescent="0.3">
      <c r="B28" s="12"/>
      <c r="C28" s="37" t="s">
        <v>6</v>
      </c>
      <c r="D28" s="35"/>
      <c r="E28" s="35"/>
      <c r="F28" s="35"/>
      <c r="G28" s="35"/>
      <c r="H28" s="35"/>
      <c r="I28" s="12"/>
      <c r="J28" s="12"/>
      <c r="K28" s="12"/>
    </row>
    <row r="29" spans="2:14" s="14" customFormat="1" ht="15" customHeight="1" x14ac:dyDescent="0.3">
      <c r="B29" s="12"/>
      <c r="C29" s="6" t="s">
        <v>21</v>
      </c>
      <c r="D29" s="36"/>
      <c r="E29" s="36">
        <f>D14</f>
        <v>570000</v>
      </c>
      <c r="F29" s="36">
        <f>E14</f>
        <v>570000</v>
      </c>
      <c r="G29" s="36">
        <f>F14</f>
        <v>570000</v>
      </c>
      <c r="H29" s="36">
        <f>G14</f>
        <v>570000</v>
      </c>
      <c r="I29" s="12"/>
      <c r="J29" s="12"/>
      <c r="K29" s="12"/>
    </row>
    <row r="30" spans="2:14" s="14" customFormat="1" ht="15" customHeight="1" x14ac:dyDescent="0.3">
      <c r="B30" s="12"/>
      <c r="C30" s="8" t="s">
        <v>7</v>
      </c>
      <c r="D30" s="38">
        <v>0</v>
      </c>
      <c r="E30" s="38">
        <f>+E29</f>
        <v>570000</v>
      </c>
      <c r="F30" s="38">
        <f>+F29</f>
        <v>570000</v>
      </c>
      <c r="G30" s="38">
        <f>+G29</f>
        <v>570000</v>
      </c>
      <c r="H30" s="38">
        <f>+H29</f>
        <v>570000</v>
      </c>
      <c r="I30" s="12"/>
      <c r="J30" s="12"/>
      <c r="K30" s="12"/>
    </row>
    <row r="31" spans="2:14" s="14" customFormat="1" ht="15" customHeight="1" x14ac:dyDescent="0.3">
      <c r="B31" s="12"/>
      <c r="C31" s="8" t="s">
        <v>8</v>
      </c>
      <c r="D31" s="38"/>
      <c r="E31" s="38"/>
      <c r="F31" s="38"/>
      <c r="G31" s="38"/>
      <c r="H31" s="38"/>
      <c r="I31" s="12"/>
      <c r="J31" s="12"/>
      <c r="K31" s="12"/>
    </row>
    <row r="32" spans="2:14" s="14" customFormat="1" ht="15" customHeight="1" x14ac:dyDescent="0.3">
      <c r="B32" s="12"/>
      <c r="C32" s="6" t="s">
        <v>119</v>
      </c>
      <c r="D32" s="36">
        <f>E29*0.05</f>
        <v>28500</v>
      </c>
      <c r="E32" s="38"/>
      <c r="F32" s="38"/>
      <c r="G32" s="38"/>
      <c r="H32" s="38"/>
      <c r="I32" s="12"/>
      <c r="J32" s="12"/>
      <c r="K32" s="12"/>
    </row>
    <row r="33" spans="2:11" s="14" customFormat="1" ht="15" customHeight="1" x14ac:dyDescent="0.3">
      <c r="B33" s="12"/>
      <c r="C33" s="6" t="s">
        <v>22</v>
      </c>
      <c r="D33" s="7"/>
      <c r="E33" s="7">
        <f t="shared" ref="E33:H34" si="0">D15</f>
        <v>384000</v>
      </c>
      <c r="F33" s="7">
        <f t="shared" si="0"/>
        <v>384000</v>
      </c>
      <c r="G33" s="7">
        <f t="shared" si="0"/>
        <v>384000</v>
      </c>
      <c r="H33" s="7">
        <f t="shared" si="0"/>
        <v>384000</v>
      </c>
      <c r="I33" s="12"/>
      <c r="J33" s="12"/>
      <c r="K33" s="12"/>
    </row>
    <row r="34" spans="2:11" s="14" customFormat="1" ht="15" customHeight="1" x14ac:dyDescent="0.3">
      <c r="B34" s="12"/>
      <c r="C34" s="6" t="s">
        <v>79</v>
      </c>
      <c r="D34" s="33"/>
      <c r="E34" s="33">
        <f t="shared" si="0"/>
        <v>85500</v>
      </c>
      <c r="F34" s="33">
        <f t="shared" si="0"/>
        <v>85500</v>
      </c>
      <c r="G34" s="33">
        <f t="shared" si="0"/>
        <v>85500</v>
      </c>
      <c r="H34" s="33">
        <f t="shared" si="0"/>
        <v>85500</v>
      </c>
      <c r="I34" s="12"/>
      <c r="J34" s="12"/>
      <c r="K34" s="12"/>
    </row>
    <row r="35" spans="2:11" s="14" customFormat="1" ht="15" customHeight="1" x14ac:dyDescent="0.3">
      <c r="B35" s="12"/>
      <c r="C35" s="6" t="s">
        <v>82</v>
      </c>
      <c r="D35" s="33">
        <f>0.06*D30</f>
        <v>0</v>
      </c>
      <c r="E35" s="33">
        <f>0.08*E30</f>
        <v>45600</v>
      </c>
      <c r="F35" s="33">
        <f>0.08*F30</f>
        <v>45600</v>
      </c>
      <c r="G35" s="33">
        <f>0.08*G30</f>
        <v>45600</v>
      </c>
      <c r="H35" s="33">
        <f>0.08*H30</f>
        <v>45600</v>
      </c>
      <c r="I35" s="12"/>
      <c r="J35" s="12"/>
      <c r="K35" s="12"/>
    </row>
    <row r="36" spans="2:11" s="14" customFormat="1" ht="15" customHeight="1" x14ac:dyDescent="0.3">
      <c r="B36" s="12"/>
      <c r="C36" s="6" t="s">
        <v>23</v>
      </c>
      <c r="D36" s="33"/>
      <c r="E36" s="33">
        <f>D21</f>
        <v>16470</v>
      </c>
      <c r="F36" s="33">
        <f>E21</f>
        <v>16470</v>
      </c>
      <c r="G36" s="33">
        <f>F21</f>
        <v>16470</v>
      </c>
      <c r="H36" s="33">
        <f>G21</f>
        <v>16470</v>
      </c>
      <c r="I36" s="12"/>
      <c r="J36" s="12"/>
      <c r="K36" s="12"/>
    </row>
    <row r="37" spans="2:11" s="14" customFormat="1" ht="15" customHeight="1" x14ac:dyDescent="0.3">
      <c r="B37" s="12"/>
      <c r="C37" s="8" t="s">
        <v>24</v>
      </c>
      <c r="D37" s="40">
        <f>+(D32+D33+D34+D35+D36)</f>
        <v>28500</v>
      </c>
      <c r="E37" s="40">
        <f>+(E32+E33+E34+E35+E36)</f>
        <v>531570</v>
      </c>
      <c r="F37" s="40">
        <f>+(F32+F33+F34+F35+F36)</f>
        <v>531570</v>
      </c>
      <c r="G37" s="40">
        <f>+(G32+G33+G34+G35+G36)</f>
        <v>531570</v>
      </c>
      <c r="H37" s="40">
        <f>+(H32+H33+H34+H35+H36)</f>
        <v>531570</v>
      </c>
      <c r="I37" s="12"/>
      <c r="J37" s="12"/>
      <c r="K37" s="12"/>
    </row>
    <row r="38" spans="2:11" s="14" customFormat="1" ht="16.5" x14ac:dyDescent="0.3">
      <c r="B38" s="12"/>
      <c r="C38" s="32" t="s">
        <v>9</v>
      </c>
      <c r="D38" s="39">
        <f>+(D30-D37)</f>
        <v>-28500</v>
      </c>
      <c r="E38" s="39">
        <f>+(E30-E37)</f>
        <v>38430</v>
      </c>
      <c r="F38" s="39">
        <f>+(F30-F37)</f>
        <v>38430</v>
      </c>
      <c r="G38" s="39">
        <f>+(G30-G37)</f>
        <v>38430</v>
      </c>
      <c r="H38" s="39">
        <f>+(H30-H37)</f>
        <v>38430</v>
      </c>
      <c r="I38" s="12"/>
      <c r="J38" s="12"/>
      <c r="K38" s="12"/>
    </row>
    <row r="39" spans="2:11" s="14" customFormat="1" ht="16.5" x14ac:dyDescent="0.3">
      <c r="B39" s="12"/>
      <c r="C39" s="16"/>
      <c r="D39" s="17"/>
      <c r="E39" s="17"/>
      <c r="F39" s="17"/>
      <c r="G39" s="17"/>
      <c r="H39" s="17"/>
      <c r="I39" s="12"/>
      <c r="J39" s="12"/>
      <c r="K39" s="12"/>
    </row>
    <row r="40" spans="2:11" s="14" customFormat="1" ht="16.5" x14ac:dyDescent="0.3">
      <c r="B40" s="12"/>
      <c r="C40" s="15" t="s">
        <v>94</v>
      </c>
      <c r="D40" s="145">
        <f>NPV('costo capital'!J17,E38:H38)</f>
        <v>134242.54434121674</v>
      </c>
      <c r="E40" s="15"/>
      <c r="F40" s="15"/>
      <c r="G40" s="15"/>
      <c r="H40" s="15"/>
      <c r="I40" s="12"/>
      <c r="J40" s="12"/>
      <c r="K40" s="12"/>
    </row>
    <row r="41" spans="2:11" x14ac:dyDescent="0.25">
      <c r="C41" t="s">
        <v>122</v>
      </c>
      <c r="D41" s="174"/>
    </row>
    <row r="42" spans="2:11" x14ac:dyDescent="0.25">
      <c r="C42" t="s">
        <v>122</v>
      </c>
      <c r="D42" s="19"/>
    </row>
    <row r="43" spans="2:11" x14ac:dyDescent="0.25">
      <c r="D43" s="19">
        <f>IRR(D38:H38)</f>
        <v>1.3002573560748956</v>
      </c>
    </row>
  </sheetData>
  <mergeCells count="11">
    <mergeCell ref="C24:H24"/>
    <mergeCell ref="C26:C27"/>
    <mergeCell ref="D26:H26"/>
    <mergeCell ref="C12:C13"/>
    <mergeCell ref="D2:E2"/>
    <mergeCell ref="C2:C3"/>
    <mergeCell ref="C8:H8"/>
    <mergeCell ref="F2:F3"/>
    <mergeCell ref="G2:G3"/>
    <mergeCell ref="D12:G12"/>
    <mergeCell ref="C10:H10"/>
  </mergeCells>
  <printOptions horizontalCentered="1"/>
  <pageMargins left="0.70866141732283472" right="0.70866141732283472" top="1.1417322834645669" bottom="0.74803149606299213" header="0.31496062992125984" footer="0.31496062992125984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103"/>
  <sheetViews>
    <sheetView tabSelected="1" workbookViewId="0">
      <selection activeCell="K15" sqref="K15:Q15"/>
    </sheetView>
  </sheetViews>
  <sheetFormatPr baseColWidth="10" defaultRowHeight="15" x14ac:dyDescent="0.25"/>
  <cols>
    <col min="2" max="2" width="26.7109375" customWidth="1"/>
    <col min="3" max="3" width="10.140625" customWidth="1"/>
    <col min="5" max="6" width="9" customWidth="1"/>
    <col min="7" max="7" width="9.42578125" customWidth="1"/>
    <col min="8" max="8" width="7" customWidth="1"/>
    <col min="9" max="9" width="19" customWidth="1"/>
    <col min="11" max="11" width="19.85546875" customWidth="1"/>
    <col min="12" max="12" width="8.7109375" customWidth="1"/>
    <col min="13" max="15" width="7.42578125" customWidth="1"/>
    <col min="16" max="16" width="8" customWidth="1"/>
    <col min="17" max="17" width="10.7109375" customWidth="1"/>
  </cols>
  <sheetData>
    <row r="2" spans="2:17" ht="16.5" x14ac:dyDescent="0.3">
      <c r="B2" s="22" t="s">
        <v>87</v>
      </c>
      <c r="C2" s="1"/>
      <c r="D2" s="1"/>
      <c r="E2" s="1"/>
      <c r="F2" s="1"/>
      <c r="G2" s="1"/>
      <c r="H2" s="1"/>
    </row>
    <row r="3" spans="2:17" ht="16.5" x14ac:dyDescent="0.3">
      <c r="B3" s="2" t="s">
        <v>102</v>
      </c>
      <c r="C3" s="3"/>
      <c r="D3" s="3"/>
      <c r="E3" s="1"/>
      <c r="F3" s="1"/>
      <c r="G3" s="1"/>
      <c r="H3" s="1"/>
    </row>
    <row r="4" spans="2:17" ht="16.5" x14ac:dyDescent="0.3">
      <c r="B4" s="2" t="s">
        <v>25</v>
      </c>
      <c r="C4" s="3"/>
      <c r="D4" s="3"/>
      <c r="E4" s="1"/>
      <c r="F4" s="1"/>
      <c r="G4" s="1"/>
      <c r="H4" s="1"/>
    </row>
    <row r="5" spans="2:17" ht="13.5" customHeight="1" x14ac:dyDescent="0.3">
      <c r="G5" s="12"/>
      <c r="H5" s="12"/>
      <c r="I5" s="14"/>
    </row>
    <row r="6" spans="2:17" ht="16.5" x14ac:dyDescent="0.3">
      <c r="B6" s="192" t="s">
        <v>116</v>
      </c>
      <c r="C6" s="192" t="s">
        <v>75</v>
      </c>
      <c r="D6" s="192"/>
      <c r="E6" s="193" t="s">
        <v>76</v>
      </c>
      <c r="F6" s="193" t="s">
        <v>77</v>
      </c>
      <c r="G6" s="12"/>
      <c r="H6" s="12"/>
      <c r="I6" s="14"/>
    </row>
    <row r="7" spans="2:17" ht="16.5" x14ac:dyDescent="0.3">
      <c r="B7" s="192"/>
      <c r="C7" s="149" t="s">
        <v>78</v>
      </c>
      <c r="D7" s="149" t="s">
        <v>0</v>
      </c>
      <c r="E7" s="193"/>
      <c r="F7" s="193"/>
      <c r="G7" s="12"/>
      <c r="H7" s="12"/>
      <c r="I7" s="14"/>
    </row>
    <row r="8" spans="2:17" ht="16.5" x14ac:dyDescent="0.3">
      <c r="B8" s="154" t="s">
        <v>106</v>
      </c>
      <c r="C8" s="4">
        <v>100</v>
      </c>
      <c r="D8" s="20">
        <v>150</v>
      </c>
      <c r="E8" s="136">
        <v>60</v>
      </c>
      <c r="F8" s="68">
        <v>40</v>
      </c>
      <c r="G8" s="12"/>
      <c r="H8" s="12"/>
      <c r="I8" s="14"/>
    </row>
    <row r="9" spans="2:17" ht="13.5" hidden="1" customHeight="1" x14ac:dyDescent="0.3">
      <c r="B9" s="154" t="s">
        <v>107</v>
      </c>
      <c r="C9" s="4">
        <v>180</v>
      </c>
      <c r="D9" s="20">
        <v>230.4</v>
      </c>
      <c r="E9" s="68">
        <v>2.5</v>
      </c>
      <c r="F9" s="68">
        <v>1.4</v>
      </c>
      <c r="G9" s="12"/>
      <c r="H9" s="12"/>
      <c r="I9" s="14"/>
    </row>
    <row r="10" spans="2:17" ht="13.5" hidden="1" customHeight="1" x14ac:dyDescent="0.3">
      <c r="B10" s="154" t="s">
        <v>108</v>
      </c>
      <c r="C10" s="4">
        <v>180</v>
      </c>
      <c r="D10" s="20">
        <v>230.4</v>
      </c>
      <c r="E10" s="68">
        <v>3</v>
      </c>
      <c r="F10" s="68">
        <v>1.6</v>
      </c>
      <c r="G10" s="137"/>
      <c r="H10" s="139"/>
      <c r="I10" s="14"/>
    </row>
    <row r="11" spans="2:17" ht="13.5" hidden="1" customHeight="1" x14ac:dyDescent="0.3">
      <c r="B11" s="137"/>
      <c r="C11" s="138"/>
      <c r="D11" s="138"/>
      <c r="E11" s="12"/>
      <c r="F11" s="12"/>
      <c r="G11" s="12"/>
      <c r="H11" s="14"/>
      <c r="I11" s="14"/>
    </row>
    <row r="12" spans="2:17" ht="16.5" x14ac:dyDescent="0.3">
      <c r="B12" s="154" t="s">
        <v>107</v>
      </c>
      <c r="C12" s="4">
        <v>50</v>
      </c>
      <c r="D12" s="20">
        <v>75</v>
      </c>
      <c r="E12" s="68">
        <v>350</v>
      </c>
      <c r="F12" s="68">
        <v>250</v>
      </c>
      <c r="G12" s="12"/>
      <c r="H12" s="14"/>
      <c r="I12" s="14"/>
    </row>
    <row r="13" spans="2:17" ht="16.5" x14ac:dyDescent="0.3">
      <c r="B13" s="154" t="s">
        <v>108</v>
      </c>
      <c r="C13" s="4">
        <v>50</v>
      </c>
      <c r="D13" s="20">
        <v>75</v>
      </c>
      <c r="E13" s="68">
        <v>480</v>
      </c>
      <c r="F13" s="68">
        <v>300</v>
      </c>
      <c r="G13" s="12"/>
      <c r="H13" s="140"/>
      <c r="I13" s="14"/>
    </row>
    <row r="14" spans="2:17" ht="16.5" x14ac:dyDescent="0.3">
      <c r="B14" s="5"/>
      <c r="C14" s="5"/>
      <c r="D14" s="5"/>
      <c r="E14" s="12"/>
      <c r="F14" s="12"/>
      <c r="G14" s="12"/>
      <c r="H14" s="140"/>
      <c r="I14" s="14"/>
    </row>
    <row r="15" spans="2:17" x14ac:dyDescent="0.25">
      <c r="K15" s="198"/>
      <c r="L15" s="198"/>
      <c r="M15" s="198"/>
      <c r="N15" s="198"/>
      <c r="O15" s="198"/>
      <c r="P15" s="198"/>
      <c r="Q15" s="198"/>
    </row>
    <row r="16" spans="2:17" x14ac:dyDescent="0.25">
      <c r="B16" s="207" t="s">
        <v>26</v>
      </c>
      <c r="C16" s="208"/>
      <c r="D16" s="208"/>
      <c r="E16" s="208"/>
      <c r="F16" s="208"/>
      <c r="G16" s="208"/>
      <c r="H16" s="208"/>
      <c r="I16" s="209"/>
      <c r="K16" s="44"/>
      <c r="L16" s="45"/>
      <c r="M16" s="46"/>
      <c r="N16" s="46"/>
      <c r="O16" s="47"/>
      <c r="P16" s="47"/>
      <c r="Q16" s="47"/>
    </row>
    <row r="17" spans="2:19" ht="27" x14ac:dyDescent="0.25">
      <c r="B17" s="151" t="s">
        <v>10</v>
      </c>
      <c r="C17" s="151" t="s">
        <v>11</v>
      </c>
      <c r="D17" s="152" t="s">
        <v>12</v>
      </c>
      <c r="E17" s="153" t="s">
        <v>17</v>
      </c>
      <c r="F17" s="153" t="s">
        <v>13</v>
      </c>
      <c r="G17" s="153" t="s">
        <v>14</v>
      </c>
      <c r="H17" s="153" t="s">
        <v>15</v>
      </c>
      <c r="I17" s="153" t="s">
        <v>16</v>
      </c>
      <c r="K17" s="48"/>
      <c r="L17" s="49"/>
      <c r="M17" s="50"/>
      <c r="N17" s="51"/>
      <c r="O17" s="52"/>
      <c r="P17" s="53"/>
      <c r="Q17" s="53"/>
      <c r="R17" s="14"/>
      <c r="S17" s="14"/>
    </row>
    <row r="18" spans="2:19" x14ac:dyDescent="0.25">
      <c r="B18" s="24" t="s">
        <v>110</v>
      </c>
      <c r="C18" s="165">
        <v>20000</v>
      </c>
      <c r="D18" s="165">
        <v>4</v>
      </c>
      <c r="E18" s="166">
        <f>1/D18</f>
        <v>0.25</v>
      </c>
      <c r="F18" s="25">
        <f>+C18*E18</f>
        <v>5000</v>
      </c>
      <c r="G18" s="164">
        <v>0</v>
      </c>
      <c r="H18" s="164">
        <f>0.2*(C18-3000)</f>
        <v>3400</v>
      </c>
      <c r="I18" s="164">
        <f>H18-G18</f>
        <v>3400</v>
      </c>
      <c r="K18" s="54"/>
      <c r="L18" s="55"/>
      <c r="M18" s="56"/>
      <c r="N18" s="56"/>
      <c r="O18" s="56"/>
      <c r="P18" s="57"/>
      <c r="Q18" s="57"/>
      <c r="R18" s="14"/>
      <c r="S18" s="14"/>
    </row>
    <row r="19" spans="2:19" x14ac:dyDescent="0.25">
      <c r="B19" s="24" t="s">
        <v>117</v>
      </c>
      <c r="C19" s="165">
        <v>30000</v>
      </c>
      <c r="D19" s="165">
        <v>4</v>
      </c>
      <c r="E19" s="166">
        <f>1/D19</f>
        <v>0.25</v>
      </c>
      <c r="F19" s="25">
        <f>+C19*E19</f>
        <v>7500</v>
      </c>
      <c r="G19" s="164">
        <v>0</v>
      </c>
      <c r="H19" s="164">
        <v>0</v>
      </c>
      <c r="I19" s="164">
        <f>H19-G19</f>
        <v>0</v>
      </c>
      <c r="K19" s="54"/>
      <c r="L19" s="55"/>
      <c r="M19" s="56"/>
      <c r="N19" s="56"/>
      <c r="O19" s="56"/>
      <c r="P19" s="57"/>
      <c r="Q19" s="57"/>
      <c r="R19" s="14"/>
      <c r="S19" s="14"/>
    </row>
    <row r="20" spans="2:19" x14ac:dyDescent="0.25">
      <c r="B20" s="163" t="s">
        <v>118</v>
      </c>
      <c r="C20" s="163">
        <f>C18+C19</f>
        <v>50000</v>
      </c>
      <c r="D20" s="163">
        <f t="shared" ref="D20:I20" si="0">D18+D19</f>
        <v>8</v>
      </c>
      <c r="E20" s="163">
        <f t="shared" si="0"/>
        <v>0.5</v>
      </c>
      <c r="F20" s="163">
        <f t="shared" si="0"/>
        <v>12500</v>
      </c>
      <c r="G20" s="163">
        <f t="shared" si="0"/>
        <v>0</v>
      </c>
      <c r="H20" s="163">
        <f t="shared" si="0"/>
        <v>3400</v>
      </c>
      <c r="I20" s="163">
        <f t="shared" si="0"/>
        <v>3400</v>
      </c>
      <c r="K20" s="54"/>
      <c r="L20" s="55"/>
      <c r="M20" s="56"/>
      <c r="N20" s="56"/>
      <c r="O20" s="56"/>
      <c r="P20" s="57"/>
      <c r="Q20" s="57"/>
      <c r="R20" s="14"/>
      <c r="S20" s="14"/>
    </row>
    <row r="21" spans="2:19" x14ac:dyDescent="0.25">
      <c r="K21" s="14"/>
      <c r="L21" s="14"/>
      <c r="M21" s="14"/>
      <c r="N21" s="14"/>
      <c r="O21" s="14"/>
      <c r="P21" s="14"/>
      <c r="Q21" s="14"/>
    </row>
    <row r="22" spans="2:19" x14ac:dyDescent="0.25">
      <c r="B22" s="2" t="s">
        <v>88</v>
      </c>
      <c r="C22" s="2"/>
      <c r="D22" s="2"/>
      <c r="E22" s="3"/>
      <c r="F22" s="3"/>
      <c r="G22" s="3"/>
    </row>
    <row r="23" spans="2:19" x14ac:dyDescent="0.25">
      <c r="B23" s="3"/>
      <c r="C23" s="2"/>
      <c r="D23" s="2"/>
      <c r="E23" s="3"/>
      <c r="F23" s="3"/>
      <c r="G23" s="3"/>
    </row>
    <row r="24" spans="2:19" x14ac:dyDescent="0.25">
      <c r="B24" s="203" t="s">
        <v>97</v>
      </c>
      <c r="C24" s="203"/>
      <c r="D24" s="203"/>
      <c r="E24" s="203"/>
      <c r="F24" s="203"/>
      <c r="G24" s="203"/>
    </row>
    <row r="25" spans="2:19" x14ac:dyDescent="0.25">
      <c r="B25" s="28"/>
      <c r="C25" s="28"/>
      <c r="D25" s="28"/>
      <c r="E25" s="28"/>
      <c r="F25" s="28"/>
      <c r="G25" s="28"/>
    </row>
    <row r="26" spans="2:19" x14ac:dyDescent="0.25">
      <c r="B26" s="199" t="s">
        <v>18</v>
      </c>
      <c r="C26" s="204" t="s">
        <v>19</v>
      </c>
      <c r="D26" s="205"/>
      <c r="E26" s="205"/>
      <c r="F26" s="205"/>
      <c r="G26" s="206"/>
    </row>
    <row r="27" spans="2:19" x14ac:dyDescent="0.25">
      <c r="B27" s="199"/>
      <c r="C27" s="150">
        <v>0</v>
      </c>
      <c r="D27" s="150">
        <v>1</v>
      </c>
      <c r="E27" s="150">
        <v>2</v>
      </c>
      <c r="F27" s="150">
        <v>3</v>
      </c>
      <c r="G27" s="150">
        <v>4</v>
      </c>
    </row>
    <row r="28" spans="2:19" x14ac:dyDescent="0.25">
      <c r="B28" s="6" t="s">
        <v>21</v>
      </c>
      <c r="C28" s="7"/>
      <c r="D28" s="7">
        <f>(D8*E8+D12*E12+D13*E13)*12</f>
        <v>855000</v>
      </c>
      <c r="E28" s="7">
        <f>+D28</f>
        <v>855000</v>
      </c>
      <c r="F28" s="7">
        <f>+E28</f>
        <v>855000</v>
      </c>
      <c r="G28" s="7">
        <f>+F28</f>
        <v>855000</v>
      </c>
    </row>
    <row r="29" spans="2:19" x14ac:dyDescent="0.25">
      <c r="B29" s="6" t="s">
        <v>20</v>
      </c>
      <c r="C29" s="7">
        <f>+'Alter Sin Py'!D33</f>
        <v>0</v>
      </c>
      <c r="D29" s="7">
        <f>($D$8*$F$8+$D$12*$F$12+$D$13*$F$13)*12</f>
        <v>567000</v>
      </c>
      <c r="E29" s="7">
        <f>($D$8*$F$8+$D$12*$F$12+$D$13*$F$13)*12</f>
        <v>567000</v>
      </c>
      <c r="F29" s="7">
        <f>($D$8*$F$8+$D$12*$F$12+$D$13*$F$13)*12</f>
        <v>567000</v>
      </c>
      <c r="G29" s="7">
        <f>($D$8*$F$8+$D$12*$F$12+$D$13*$F$13)*12</f>
        <v>567000</v>
      </c>
      <c r="I29" s="43"/>
    </row>
    <row r="30" spans="2:19" x14ac:dyDescent="0.25">
      <c r="B30" s="6" t="s">
        <v>79</v>
      </c>
      <c r="C30" s="33"/>
      <c r="D30" s="33">
        <f>+'Alter Con py'!$D$28*0.15</f>
        <v>128250</v>
      </c>
      <c r="E30" s="33">
        <f>+'Alter Con py'!$D$28*0.15</f>
        <v>128250</v>
      </c>
      <c r="F30" s="33">
        <f>+'Alter Con py'!$D$28*0.15</f>
        <v>128250</v>
      </c>
      <c r="G30" s="33">
        <f>+'Alter Con py'!$D$28*0.15</f>
        <v>128250</v>
      </c>
    </row>
    <row r="31" spans="2:19" x14ac:dyDescent="0.25">
      <c r="B31" s="6" t="s">
        <v>111</v>
      </c>
      <c r="C31" s="33"/>
      <c r="D31" s="33">
        <f>$D$28*0.08</f>
        <v>68400</v>
      </c>
      <c r="E31" s="33">
        <f>$D$28*0.08</f>
        <v>68400</v>
      </c>
      <c r="F31" s="33">
        <f>$D$28*0.08</f>
        <v>68400</v>
      </c>
      <c r="G31" s="33">
        <f>$D$28*0.08</f>
        <v>68400</v>
      </c>
      <c r="I31" s="9" t="s">
        <v>30</v>
      </c>
    </row>
    <row r="32" spans="2:19" x14ac:dyDescent="0.25">
      <c r="B32" s="6" t="s">
        <v>27</v>
      </c>
      <c r="C32" s="33"/>
      <c r="D32" s="33">
        <f>$F$20</f>
        <v>12500</v>
      </c>
      <c r="E32" s="33">
        <f>$F$20</f>
        <v>12500</v>
      </c>
      <c r="F32" s="33">
        <f>$F$20</f>
        <v>12500</v>
      </c>
      <c r="G32" s="33">
        <f>$F$20</f>
        <v>12500</v>
      </c>
      <c r="I32" s="59" t="s">
        <v>31</v>
      </c>
      <c r="J32" s="105">
        <v>25000</v>
      </c>
    </row>
    <row r="33" spans="2:16" x14ac:dyDescent="0.25">
      <c r="B33" s="6" t="s">
        <v>28</v>
      </c>
      <c r="C33" s="33"/>
      <c r="D33" s="33"/>
      <c r="E33" s="33"/>
      <c r="F33" s="33"/>
      <c r="G33" s="33">
        <f>+I18</f>
        <v>3400</v>
      </c>
      <c r="I33" s="59" t="s">
        <v>32</v>
      </c>
      <c r="J33" s="106">
        <v>0.36</v>
      </c>
      <c r="L33" s="18"/>
      <c r="M33" s="146"/>
    </row>
    <row r="34" spans="2:16" x14ac:dyDescent="0.25">
      <c r="B34" s="6" t="s">
        <v>4</v>
      </c>
      <c r="C34" s="42">
        <f>+SUM(C28+C33)-SUM(C29:C32)</f>
        <v>0</v>
      </c>
      <c r="D34" s="42">
        <f>+SUM(D28+D33)-SUM(D29:D32)</f>
        <v>78850</v>
      </c>
      <c r="E34" s="42">
        <f>+SUM(E28+E33)-SUM(E29:E32)</f>
        <v>78850</v>
      </c>
      <c r="F34" s="42">
        <f>+SUM(F28+F33)-SUM(F29:F32)</f>
        <v>78850</v>
      </c>
      <c r="G34" s="42">
        <f>+SUM(G28+G33)-SUM(G29:G32)</f>
        <v>82250</v>
      </c>
      <c r="I34" s="59" t="s">
        <v>33</v>
      </c>
      <c r="J34" s="107">
        <v>2</v>
      </c>
    </row>
    <row r="35" spans="2:16" x14ac:dyDescent="0.25">
      <c r="B35" s="6" t="s">
        <v>5</v>
      </c>
      <c r="C35" s="33">
        <f>+C34</f>
        <v>0</v>
      </c>
      <c r="D35" s="33">
        <f>+D34</f>
        <v>78850</v>
      </c>
      <c r="E35" s="33">
        <f>+E34</f>
        <v>78850</v>
      </c>
      <c r="F35" s="33">
        <f>+F34</f>
        <v>78850</v>
      </c>
      <c r="G35" s="33">
        <f>+G34</f>
        <v>82250</v>
      </c>
      <c r="I35" s="59" t="s">
        <v>34</v>
      </c>
      <c r="J35" s="108">
        <f>((1+J33)/(1+J36))-1</f>
        <v>0.32038834951456296</v>
      </c>
    </row>
    <row r="36" spans="2:16" x14ac:dyDescent="0.25">
      <c r="B36" s="6" t="s">
        <v>80</v>
      </c>
      <c r="C36" s="33"/>
      <c r="D36" s="7">
        <f>+D35*0.3</f>
        <v>23655</v>
      </c>
      <c r="E36" s="7">
        <f>+E35*0.3</f>
        <v>23655</v>
      </c>
      <c r="F36" s="7">
        <f>+F35*0.3</f>
        <v>23655</v>
      </c>
      <c r="G36" s="7">
        <f>+G35*0.3</f>
        <v>24675</v>
      </c>
      <c r="I36" s="59" t="s">
        <v>35</v>
      </c>
      <c r="J36" s="109">
        <v>0.03</v>
      </c>
      <c r="K36" s="60"/>
    </row>
    <row r="37" spans="2:16" x14ac:dyDescent="0.25">
      <c r="B37" s="32" t="s">
        <v>2</v>
      </c>
      <c r="C37" s="39">
        <f>+C35-C36</f>
        <v>0</v>
      </c>
      <c r="D37" s="39">
        <f>+D35-D36</f>
        <v>55195</v>
      </c>
      <c r="E37" s="39">
        <f>+E35-E36</f>
        <v>55195</v>
      </c>
      <c r="F37" s="39">
        <f>+F35-F36</f>
        <v>55195</v>
      </c>
      <c r="G37" s="39">
        <f>+G35-G36</f>
        <v>57575</v>
      </c>
      <c r="I37" s="59" t="s">
        <v>36</v>
      </c>
      <c r="J37" s="110">
        <f>J32/2</f>
        <v>12500</v>
      </c>
    </row>
    <row r="38" spans="2:16" ht="21" customHeight="1" x14ac:dyDescent="0.25">
      <c r="B38" s="201" t="s">
        <v>29</v>
      </c>
      <c r="C38" s="201"/>
      <c r="D38" s="201"/>
      <c r="E38" s="201"/>
      <c r="F38" s="201"/>
      <c r="G38" s="201"/>
    </row>
    <row r="39" spans="2:16" x14ac:dyDescent="0.25">
      <c r="I39" s="9" t="s">
        <v>42</v>
      </c>
    </row>
    <row r="40" spans="2:16" ht="22.5" customHeight="1" x14ac:dyDescent="0.25">
      <c r="B40" s="196" t="s">
        <v>98</v>
      </c>
      <c r="C40" s="196"/>
      <c r="D40" s="196"/>
      <c r="E40" s="196"/>
      <c r="F40" s="196"/>
      <c r="G40" s="196"/>
      <c r="I40" s="100" t="s">
        <v>37</v>
      </c>
      <c r="J40" s="101" t="s">
        <v>38</v>
      </c>
      <c r="K40" s="101" t="s">
        <v>40</v>
      </c>
      <c r="L40" s="101" t="s">
        <v>39</v>
      </c>
      <c r="M40" s="101" t="s">
        <v>86</v>
      </c>
      <c r="N40" s="101" t="s">
        <v>41</v>
      </c>
    </row>
    <row r="41" spans="2:16" ht="12" customHeight="1" x14ac:dyDescent="0.25">
      <c r="D41" s="43"/>
      <c r="I41" s="102">
        <v>1</v>
      </c>
      <c r="J41" s="167">
        <f>J32</f>
        <v>25000</v>
      </c>
      <c r="K41" s="167">
        <f>+J37</f>
        <v>12500</v>
      </c>
      <c r="L41" s="103">
        <f>+J41*$J$35</f>
        <v>8009.7087378640745</v>
      </c>
      <c r="M41" s="104">
        <f>K41+L41</f>
        <v>20509.708737864075</v>
      </c>
      <c r="N41" s="103">
        <f>J41-K41</f>
        <v>12500</v>
      </c>
    </row>
    <row r="42" spans="2:16" x14ac:dyDescent="0.25">
      <c r="B42" s="199" t="s">
        <v>18</v>
      </c>
      <c r="C42" s="200" t="s">
        <v>19</v>
      </c>
      <c r="D42" s="200"/>
      <c r="E42" s="200"/>
      <c r="F42" s="200"/>
      <c r="G42" s="200"/>
      <c r="H42" s="14"/>
      <c r="I42" s="102">
        <v>2</v>
      </c>
      <c r="J42" s="167">
        <f>N41</f>
        <v>12500</v>
      </c>
      <c r="K42" s="167">
        <f>+J37</f>
        <v>12500</v>
      </c>
      <c r="L42" s="103">
        <f>+J42*$J$35</f>
        <v>4004.8543689320372</v>
      </c>
      <c r="M42" s="104">
        <f>K42+L42</f>
        <v>16504.854368932036</v>
      </c>
      <c r="N42" s="103">
        <f>J42-K42</f>
        <v>0</v>
      </c>
    </row>
    <row r="43" spans="2:16" x14ac:dyDescent="0.25">
      <c r="B43" s="199"/>
      <c r="C43" s="150">
        <v>0</v>
      </c>
      <c r="D43" s="150">
        <v>1</v>
      </c>
      <c r="E43" s="150">
        <v>2</v>
      </c>
      <c r="F43" s="150">
        <v>3</v>
      </c>
      <c r="G43" s="150">
        <v>4</v>
      </c>
      <c r="H43" s="14"/>
      <c r="K43" s="61"/>
      <c r="L43" s="62"/>
      <c r="M43" s="99"/>
      <c r="N43" s="62"/>
      <c r="O43" s="64"/>
      <c r="P43" s="62"/>
    </row>
    <row r="44" spans="2:16" ht="16.5" x14ac:dyDescent="0.3">
      <c r="B44" s="8" t="s">
        <v>43</v>
      </c>
      <c r="C44" s="68"/>
      <c r="D44" s="68"/>
      <c r="E44" s="68"/>
      <c r="F44" s="68"/>
      <c r="G44" s="68"/>
      <c r="H44" s="12"/>
      <c r="K44" s="61"/>
      <c r="L44" s="62"/>
      <c r="M44" s="63"/>
      <c r="N44" s="62"/>
      <c r="O44" s="64"/>
      <c r="P44" s="62"/>
    </row>
    <row r="45" spans="2:16" ht="16.5" x14ac:dyDescent="0.3">
      <c r="B45" s="6" t="s">
        <v>48</v>
      </c>
      <c r="C45" s="33">
        <f>-20000</f>
        <v>-20000</v>
      </c>
      <c r="D45" s="33"/>
      <c r="E45" s="33"/>
      <c r="F45" s="33"/>
      <c r="G45" s="33"/>
      <c r="H45" s="65"/>
      <c r="K45" s="61"/>
      <c r="L45" s="62"/>
      <c r="M45" s="63"/>
      <c r="N45" s="62"/>
      <c r="O45" s="64"/>
      <c r="P45" s="62"/>
    </row>
    <row r="46" spans="2:16" ht="16.5" x14ac:dyDescent="0.3">
      <c r="B46" s="6" t="s">
        <v>121</v>
      </c>
      <c r="C46" s="33">
        <v>-30000</v>
      </c>
      <c r="D46" s="33"/>
      <c r="E46" s="33"/>
      <c r="F46" s="33"/>
      <c r="G46" s="33"/>
      <c r="H46" s="65"/>
      <c r="K46" s="61"/>
      <c r="L46" s="62"/>
      <c r="M46" s="63"/>
      <c r="N46" s="62"/>
      <c r="O46" s="64"/>
      <c r="P46" s="62"/>
    </row>
    <row r="47" spans="2:16" ht="16.5" x14ac:dyDescent="0.3">
      <c r="B47" s="6" t="s">
        <v>120</v>
      </c>
      <c r="C47" s="33">
        <f>-D50*0.05</f>
        <v>-42750</v>
      </c>
      <c r="D47" s="33"/>
      <c r="E47" s="33"/>
      <c r="F47" s="33"/>
      <c r="G47" s="33"/>
      <c r="H47" s="65"/>
      <c r="K47" s="61"/>
      <c r="L47" s="62"/>
      <c r="M47" s="63"/>
      <c r="N47" s="62"/>
      <c r="O47" s="64"/>
      <c r="P47" s="62"/>
    </row>
    <row r="48" spans="2:16" ht="16.5" x14ac:dyDescent="0.3">
      <c r="B48" s="6" t="s">
        <v>83</v>
      </c>
      <c r="C48" s="33"/>
      <c r="D48" s="33"/>
      <c r="E48" s="33"/>
      <c r="F48" s="33"/>
      <c r="G48" s="33">
        <f>+H18</f>
        <v>3400</v>
      </c>
      <c r="H48" s="65"/>
    </row>
    <row r="49" spans="2:13" ht="16.5" x14ac:dyDescent="0.3">
      <c r="B49" s="69" t="s">
        <v>44</v>
      </c>
      <c r="C49" s="72">
        <f>C45+C46+C47+C48</f>
        <v>-92750</v>
      </c>
      <c r="D49" s="72">
        <f>D45+D46+D47+D48</f>
        <v>0</v>
      </c>
      <c r="E49" s="72">
        <f>E45+E46+E47+E48</f>
        <v>0</v>
      </c>
      <c r="F49" s="72">
        <f>F45+F46+F47+F48</f>
        <v>0</v>
      </c>
      <c r="G49" s="72">
        <f>G45+G46+G47+G48</f>
        <v>3400</v>
      </c>
      <c r="H49" s="66"/>
    </row>
    <row r="50" spans="2:13" s="18" customFormat="1" ht="16.5" x14ac:dyDescent="0.3">
      <c r="B50" s="70" t="str">
        <f t="shared" ref="B50:G50" si="1">+B28</f>
        <v xml:space="preserve">(+) Ventas netas en s/. </v>
      </c>
      <c r="C50" s="73"/>
      <c r="D50" s="73">
        <f t="shared" si="1"/>
        <v>855000</v>
      </c>
      <c r="E50" s="73">
        <f t="shared" si="1"/>
        <v>855000</v>
      </c>
      <c r="F50" s="73">
        <f t="shared" si="1"/>
        <v>855000</v>
      </c>
      <c r="G50" s="73">
        <f t="shared" si="1"/>
        <v>855000</v>
      </c>
      <c r="H50" s="66"/>
    </row>
    <row r="51" spans="2:13" ht="16.5" x14ac:dyDescent="0.3">
      <c r="B51" s="70" t="str">
        <f>B29</f>
        <v xml:space="preserve">(-) Costos de ventas </v>
      </c>
      <c r="C51" s="33">
        <f>+C29</f>
        <v>0</v>
      </c>
      <c r="D51" s="33">
        <f>+D29</f>
        <v>567000</v>
      </c>
      <c r="E51" s="33">
        <f>+E29</f>
        <v>567000</v>
      </c>
      <c r="F51" s="33">
        <f>+F29</f>
        <v>567000</v>
      </c>
      <c r="G51" s="33">
        <f>+G29</f>
        <v>567000</v>
      </c>
      <c r="H51" s="65"/>
    </row>
    <row r="52" spans="2:13" ht="16.5" x14ac:dyDescent="0.3">
      <c r="B52" s="70" t="str">
        <f>B30</f>
        <v>(-) Gastos administrativos (15%)</v>
      </c>
      <c r="C52" s="33"/>
      <c r="D52" s="33">
        <f t="shared" ref="D52:F53" si="2">+E30</f>
        <v>128250</v>
      </c>
      <c r="E52" s="33">
        <f t="shared" si="2"/>
        <v>128250</v>
      </c>
      <c r="F52" s="33">
        <f t="shared" si="2"/>
        <v>128250</v>
      </c>
      <c r="G52" s="33">
        <f>+F52</f>
        <v>128250</v>
      </c>
      <c r="H52" s="65"/>
    </row>
    <row r="53" spans="2:13" ht="16.5" x14ac:dyDescent="0.3">
      <c r="B53" s="70" t="str">
        <f>+B31</f>
        <v>(-) Gastos de ventas (8%)</v>
      </c>
      <c r="C53" s="33"/>
      <c r="D53" s="33">
        <f t="shared" si="2"/>
        <v>68400</v>
      </c>
      <c r="E53" s="33">
        <f t="shared" si="2"/>
        <v>68400</v>
      </c>
      <c r="F53" s="33">
        <f t="shared" si="2"/>
        <v>68400</v>
      </c>
      <c r="G53" s="33">
        <f>+F53</f>
        <v>68400</v>
      </c>
      <c r="H53" s="65"/>
    </row>
    <row r="54" spans="2:13" ht="16.5" x14ac:dyDescent="0.3">
      <c r="B54" s="70" t="s">
        <v>45</v>
      </c>
      <c r="C54" s="33">
        <f>+C36</f>
        <v>0</v>
      </c>
      <c r="D54" s="33">
        <f>+D36</f>
        <v>23655</v>
      </c>
      <c r="E54" s="33">
        <f>+E36</f>
        <v>23655</v>
      </c>
      <c r="F54" s="33">
        <f>+F36</f>
        <v>23655</v>
      </c>
      <c r="G54" s="33">
        <f>+G36</f>
        <v>24675</v>
      </c>
      <c r="H54" s="65"/>
    </row>
    <row r="55" spans="2:13" ht="16.5" x14ac:dyDescent="0.3">
      <c r="B55" s="147" t="s">
        <v>46</v>
      </c>
      <c r="C55" s="148">
        <f>+SUM(C50)-SUM((C51:C54))</f>
        <v>0</v>
      </c>
      <c r="D55" s="148">
        <f>+SUM(D50)-SUM((D51:D54))</f>
        <v>67695</v>
      </c>
      <c r="E55" s="148">
        <f>+SUM(E50)-SUM((E51:E54))</f>
        <v>67695</v>
      </c>
      <c r="F55" s="148">
        <f>+SUM(F50)-SUM((F51:F54))</f>
        <v>67695</v>
      </c>
      <c r="G55" s="148">
        <f>+SUM(G50)-SUM((G51:G54))</f>
        <v>66675</v>
      </c>
      <c r="H55" s="66"/>
    </row>
    <row r="56" spans="2:13" ht="18" customHeight="1" x14ac:dyDescent="0.3">
      <c r="B56" s="71" t="s">
        <v>47</v>
      </c>
      <c r="C56" s="74">
        <f>+C49+C55</f>
        <v>-92750</v>
      </c>
      <c r="D56" s="74">
        <f>+D49+D55</f>
        <v>67695</v>
      </c>
      <c r="E56" s="74">
        <f>+E49+E55</f>
        <v>67695</v>
      </c>
      <c r="F56" s="74">
        <f>+F49+F55</f>
        <v>67695</v>
      </c>
      <c r="G56" s="74">
        <f>+G49+G55</f>
        <v>70075</v>
      </c>
      <c r="H56" s="67"/>
    </row>
    <row r="58" spans="2:13" x14ac:dyDescent="0.25">
      <c r="B58" t="s">
        <v>94</v>
      </c>
      <c r="C58" s="173">
        <f>NPV('costo capital'!J17,D56:G56)</f>
        <v>238380.57006574821</v>
      </c>
    </row>
    <row r="59" spans="2:13" x14ac:dyDescent="0.25">
      <c r="B59" t="s">
        <v>122</v>
      </c>
      <c r="C59" s="19">
        <f>IRR(C56:G56)</f>
        <v>0.62834413715971893</v>
      </c>
    </row>
    <row r="61" spans="2:13" x14ac:dyDescent="0.25">
      <c r="B61" s="191" t="s">
        <v>99</v>
      </c>
      <c r="C61" s="191"/>
      <c r="D61" s="191"/>
      <c r="E61" s="191"/>
      <c r="F61" s="191"/>
      <c r="G61" s="191"/>
      <c r="H61" s="26"/>
      <c r="I61" s="26"/>
      <c r="J61" s="26"/>
      <c r="K61" s="26"/>
      <c r="L61" s="26"/>
      <c r="M61" s="26"/>
    </row>
    <row r="63" spans="2:13" x14ac:dyDescent="0.25">
      <c r="B63" s="175" t="s">
        <v>18</v>
      </c>
      <c r="C63" s="176" t="s">
        <v>19</v>
      </c>
      <c r="D63" s="177"/>
      <c r="E63" s="177"/>
      <c r="F63" s="177"/>
      <c r="G63" s="177"/>
      <c r="H63" s="195"/>
      <c r="I63" s="194"/>
      <c r="J63" s="194"/>
      <c r="K63" s="194"/>
      <c r="L63" s="194"/>
      <c r="M63" s="194"/>
    </row>
    <row r="64" spans="2:13" x14ac:dyDescent="0.25">
      <c r="B64" s="175"/>
      <c r="C64" s="32">
        <f>C43</f>
        <v>0</v>
      </c>
      <c r="D64" s="32">
        <f>D43</f>
        <v>1</v>
      </c>
      <c r="E64" s="41">
        <f>E43</f>
        <v>2</v>
      </c>
      <c r="F64" s="32">
        <f>F43</f>
        <v>3</v>
      </c>
      <c r="G64" s="41">
        <f>G43</f>
        <v>4</v>
      </c>
      <c r="H64" s="195"/>
      <c r="I64" s="75"/>
      <c r="J64" s="75"/>
      <c r="K64" s="75"/>
      <c r="L64" s="75"/>
      <c r="M64" s="75"/>
    </row>
    <row r="65" spans="2:13" x14ac:dyDescent="0.25">
      <c r="B65" s="70" t="s">
        <v>100</v>
      </c>
      <c r="C65" s="77">
        <f>+C56</f>
        <v>-92750</v>
      </c>
      <c r="D65" s="77">
        <f>+D56</f>
        <v>67695</v>
      </c>
      <c r="E65" s="77">
        <f>+E56</f>
        <v>67695</v>
      </c>
      <c r="F65" s="77">
        <f>+F56</f>
        <v>67695</v>
      </c>
      <c r="G65" s="77">
        <f>+G56</f>
        <v>70075</v>
      </c>
      <c r="H65" s="76"/>
      <c r="I65" s="76"/>
      <c r="J65" s="76"/>
      <c r="K65" s="76"/>
      <c r="L65" s="76"/>
      <c r="M65" s="76"/>
    </row>
    <row r="66" spans="2:13" x14ac:dyDescent="0.25">
      <c r="B66" s="70" t="s">
        <v>101</v>
      </c>
      <c r="C66" s="77">
        <f>+'Alter Sin Py'!D38</f>
        <v>-28500</v>
      </c>
      <c r="D66" s="77">
        <f>+'Alter Sin Py'!E38</f>
        <v>38430</v>
      </c>
      <c r="E66" s="77">
        <f>+'Alter Sin Py'!F38</f>
        <v>38430</v>
      </c>
      <c r="F66" s="77">
        <f>+'Alter Sin Py'!G38</f>
        <v>38430</v>
      </c>
      <c r="G66" s="77">
        <f>+'Alter Sin Py'!H38</f>
        <v>38430</v>
      </c>
      <c r="H66" s="76"/>
      <c r="I66" s="76"/>
      <c r="J66" s="76"/>
      <c r="K66" s="76"/>
      <c r="L66" s="76"/>
      <c r="M66" s="76"/>
    </row>
    <row r="67" spans="2:13" x14ac:dyDescent="0.25">
      <c r="B67" s="71" t="s">
        <v>49</v>
      </c>
      <c r="C67" s="168">
        <f>C65-C66</f>
        <v>-64250</v>
      </c>
      <c r="D67" s="39">
        <f>D65-D66</f>
        <v>29265</v>
      </c>
      <c r="E67" s="39">
        <f>E65-E66</f>
        <v>29265</v>
      </c>
      <c r="F67" s="39">
        <f>F65-F66</f>
        <v>29265</v>
      </c>
      <c r="G67" s="39">
        <f>G65-G66</f>
        <v>31645</v>
      </c>
    </row>
    <row r="69" spans="2:13" x14ac:dyDescent="0.25">
      <c r="B69" s="191" t="s">
        <v>89</v>
      </c>
      <c r="C69" s="191"/>
      <c r="D69" s="191"/>
      <c r="E69" s="191"/>
      <c r="F69" s="191"/>
      <c r="G69" s="191"/>
      <c r="H69" s="196"/>
      <c r="I69" s="196"/>
      <c r="J69" s="196"/>
      <c r="K69" s="196"/>
      <c r="L69" s="196"/>
      <c r="M69" s="196"/>
    </row>
    <row r="71" spans="2:13" x14ac:dyDescent="0.25">
      <c r="B71" s="175" t="s">
        <v>18</v>
      </c>
      <c r="C71" s="197" t="s">
        <v>19</v>
      </c>
      <c r="D71" s="197"/>
      <c r="E71" s="197"/>
      <c r="F71" s="197"/>
      <c r="G71" s="197"/>
    </row>
    <row r="72" spans="2:13" x14ac:dyDescent="0.25">
      <c r="B72" s="175"/>
      <c r="C72" s="32">
        <v>0</v>
      </c>
      <c r="D72" s="32">
        <v>1</v>
      </c>
      <c r="E72" s="32">
        <v>2</v>
      </c>
      <c r="F72" s="32">
        <v>3</v>
      </c>
      <c r="G72" s="32">
        <v>4</v>
      </c>
    </row>
    <row r="73" spans="2:13" x14ac:dyDescent="0.25">
      <c r="B73" s="79" t="str">
        <f t="shared" ref="B73:G73" si="3">B65</f>
        <v>FCE Con Equipos Nuevos</v>
      </c>
      <c r="C73" s="79">
        <f t="shared" si="3"/>
        <v>-92750</v>
      </c>
      <c r="D73" s="141">
        <f t="shared" si="3"/>
        <v>67695</v>
      </c>
      <c r="E73" s="141">
        <f t="shared" si="3"/>
        <v>67695</v>
      </c>
      <c r="F73" s="141">
        <f t="shared" si="3"/>
        <v>67695</v>
      </c>
      <c r="G73" s="141">
        <f t="shared" si="3"/>
        <v>70075</v>
      </c>
    </row>
    <row r="74" spans="2:13" x14ac:dyDescent="0.25">
      <c r="B74" s="80" t="s">
        <v>50</v>
      </c>
      <c r="C74" s="81"/>
      <c r="D74" s="81"/>
      <c r="E74" s="81"/>
      <c r="F74" s="81"/>
      <c r="G74" s="81"/>
    </row>
    <row r="75" spans="2:13" x14ac:dyDescent="0.25">
      <c r="B75" s="82" t="s">
        <v>51</v>
      </c>
      <c r="C75" s="84">
        <f>+J32</f>
        <v>25000</v>
      </c>
      <c r="D75" s="86"/>
      <c r="E75" s="86"/>
      <c r="F75" s="86"/>
      <c r="G75" s="86"/>
    </row>
    <row r="76" spans="2:13" x14ac:dyDescent="0.25">
      <c r="B76" s="82" t="s">
        <v>52</v>
      </c>
      <c r="C76" s="86"/>
      <c r="D76" s="144">
        <f>+$K$41</f>
        <v>12500</v>
      </c>
      <c r="E76" s="144">
        <f>+$K$41</f>
        <v>12500</v>
      </c>
      <c r="F76" s="84"/>
      <c r="G76" s="86"/>
    </row>
    <row r="77" spans="2:13" x14ac:dyDescent="0.25">
      <c r="B77" s="82" t="s">
        <v>53</v>
      </c>
      <c r="C77" s="86"/>
      <c r="D77" s="142">
        <f>+L41</f>
        <v>8009.7087378640745</v>
      </c>
      <c r="E77" s="142">
        <f>+L42</f>
        <v>4004.8543689320372</v>
      </c>
      <c r="F77" s="86"/>
      <c r="G77" s="86"/>
    </row>
    <row r="78" spans="2:13" x14ac:dyDescent="0.25">
      <c r="B78" s="82" t="s">
        <v>54</v>
      </c>
      <c r="C78" s="86"/>
      <c r="D78" s="142">
        <f>+D77*0.3</f>
        <v>2402.9126213592222</v>
      </c>
      <c r="E78" s="142">
        <f>+E77*0.3</f>
        <v>1201.4563106796111</v>
      </c>
      <c r="F78" s="86"/>
      <c r="G78" s="86"/>
    </row>
    <row r="79" spans="2:13" x14ac:dyDescent="0.25">
      <c r="B79" s="83" t="s">
        <v>55</v>
      </c>
      <c r="C79" s="85">
        <f>+C75-C76-C77-C78</f>
        <v>25000</v>
      </c>
      <c r="D79" s="85">
        <f>+D75-D76-D77-D78</f>
        <v>-22912.621359223296</v>
      </c>
      <c r="E79" s="85">
        <f>+E75-E76-E77-E78</f>
        <v>-17706.310679611648</v>
      </c>
      <c r="F79" s="85">
        <v>0</v>
      </c>
      <c r="G79" s="85">
        <f>+G75-G76-G77-G78</f>
        <v>0</v>
      </c>
    </row>
    <row r="80" spans="2:13" x14ac:dyDescent="0.25">
      <c r="B80" s="169" t="s">
        <v>104</v>
      </c>
      <c r="C80" s="78">
        <f>C73+C79</f>
        <v>-67750</v>
      </c>
      <c r="D80" s="78">
        <f>D73+D79</f>
        <v>44782.378640776704</v>
      </c>
      <c r="E80" s="78">
        <f>E73+E79</f>
        <v>49988.689320388352</v>
      </c>
      <c r="F80" s="78">
        <f>F73+F79</f>
        <v>67695</v>
      </c>
      <c r="G80" s="78">
        <f>G73+G79</f>
        <v>70075</v>
      </c>
    </row>
    <row r="83" spans="2:8" x14ac:dyDescent="0.25">
      <c r="B83" s="9" t="s">
        <v>56</v>
      </c>
    </row>
    <row r="84" spans="2:8" x14ac:dyDescent="0.25">
      <c r="H84" s="58">
        <f>+'costo capital'!J14</f>
        <v>8.8180610871179455E-2</v>
      </c>
    </row>
    <row r="85" spans="2:8" x14ac:dyDescent="0.25">
      <c r="B85" s="170" t="s">
        <v>84</v>
      </c>
      <c r="C85" s="171">
        <f>NPV(H84,C67:G67)</f>
        <v>29992.83528069446</v>
      </c>
    </row>
    <row r="86" spans="2:8" x14ac:dyDescent="0.25">
      <c r="H86" s="58">
        <f>+'costo capital'!M41</f>
        <v>0.32038834951456296</v>
      </c>
    </row>
    <row r="87" spans="2:8" x14ac:dyDescent="0.25">
      <c r="B87" s="88" t="s">
        <v>85</v>
      </c>
      <c r="C87" s="172">
        <f>IRR(C67:G67)</f>
        <v>0.29980093327895507</v>
      </c>
    </row>
    <row r="90" spans="2:8" x14ac:dyDescent="0.25">
      <c r="B90" s="9" t="s">
        <v>63</v>
      </c>
    </row>
    <row r="94" spans="2:8" x14ac:dyDescent="0.25">
      <c r="C94" s="97">
        <f>NPV(H84,D73:G73)+C73</f>
        <v>129138.88280586377</v>
      </c>
    </row>
    <row r="96" spans="2:8" x14ac:dyDescent="0.25">
      <c r="B96" s="202" t="s">
        <v>90</v>
      </c>
      <c r="C96" s="202"/>
    </row>
    <row r="98" spans="2:3" ht="26.25" customHeight="1" x14ac:dyDescent="0.25">
      <c r="C98" s="143">
        <f>NPV(H86,D78:E78)</f>
        <v>2508.9884299307946</v>
      </c>
    </row>
    <row r="99" spans="2:3" ht="18.75" customHeight="1" x14ac:dyDescent="0.25"/>
    <row r="101" spans="2:3" x14ac:dyDescent="0.25">
      <c r="C101" s="98">
        <f>C94+C98</f>
        <v>131647.87123579456</v>
      </c>
    </row>
    <row r="102" spans="2:3" ht="11.25" customHeight="1" x14ac:dyDescent="0.25"/>
    <row r="103" spans="2:3" x14ac:dyDescent="0.25">
      <c r="B103" s="119" t="s">
        <v>64</v>
      </c>
      <c r="C103" s="120">
        <f>+IRR(C80:G80)</f>
        <v>0.67631100310892078</v>
      </c>
    </row>
  </sheetData>
  <mergeCells count="23">
    <mergeCell ref="B96:C96"/>
    <mergeCell ref="B24:G24"/>
    <mergeCell ref="B26:B27"/>
    <mergeCell ref="C26:G26"/>
    <mergeCell ref="B16:I16"/>
    <mergeCell ref="B69:G69"/>
    <mergeCell ref="H69:M69"/>
    <mergeCell ref="B71:B72"/>
    <mergeCell ref="C71:G71"/>
    <mergeCell ref="B63:B64"/>
    <mergeCell ref="K15:Q15"/>
    <mergeCell ref="B40:G40"/>
    <mergeCell ref="B42:B43"/>
    <mergeCell ref="C42:G42"/>
    <mergeCell ref="B38:G38"/>
    <mergeCell ref="B61:G61"/>
    <mergeCell ref="B6:B7"/>
    <mergeCell ref="C6:D6"/>
    <mergeCell ref="E6:E7"/>
    <mergeCell ref="F6:F7"/>
    <mergeCell ref="I63:M63"/>
    <mergeCell ref="C63:G63"/>
    <mergeCell ref="H63:H64"/>
  </mergeCells>
  <printOptions horizontalCentered="1"/>
  <pageMargins left="0.70866141732283472" right="0.70866141732283472" top="1.3385826771653544" bottom="0.74803149606299213" header="0.31496062992125984" footer="0.31496062992125984"/>
  <pageSetup scale="95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1"/>
  <sheetViews>
    <sheetView workbookViewId="0">
      <selection sqref="A1:IV65536"/>
    </sheetView>
  </sheetViews>
  <sheetFormatPr baseColWidth="10" defaultRowHeight="15" x14ac:dyDescent="0.25"/>
  <cols>
    <col min="6" max="8" width="2.85546875" customWidth="1"/>
    <col min="9" max="9" width="14.28515625" customWidth="1"/>
    <col min="10" max="10" width="9.5703125" customWidth="1"/>
    <col min="11" max="11" width="15.5703125" customWidth="1"/>
    <col min="14" max="14" width="10.140625" customWidth="1"/>
    <col min="16" max="16" width="17.140625" customWidth="1"/>
  </cols>
  <sheetData>
    <row r="1" spans="2:19" s="89" customFormat="1" x14ac:dyDescent="0.25"/>
    <row r="2" spans="2:19" x14ac:dyDescent="0.25">
      <c r="B2" s="9" t="s">
        <v>57</v>
      </c>
    </row>
    <row r="5" spans="2:19" x14ac:dyDescent="0.25">
      <c r="J5" s="58">
        <v>3.6600000000000001E-2</v>
      </c>
      <c r="K5" s="58"/>
      <c r="L5" s="90"/>
    </row>
    <row r="7" spans="2:19" x14ac:dyDescent="0.25">
      <c r="J7" s="58">
        <f>[1]Rm!M23</f>
        <v>7.5222447123215477E-2</v>
      </c>
      <c r="L7" s="90"/>
    </row>
    <row r="9" spans="2:19" x14ac:dyDescent="0.25">
      <c r="J9" s="58">
        <v>2.3E-2</v>
      </c>
      <c r="L9" s="90"/>
    </row>
    <row r="10" spans="2:19" x14ac:dyDescent="0.25">
      <c r="O10">
        <f>+(K20)/((1)+((((1-K22)*(0.38)))))</f>
        <v>0.75829383886255919</v>
      </c>
    </row>
    <row r="11" spans="2:19" x14ac:dyDescent="0.25">
      <c r="J11" s="91">
        <v>0.74</v>
      </c>
      <c r="O11" t="s">
        <v>105</v>
      </c>
    </row>
    <row r="13" spans="2:19" x14ac:dyDescent="0.25">
      <c r="Q13">
        <v>0.91</v>
      </c>
    </row>
    <row r="14" spans="2:19" x14ac:dyDescent="0.25">
      <c r="J14" s="94">
        <f>J5+J11*(J7-J5)+J9</f>
        <v>8.8180610871179455E-2</v>
      </c>
      <c r="Q14">
        <v>1</v>
      </c>
      <c r="R14">
        <f>1-0.1</f>
        <v>0.9</v>
      </c>
      <c r="S14">
        <v>0.38</v>
      </c>
    </row>
    <row r="15" spans="2:19" x14ac:dyDescent="0.25">
      <c r="R15">
        <f>+R14*S14</f>
        <v>0.34200000000000003</v>
      </c>
      <c r="S15">
        <f>+Q13/R16</f>
        <v>0.67809239940387478</v>
      </c>
    </row>
    <row r="16" spans="2:19" x14ac:dyDescent="0.25">
      <c r="R16">
        <f>+R15+Q14</f>
        <v>1.3420000000000001</v>
      </c>
    </row>
    <row r="17" spans="2:13" x14ac:dyDescent="0.25">
      <c r="J17" s="95">
        <f>((1+J14)/(1+'Alter Con py'!J36)-1)</f>
        <v>5.6486029972018681E-2</v>
      </c>
    </row>
    <row r="19" spans="2:13" s="18" customFormat="1" ht="15.75" x14ac:dyDescent="0.25">
      <c r="I19" s="211" t="s">
        <v>71</v>
      </c>
      <c r="J19" s="212"/>
      <c r="K19" s="213"/>
    </row>
    <row r="20" spans="2:13" x14ac:dyDescent="0.25">
      <c r="I20" s="113" t="s">
        <v>65</v>
      </c>
      <c r="J20" s="23"/>
      <c r="K20" s="114">
        <v>0.96</v>
      </c>
      <c r="L20" t="s">
        <v>112</v>
      </c>
    </row>
    <row r="21" spans="2:13" x14ac:dyDescent="0.25">
      <c r="I21" s="113" t="s">
        <v>66</v>
      </c>
      <c r="J21" s="23"/>
      <c r="K21" s="115">
        <f>+M32</f>
        <v>0.36900369003690037</v>
      </c>
      <c r="M21" s="21"/>
    </row>
    <row r="22" spans="2:13" x14ac:dyDescent="0.25">
      <c r="I22" s="113" t="s">
        <v>95</v>
      </c>
      <c r="J22" s="23"/>
      <c r="K22" s="114">
        <v>0.3</v>
      </c>
    </row>
    <row r="23" spans="2:13" x14ac:dyDescent="0.25">
      <c r="I23" s="113" t="s">
        <v>67</v>
      </c>
      <c r="J23" s="23"/>
      <c r="K23" s="114">
        <v>0.64</v>
      </c>
      <c r="L23" t="s">
        <v>112</v>
      </c>
    </row>
    <row r="24" spans="2:13" x14ac:dyDescent="0.25">
      <c r="I24" s="113" t="s">
        <v>68</v>
      </c>
      <c r="J24" s="23"/>
      <c r="K24" s="116">
        <f>+J5</f>
        <v>3.6600000000000001E-2</v>
      </c>
    </row>
    <row r="25" spans="2:13" x14ac:dyDescent="0.25">
      <c r="I25" s="113" t="s">
        <v>69</v>
      </c>
      <c r="J25" s="23"/>
      <c r="K25" s="116">
        <f>+J7</f>
        <v>7.5222447123215477E-2</v>
      </c>
    </row>
    <row r="26" spans="2:13" x14ac:dyDescent="0.25">
      <c r="B26" s="92" t="s">
        <v>96</v>
      </c>
      <c r="C26" s="92"/>
      <c r="D26" s="92"/>
      <c r="E26" s="92"/>
      <c r="F26" s="92"/>
      <c r="G26" s="92"/>
      <c r="H26" s="92"/>
      <c r="I26" s="117" t="s">
        <v>70</v>
      </c>
      <c r="J26" s="14"/>
      <c r="K26" s="118">
        <f>+J9</f>
        <v>2.3E-2</v>
      </c>
    </row>
    <row r="27" spans="2:13" x14ac:dyDescent="0.25">
      <c r="I27" s="113"/>
      <c r="J27" s="23"/>
      <c r="K27" s="114"/>
    </row>
    <row r="28" spans="2:13" x14ac:dyDescent="0.25">
      <c r="I28" s="113" t="s">
        <v>72</v>
      </c>
      <c r="J28" s="23"/>
      <c r="K28" s="114"/>
    </row>
    <row r="29" spans="2:13" x14ac:dyDescent="0.25">
      <c r="I29" s="210" t="s">
        <v>73</v>
      </c>
      <c r="J29" s="210"/>
      <c r="K29" s="112">
        <f>+K30</f>
        <v>8.8180610871179455E-2</v>
      </c>
    </row>
    <row r="30" spans="2:13" x14ac:dyDescent="0.25">
      <c r="I30" s="214" t="s">
        <v>74</v>
      </c>
      <c r="J30" s="214"/>
      <c r="K30" s="111">
        <f>+J14</f>
        <v>8.8180610871179455E-2</v>
      </c>
    </row>
    <row r="32" spans="2:13" x14ac:dyDescent="0.25">
      <c r="J32" s="91">
        <f>J11*(1+(1-M34)*(M32))</f>
        <v>0.93114391143911446</v>
      </c>
      <c r="K32" s="21" t="s">
        <v>59</v>
      </c>
      <c r="L32" s="21" t="s">
        <v>60</v>
      </c>
      <c r="M32" s="10">
        <f>-'Alter Con py'!C75/'Alter Con py'!C80</f>
        <v>0.36900369003690037</v>
      </c>
    </row>
    <row r="34" spans="2:13" x14ac:dyDescent="0.25">
      <c r="J34" s="95">
        <f>J5+J32*(J7-J5)+J9</f>
        <v>9.556305648366123E-2</v>
      </c>
      <c r="K34" t="s">
        <v>58</v>
      </c>
      <c r="M34" s="19">
        <v>0.3</v>
      </c>
    </row>
    <row r="36" spans="2:13" x14ac:dyDescent="0.25">
      <c r="J36" s="95">
        <f>((1+J34)/(1+'Alter Con py'!J36)-1)</f>
        <v>6.3653452896758278E-2</v>
      </c>
    </row>
    <row r="38" spans="2:13" s="18" customFormat="1" x14ac:dyDescent="0.25"/>
    <row r="39" spans="2:13" s="18" customFormat="1" x14ac:dyDescent="0.25">
      <c r="B39" s="92" t="s">
        <v>61</v>
      </c>
      <c r="C39" s="93"/>
      <c r="D39" s="93"/>
      <c r="E39" s="93"/>
      <c r="F39" s="93"/>
      <c r="G39" s="93"/>
      <c r="H39" s="93"/>
      <c r="I39" s="93"/>
      <c r="J39" s="93"/>
    </row>
    <row r="41" spans="2:13" x14ac:dyDescent="0.25">
      <c r="J41" s="94">
        <f>+'Alter Con py'!J33</f>
        <v>0.36</v>
      </c>
      <c r="L41" s="21" t="s">
        <v>62</v>
      </c>
      <c r="M41" s="95">
        <f>((1+J41)/(1+'Alter Con py'!J36))-1</f>
        <v>0.32038834951456296</v>
      </c>
    </row>
    <row r="43" spans="2:13" x14ac:dyDescent="0.25">
      <c r="J43" s="96">
        <f>'Alter Con py'!C80/'Alter Con py'!C73</f>
        <v>0.73045822102425872</v>
      </c>
    </row>
    <row r="45" spans="2:13" x14ac:dyDescent="0.25">
      <c r="J45" s="96">
        <f>-'Alter Con py'!C75/'Alter Con py'!C73</f>
        <v>0.26954177897574122</v>
      </c>
    </row>
    <row r="48" spans="2:13" x14ac:dyDescent="0.25">
      <c r="J48" s="95">
        <f>J43*J34+J45*J41*(1-M34)</f>
        <v>0.1377293485365827</v>
      </c>
    </row>
    <row r="51" spans="10:10" x14ac:dyDescent="0.25">
      <c r="J51" s="95">
        <f>((1+J48)/(1+'Alter Con py'!J36))-1</f>
        <v>0.10459160052095395</v>
      </c>
    </row>
  </sheetData>
  <mergeCells count="3">
    <mergeCell ref="I29:J29"/>
    <mergeCell ref="I19:K19"/>
    <mergeCell ref="I30:J30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103"/>
  <sheetViews>
    <sheetView topLeftCell="A27" workbookViewId="0">
      <selection activeCell="C46" sqref="C46"/>
    </sheetView>
  </sheetViews>
  <sheetFormatPr baseColWidth="10" defaultRowHeight="15" x14ac:dyDescent="0.25"/>
  <cols>
    <col min="2" max="2" width="26.7109375" customWidth="1"/>
    <col min="3" max="3" width="10.140625" customWidth="1"/>
    <col min="5" max="6" width="9" customWidth="1"/>
    <col min="7" max="7" width="9.42578125" customWidth="1"/>
    <col min="8" max="8" width="7" customWidth="1"/>
    <col min="9" max="9" width="19" customWidth="1"/>
    <col min="11" max="11" width="19.85546875" customWidth="1"/>
    <col min="12" max="12" width="8.7109375" customWidth="1"/>
    <col min="13" max="15" width="7.42578125" customWidth="1"/>
    <col min="16" max="16" width="8" customWidth="1"/>
    <col min="17" max="17" width="10.7109375" customWidth="1"/>
  </cols>
  <sheetData>
    <row r="2" spans="2:17" ht="16.5" x14ac:dyDescent="0.3">
      <c r="B2" s="22" t="s">
        <v>87</v>
      </c>
      <c r="C2" s="1"/>
      <c r="D2" s="1"/>
      <c r="E2" s="1"/>
      <c r="F2" s="1"/>
      <c r="G2" s="1"/>
      <c r="H2" s="1"/>
    </row>
    <row r="3" spans="2:17" ht="16.5" x14ac:dyDescent="0.3">
      <c r="B3" s="2" t="s">
        <v>102</v>
      </c>
      <c r="C3" s="3"/>
      <c r="D3" s="3"/>
      <c r="E3" s="1"/>
      <c r="F3" s="1"/>
      <c r="G3" s="1"/>
      <c r="H3" s="1"/>
    </row>
    <row r="4" spans="2:17" ht="16.5" x14ac:dyDescent="0.3">
      <c r="B4" s="2" t="s">
        <v>25</v>
      </c>
      <c r="C4" s="3"/>
      <c r="D4" s="3"/>
      <c r="E4" s="1"/>
      <c r="F4" s="1"/>
      <c r="G4" s="1"/>
      <c r="H4" s="1"/>
    </row>
    <row r="5" spans="2:17" ht="13.5" customHeight="1" x14ac:dyDescent="0.3">
      <c r="G5" s="12"/>
      <c r="H5" s="12"/>
      <c r="I5" s="14"/>
    </row>
    <row r="6" spans="2:17" ht="16.5" x14ac:dyDescent="0.3">
      <c r="B6" s="192" t="s">
        <v>116</v>
      </c>
      <c r="C6" s="192" t="s">
        <v>75</v>
      </c>
      <c r="D6" s="192"/>
      <c r="E6" s="193" t="s">
        <v>76</v>
      </c>
      <c r="F6" s="193" t="s">
        <v>77</v>
      </c>
      <c r="G6" s="12"/>
      <c r="H6" s="12"/>
      <c r="I6" s="14"/>
    </row>
    <row r="7" spans="2:17" ht="16.5" x14ac:dyDescent="0.3">
      <c r="B7" s="192"/>
      <c r="C7" s="149" t="s">
        <v>78</v>
      </c>
      <c r="D7" s="149" t="s">
        <v>0</v>
      </c>
      <c r="E7" s="193"/>
      <c r="F7" s="193"/>
      <c r="G7" s="12"/>
      <c r="H7" s="12"/>
      <c r="I7" s="14"/>
    </row>
    <row r="8" spans="2:17" ht="16.5" x14ac:dyDescent="0.3">
      <c r="B8" s="154" t="s">
        <v>106</v>
      </c>
      <c r="C8" s="4">
        <v>100</v>
      </c>
      <c r="D8" s="20">
        <v>150</v>
      </c>
      <c r="E8" s="136">
        <v>60</v>
      </c>
      <c r="F8" s="68">
        <v>40</v>
      </c>
      <c r="G8" s="12"/>
      <c r="H8" s="12"/>
      <c r="I8" s="14"/>
    </row>
    <row r="9" spans="2:17" ht="13.5" hidden="1" customHeight="1" x14ac:dyDescent="0.3">
      <c r="B9" s="154" t="s">
        <v>107</v>
      </c>
      <c r="C9" s="4">
        <v>180</v>
      </c>
      <c r="D9" s="20">
        <v>230.4</v>
      </c>
      <c r="E9" s="68">
        <v>2.5</v>
      </c>
      <c r="F9" s="68">
        <v>1.4</v>
      </c>
      <c r="G9" s="12"/>
      <c r="H9" s="12"/>
      <c r="I9" s="14"/>
    </row>
    <row r="10" spans="2:17" ht="13.5" hidden="1" customHeight="1" x14ac:dyDescent="0.3">
      <c r="B10" s="154" t="s">
        <v>108</v>
      </c>
      <c r="C10" s="4">
        <v>180</v>
      </c>
      <c r="D10" s="20">
        <v>230.4</v>
      </c>
      <c r="E10" s="68">
        <v>3</v>
      </c>
      <c r="F10" s="68">
        <v>1.6</v>
      </c>
      <c r="G10" s="137"/>
      <c r="H10" s="139"/>
      <c r="I10" s="14"/>
    </row>
    <row r="11" spans="2:17" ht="13.5" hidden="1" customHeight="1" x14ac:dyDescent="0.3">
      <c r="B11" s="137"/>
      <c r="C11" s="138"/>
      <c r="D11" s="138"/>
      <c r="E11" s="12"/>
      <c r="F11" s="12"/>
      <c r="G11" s="12"/>
      <c r="H11" s="14"/>
      <c r="I11" s="14"/>
    </row>
    <row r="12" spans="2:17" ht="16.5" x14ac:dyDescent="0.3">
      <c r="B12" s="154" t="s">
        <v>107</v>
      </c>
      <c r="C12" s="4">
        <v>50</v>
      </c>
      <c r="D12" s="20">
        <v>75</v>
      </c>
      <c r="E12" s="68">
        <v>350</v>
      </c>
      <c r="F12" s="68">
        <v>250</v>
      </c>
      <c r="G12" s="12"/>
      <c r="H12" s="14"/>
      <c r="I12" s="14"/>
    </row>
    <row r="13" spans="2:17" ht="16.5" x14ac:dyDescent="0.3">
      <c r="B13" s="154" t="s">
        <v>108</v>
      </c>
      <c r="C13" s="4">
        <v>50</v>
      </c>
      <c r="D13" s="20">
        <v>75</v>
      </c>
      <c r="E13" s="68">
        <v>480</v>
      </c>
      <c r="F13" s="68">
        <v>300</v>
      </c>
      <c r="G13" s="12"/>
      <c r="H13" s="140"/>
      <c r="I13" s="14"/>
    </row>
    <row r="14" spans="2:17" ht="16.5" x14ac:dyDescent="0.3">
      <c r="B14" s="5"/>
      <c r="C14" s="5"/>
      <c r="D14" s="5"/>
      <c r="E14" s="12"/>
      <c r="F14" s="12"/>
      <c r="G14" s="12"/>
      <c r="H14" s="140"/>
      <c r="I14" s="14"/>
    </row>
    <row r="15" spans="2:17" x14ac:dyDescent="0.25">
      <c r="K15" s="198"/>
      <c r="L15" s="198"/>
      <c r="M15" s="198"/>
      <c r="N15" s="198"/>
      <c r="O15" s="198"/>
      <c r="P15" s="198"/>
      <c r="Q15" s="198"/>
    </row>
    <row r="16" spans="2:17" x14ac:dyDescent="0.25">
      <c r="B16" s="207" t="s">
        <v>26</v>
      </c>
      <c r="C16" s="208"/>
      <c r="D16" s="208"/>
      <c r="E16" s="208"/>
      <c r="F16" s="208"/>
      <c r="G16" s="208"/>
      <c r="H16" s="208"/>
      <c r="I16" s="209"/>
      <c r="K16" s="44"/>
      <c r="L16" s="45"/>
      <c r="M16" s="46"/>
      <c r="N16" s="46"/>
      <c r="O16" s="47"/>
      <c r="P16" s="47"/>
      <c r="Q16" s="47"/>
    </row>
    <row r="17" spans="2:19" ht="27" x14ac:dyDescent="0.25">
      <c r="B17" s="151" t="s">
        <v>10</v>
      </c>
      <c r="C17" s="151" t="s">
        <v>11</v>
      </c>
      <c r="D17" s="152" t="s">
        <v>12</v>
      </c>
      <c r="E17" s="153" t="s">
        <v>17</v>
      </c>
      <c r="F17" s="153" t="s">
        <v>13</v>
      </c>
      <c r="G17" s="153" t="s">
        <v>14</v>
      </c>
      <c r="H17" s="153" t="s">
        <v>15</v>
      </c>
      <c r="I17" s="153" t="s">
        <v>16</v>
      </c>
      <c r="K17" s="48"/>
      <c r="L17" s="49"/>
      <c r="M17" s="50"/>
      <c r="N17" s="51"/>
      <c r="O17" s="52"/>
      <c r="P17" s="53"/>
      <c r="Q17" s="53"/>
      <c r="R17" s="14"/>
      <c r="S17" s="14"/>
    </row>
    <row r="18" spans="2:19" x14ac:dyDescent="0.25">
      <c r="B18" s="24" t="s">
        <v>110</v>
      </c>
      <c r="C18" s="165">
        <v>20000</v>
      </c>
      <c r="D18" s="165">
        <v>4</v>
      </c>
      <c r="E18" s="166">
        <f>1/D18</f>
        <v>0.25</v>
      </c>
      <c r="F18" s="25">
        <f>+C18*E18</f>
        <v>5000</v>
      </c>
      <c r="G18" s="164">
        <v>0</v>
      </c>
      <c r="H18" s="164">
        <f>0.2*(C18-3000)</f>
        <v>3400</v>
      </c>
      <c r="I18" s="164">
        <f>H18-G18</f>
        <v>3400</v>
      </c>
      <c r="K18" s="54"/>
      <c r="L18" s="55"/>
      <c r="M18" s="56"/>
      <c r="N18" s="56"/>
      <c r="O18" s="56"/>
      <c r="P18" s="57"/>
      <c r="Q18" s="57"/>
      <c r="R18" s="14"/>
      <c r="S18" s="14"/>
    </row>
    <row r="19" spans="2:19" x14ac:dyDescent="0.25">
      <c r="B19" s="24" t="s">
        <v>117</v>
      </c>
      <c r="C19" s="165">
        <v>30000</v>
      </c>
      <c r="D19" s="165">
        <v>4</v>
      </c>
      <c r="E19" s="166">
        <f>1/D19</f>
        <v>0.25</v>
      </c>
      <c r="F19" s="25">
        <f>+C19*E19</f>
        <v>7500</v>
      </c>
      <c r="G19" s="164">
        <v>0</v>
      </c>
      <c r="H19" s="164">
        <v>0</v>
      </c>
      <c r="I19" s="164">
        <f>H19-G19</f>
        <v>0</v>
      </c>
      <c r="K19" s="54"/>
      <c r="L19" s="55"/>
      <c r="M19" s="56"/>
      <c r="N19" s="56"/>
      <c r="O19" s="56"/>
      <c r="P19" s="57"/>
      <c r="Q19" s="57"/>
      <c r="R19" s="14"/>
      <c r="S19" s="14"/>
    </row>
    <row r="20" spans="2:19" x14ac:dyDescent="0.25">
      <c r="B20" s="163" t="s">
        <v>118</v>
      </c>
      <c r="C20" s="163">
        <f>C18+C19</f>
        <v>50000</v>
      </c>
      <c r="D20" s="163">
        <f t="shared" ref="D20:I20" si="0">D18+D19</f>
        <v>8</v>
      </c>
      <c r="E20" s="163">
        <f t="shared" si="0"/>
        <v>0.5</v>
      </c>
      <c r="F20" s="163">
        <f t="shared" si="0"/>
        <v>12500</v>
      </c>
      <c r="G20" s="163">
        <f t="shared" si="0"/>
        <v>0</v>
      </c>
      <c r="H20" s="163">
        <f t="shared" si="0"/>
        <v>3400</v>
      </c>
      <c r="I20" s="163">
        <f t="shared" si="0"/>
        <v>3400</v>
      </c>
      <c r="K20" s="54"/>
      <c r="L20" s="55"/>
      <c r="M20" s="56"/>
      <c r="N20" s="56"/>
      <c r="O20" s="56"/>
      <c r="P20" s="57"/>
      <c r="Q20" s="57"/>
      <c r="R20" s="14"/>
      <c r="S20" s="14"/>
    </row>
    <row r="21" spans="2:19" x14ac:dyDescent="0.25">
      <c r="K21" s="14"/>
      <c r="L21" s="14"/>
      <c r="M21" s="14"/>
      <c r="N21" s="14"/>
      <c r="O21" s="14"/>
      <c r="P21" s="14"/>
      <c r="Q21" s="14"/>
    </row>
    <row r="22" spans="2:19" x14ac:dyDescent="0.25">
      <c r="B22" s="2" t="s">
        <v>88</v>
      </c>
      <c r="C22" s="2"/>
      <c r="D22" s="2"/>
      <c r="E22" s="3"/>
      <c r="F22" s="3"/>
      <c r="G22" s="3"/>
    </row>
    <row r="23" spans="2:19" x14ac:dyDescent="0.25">
      <c r="B23" s="3"/>
      <c r="C23" s="2"/>
      <c r="D23" s="2"/>
      <c r="E23" s="3"/>
      <c r="F23" s="3"/>
      <c r="G23" s="3"/>
    </row>
    <row r="24" spans="2:19" x14ac:dyDescent="0.25">
      <c r="B24" s="203" t="s">
        <v>97</v>
      </c>
      <c r="C24" s="203"/>
      <c r="D24" s="203"/>
      <c r="E24" s="203"/>
      <c r="F24" s="203"/>
      <c r="G24" s="203"/>
    </row>
    <row r="25" spans="2:19" x14ac:dyDescent="0.25">
      <c r="B25" s="157"/>
      <c r="C25" s="157"/>
      <c r="D25" s="157"/>
      <c r="E25" s="157"/>
      <c r="F25" s="157"/>
      <c r="G25" s="157"/>
    </row>
    <row r="26" spans="2:19" x14ac:dyDescent="0.25">
      <c r="B26" s="199" t="s">
        <v>18</v>
      </c>
      <c r="C26" s="204" t="s">
        <v>19</v>
      </c>
      <c r="D26" s="205"/>
      <c r="E26" s="205"/>
      <c r="F26" s="205"/>
      <c r="G26" s="206"/>
    </row>
    <row r="27" spans="2:19" x14ac:dyDescent="0.25">
      <c r="B27" s="199"/>
      <c r="C27" s="159">
        <v>0</v>
      </c>
      <c r="D27" s="159">
        <v>1</v>
      </c>
      <c r="E27" s="159">
        <v>2</v>
      </c>
      <c r="F27" s="159">
        <v>3</v>
      </c>
      <c r="G27" s="159">
        <v>4</v>
      </c>
    </row>
    <row r="28" spans="2:19" x14ac:dyDescent="0.25">
      <c r="B28" s="6" t="s">
        <v>21</v>
      </c>
      <c r="C28" s="7"/>
      <c r="D28" s="7">
        <f>(D8*E8+D12*E12+D13*E13)*12</f>
        <v>855000</v>
      </c>
      <c r="E28" s="7">
        <f>+D28</f>
        <v>855000</v>
      </c>
      <c r="F28" s="7">
        <f>+E28</f>
        <v>855000</v>
      </c>
      <c r="G28" s="7">
        <f>+F28</f>
        <v>855000</v>
      </c>
    </row>
    <row r="29" spans="2:19" x14ac:dyDescent="0.25">
      <c r="B29" s="6" t="s">
        <v>20</v>
      </c>
      <c r="C29" s="7">
        <f>+'Alter Sin Py'!D33</f>
        <v>0</v>
      </c>
      <c r="D29" s="7">
        <f>($D$8*$F$8+$D$12*$F$12+$D$13*$F$13)*12</f>
        <v>567000</v>
      </c>
      <c r="E29" s="7">
        <f>($D$8*$F$8+$D$12*$F$12+$D$13*$F$13)*12</f>
        <v>567000</v>
      </c>
      <c r="F29" s="7">
        <f>($D$8*$F$8+$D$12*$F$12+$D$13*$F$13)*12</f>
        <v>567000</v>
      </c>
      <c r="G29" s="7">
        <f>($D$8*$F$8+$D$12*$F$12+$D$13*$F$13)*12</f>
        <v>567000</v>
      </c>
      <c r="I29" s="43"/>
    </row>
    <row r="30" spans="2:19" x14ac:dyDescent="0.25">
      <c r="B30" s="6" t="s">
        <v>79</v>
      </c>
      <c r="C30" s="33"/>
      <c r="D30" s="33">
        <f>+'Alter Con py'!$D$28*0.15</f>
        <v>128250</v>
      </c>
      <c r="E30" s="33">
        <f>+'Alter Con py'!$D$28*0.15</f>
        <v>128250</v>
      </c>
      <c r="F30" s="33">
        <f>+'Alter Con py'!$D$28*0.15</f>
        <v>128250</v>
      </c>
      <c r="G30" s="33">
        <f>+'Alter Con py'!$D$28*0.15</f>
        <v>128250</v>
      </c>
    </row>
    <row r="31" spans="2:19" x14ac:dyDescent="0.25">
      <c r="B31" s="6" t="s">
        <v>111</v>
      </c>
      <c r="C31" s="33"/>
      <c r="D31" s="33">
        <f>$D$28*0.08</f>
        <v>68400</v>
      </c>
      <c r="E31" s="33">
        <f>$D$28*0.08</f>
        <v>68400</v>
      </c>
      <c r="F31" s="33">
        <f>$D$28*0.08</f>
        <v>68400</v>
      </c>
      <c r="G31" s="33">
        <f>$D$28*0.08</f>
        <v>68400</v>
      </c>
      <c r="I31" s="9" t="s">
        <v>30</v>
      </c>
    </row>
    <row r="32" spans="2:19" x14ac:dyDescent="0.25">
      <c r="B32" s="6" t="s">
        <v>27</v>
      </c>
      <c r="C32" s="33"/>
      <c r="D32" s="33">
        <f>$F$20</f>
        <v>12500</v>
      </c>
      <c r="E32" s="33">
        <f>$F$20</f>
        <v>12500</v>
      </c>
      <c r="F32" s="33">
        <f>$F$20</f>
        <v>12500</v>
      </c>
      <c r="G32" s="33">
        <f>$F$20</f>
        <v>12500</v>
      </c>
      <c r="I32" s="59" t="s">
        <v>31</v>
      </c>
      <c r="J32" s="105">
        <v>25000</v>
      </c>
    </row>
    <row r="33" spans="2:16" x14ac:dyDescent="0.25">
      <c r="B33" s="6" t="s">
        <v>28</v>
      </c>
      <c r="C33" s="33"/>
      <c r="D33" s="33"/>
      <c r="E33" s="33"/>
      <c r="F33" s="33"/>
      <c r="G33" s="33">
        <f>+I18</f>
        <v>3400</v>
      </c>
      <c r="I33" s="59" t="s">
        <v>32</v>
      </c>
      <c r="J33" s="106">
        <v>0.36</v>
      </c>
      <c r="L33" s="18"/>
      <c r="M33" s="146"/>
    </row>
    <row r="34" spans="2:16" x14ac:dyDescent="0.25">
      <c r="B34" s="6" t="s">
        <v>4</v>
      </c>
      <c r="C34" s="42">
        <f>+SUM(C28+C33)-SUM(C29:C32)</f>
        <v>0</v>
      </c>
      <c r="D34" s="42">
        <f>+SUM(D28+D33)-SUM(D29:D32)</f>
        <v>78850</v>
      </c>
      <c r="E34" s="42">
        <f>+SUM(E28+E33)-SUM(E29:E32)</f>
        <v>78850</v>
      </c>
      <c r="F34" s="42">
        <f>+SUM(F28+F33)-SUM(F29:F32)</f>
        <v>78850</v>
      </c>
      <c r="G34" s="42">
        <f>+SUM(G28+G33)-SUM(G29:G32)</f>
        <v>82250</v>
      </c>
      <c r="I34" s="59" t="s">
        <v>33</v>
      </c>
      <c r="J34" s="107">
        <v>2</v>
      </c>
    </row>
    <row r="35" spans="2:16" x14ac:dyDescent="0.25">
      <c r="B35" s="6" t="s">
        <v>5</v>
      </c>
      <c r="C35" s="33">
        <f>+C34</f>
        <v>0</v>
      </c>
      <c r="D35" s="33">
        <f>+D34</f>
        <v>78850</v>
      </c>
      <c r="E35" s="33">
        <f>+E34</f>
        <v>78850</v>
      </c>
      <c r="F35" s="33">
        <f>+F34</f>
        <v>78850</v>
      </c>
      <c r="G35" s="33">
        <f>+G34</f>
        <v>82250</v>
      </c>
      <c r="I35" s="59" t="s">
        <v>34</v>
      </c>
      <c r="J35" s="108">
        <f>((1+J33)/(1+J36))-1</f>
        <v>0.32038834951456296</v>
      </c>
    </row>
    <row r="36" spans="2:16" x14ac:dyDescent="0.25">
      <c r="B36" s="6" t="s">
        <v>80</v>
      </c>
      <c r="C36" s="33"/>
      <c r="D36" s="7">
        <f>+D35*0.3</f>
        <v>23655</v>
      </c>
      <c r="E36" s="7">
        <f>+E35*0.3</f>
        <v>23655</v>
      </c>
      <c r="F36" s="7">
        <f>+F35*0.3</f>
        <v>23655</v>
      </c>
      <c r="G36" s="7">
        <f>+G35*0.3</f>
        <v>24675</v>
      </c>
      <c r="I36" s="59" t="s">
        <v>35</v>
      </c>
      <c r="J36" s="109">
        <v>0.03</v>
      </c>
      <c r="K36" s="60"/>
    </row>
    <row r="37" spans="2:16" x14ac:dyDescent="0.25">
      <c r="B37" s="156" t="s">
        <v>2</v>
      </c>
      <c r="C37" s="39">
        <f>+C35-C36</f>
        <v>0</v>
      </c>
      <c r="D37" s="39">
        <f>+D35-D36</f>
        <v>55195</v>
      </c>
      <c r="E37" s="39">
        <f>+E35-E36</f>
        <v>55195</v>
      </c>
      <c r="F37" s="39">
        <f>+F35-F36</f>
        <v>55195</v>
      </c>
      <c r="G37" s="39">
        <f>+G35-G36</f>
        <v>57575</v>
      </c>
      <c r="I37" s="59" t="s">
        <v>36</v>
      </c>
      <c r="J37" s="110">
        <f>J32/2</f>
        <v>12500</v>
      </c>
    </row>
    <row r="38" spans="2:16" ht="21" customHeight="1" x14ac:dyDescent="0.25">
      <c r="B38" s="201" t="s">
        <v>29</v>
      </c>
      <c r="C38" s="201"/>
      <c r="D38" s="201"/>
      <c r="E38" s="201"/>
      <c r="F38" s="201"/>
      <c r="G38" s="201"/>
    </row>
    <row r="39" spans="2:16" x14ac:dyDescent="0.25">
      <c r="I39" s="9" t="s">
        <v>42</v>
      </c>
    </row>
    <row r="40" spans="2:16" ht="22.5" customHeight="1" x14ac:dyDescent="0.25">
      <c r="B40" s="196" t="s">
        <v>98</v>
      </c>
      <c r="C40" s="196"/>
      <c r="D40" s="196"/>
      <c r="E40" s="196"/>
      <c r="F40" s="196"/>
      <c r="G40" s="196"/>
      <c r="I40" s="100" t="s">
        <v>37</v>
      </c>
      <c r="J40" s="101" t="s">
        <v>38</v>
      </c>
      <c r="K40" s="101" t="s">
        <v>40</v>
      </c>
      <c r="L40" s="101" t="s">
        <v>39</v>
      </c>
      <c r="M40" s="101" t="s">
        <v>86</v>
      </c>
      <c r="N40" s="101" t="s">
        <v>41</v>
      </c>
    </row>
    <row r="41" spans="2:16" ht="12" customHeight="1" x14ac:dyDescent="0.25">
      <c r="D41" s="43"/>
      <c r="I41" s="102">
        <v>1</v>
      </c>
      <c r="J41" s="167">
        <f>J32</f>
        <v>25000</v>
      </c>
      <c r="K41" s="167">
        <f>+J37</f>
        <v>12500</v>
      </c>
      <c r="L41" s="103">
        <f>+J41*$J$35</f>
        <v>8009.7087378640745</v>
      </c>
      <c r="M41" s="104">
        <f>K41+L41</f>
        <v>20509.708737864075</v>
      </c>
      <c r="N41" s="103">
        <f>J41-K41</f>
        <v>12500</v>
      </c>
    </row>
    <row r="42" spans="2:16" x14ac:dyDescent="0.25">
      <c r="B42" s="199" t="s">
        <v>18</v>
      </c>
      <c r="C42" s="200" t="s">
        <v>19</v>
      </c>
      <c r="D42" s="200"/>
      <c r="E42" s="200"/>
      <c r="F42" s="200"/>
      <c r="G42" s="200"/>
      <c r="H42" s="14"/>
      <c r="I42" s="102">
        <v>2</v>
      </c>
      <c r="J42" s="167">
        <f>N41</f>
        <v>12500</v>
      </c>
      <c r="K42" s="167">
        <f>+J37</f>
        <v>12500</v>
      </c>
      <c r="L42" s="103">
        <f>+J42*$J$35</f>
        <v>4004.8543689320372</v>
      </c>
      <c r="M42" s="104">
        <f>K42+L42</f>
        <v>16504.854368932036</v>
      </c>
      <c r="N42" s="103">
        <f>J42-K42</f>
        <v>0</v>
      </c>
    </row>
    <row r="43" spans="2:16" x14ac:dyDescent="0.25">
      <c r="B43" s="199"/>
      <c r="C43" s="159">
        <v>0</v>
      </c>
      <c r="D43" s="159">
        <v>1</v>
      </c>
      <c r="E43" s="159">
        <v>2</v>
      </c>
      <c r="F43" s="159">
        <v>3</v>
      </c>
      <c r="G43" s="159">
        <v>4</v>
      </c>
      <c r="H43" s="14"/>
      <c r="K43" s="61"/>
      <c r="L43" s="62"/>
      <c r="M43" s="99"/>
      <c r="N43" s="62"/>
      <c r="O43" s="64"/>
      <c r="P43" s="62"/>
    </row>
    <row r="44" spans="2:16" ht="16.5" x14ac:dyDescent="0.3">
      <c r="B44" s="8" t="s">
        <v>43</v>
      </c>
      <c r="C44" s="68"/>
      <c r="D44" s="68"/>
      <c r="E44" s="68"/>
      <c r="F44" s="68"/>
      <c r="G44" s="68"/>
      <c r="H44" s="12"/>
      <c r="K44" s="61"/>
      <c r="L44" s="62"/>
      <c r="M44" s="63"/>
      <c r="N44" s="62"/>
      <c r="O44" s="64"/>
      <c r="P44" s="62"/>
    </row>
    <row r="45" spans="2:16" ht="16.5" x14ac:dyDescent="0.3">
      <c r="B45" s="6" t="s">
        <v>48</v>
      </c>
      <c r="C45" s="33">
        <f>-20000</f>
        <v>-20000</v>
      </c>
      <c r="D45" s="33"/>
      <c r="E45" s="33"/>
      <c r="F45" s="33"/>
      <c r="G45" s="33"/>
      <c r="H45" s="65"/>
      <c r="K45" s="61"/>
      <c r="L45" s="62"/>
      <c r="M45" s="63"/>
      <c r="N45" s="62"/>
      <c r="O45" s="64"/>
      <c r="P45" s="62"/>
    </row>
    <row r="46" spans="2:16" ht="16.5" x14ac:dyDescent="0.3">
      <c r="B46" s="6" t="s">
        <v>121</v>
      </c>
      <c r="C46" s="33">
        <v>-30000</v>
      </c>
      <c r="D46" s="33"/>
      <c r="E46" s="33"/>
      <c r="F46" s="33"/>
      <c r="G46" s="33"/>
      <c r="H46" s="65"/>
      <c r="K46" s="61"/>
      <c r="L46" s="62"/>
      <c r="M46" s="63"/>
      <c r="N46" s="62"/>
      <c r="O46" s="64"/>
      <c r="P46" s="62"/>
    </row>
    <row r="47" spans="2:16" ht="16.5" x14ac:dyDescent="0.3">
      <c r="B47" s="6" t="s">
        <v>120</v>
      </c>
      <c r="C47" s="33">
        <f>-D50*0.05</f>
        <v>-42750</v>
      </c>
      <c r="D47" s="33"/>
      <c r="E47" s="33"/>
      <c r="F47" s="33"/>
      <c r="G47" s="33"/>
      <c r="H47" s="65"/>
      <c r="K47" s="61"/>
      <c r="L47" s="62"/>
      <c r="M47" s="63"/>
      <c r="N47" s="62"/>
      <c r="O47" s="64"/>
      <c r="P47" s="62"/>
    </row>
    <row r="48" spans="2:16" ht="16.5" x14ac:dyDescent="0.3">
      <c r="B48" s="6" t="s">
        <v>83</v>
      </c>
      <c r="C48" s="33"/>
      <c r="D48" s="33"/>
      <c r="E48" s="33"/>
      <c r="F48" s="33"/>
      <c r="G48" s="33">
        <f>+H18</f>
        <v>3400</v>
      </c>
      <c r="H48" s="65"/>
    </row>
    <row r="49" spans="2:13" ht="16.5" x14ac:dyDescent="0.3">
      <c r="B49" s="69" t="s">
        <v>44</v>
      </c>
      <c r="C49" s="72">
        <f>C45+C46+C47+C48</f>
        <v>-92750</v>
      </c>
      <c r="D49" s="72">
        <f>D45+D46+D47+D48</f>
        <v>0</v>
      </c>
      <c r="E49" s="72">
        <f>E45+E46+E47+E48</f>
        <v>0</v>
      </c>
      <c r="F49" s="72">
        <f>F45+F46+F47+F48</f>
        <v>0</v>
      </c>
      <c r="G49" s="72">
        <f>G45+G46+G47+G48</f>
        <v>3400</v>
      </c>
      <c r="H49" s="66"/>
    </row>
    <row r="50" spans="2:13" s="18" customFormat="1" ht="16.5" x14ac:dyDescent="0.3">
      <c r="B50" s="70" t="str">
        <f t="shared" ref="B50:G50" si="1">+B28</f>
        <v xml:space="preserve">(+) Ventas netas en s/. </v>
      </c>
      <c r="C50" s="73"/>
      <c r="D50" s="73">
        <f t="shared" si="1"/>
        <v>855000</v>
      </c>
      <c r="E50" s="73">
        <f t="shared" si="1"/>
        <v>855000</v>
      </c>
      <c r="F50" s="73">
        <f t="shared" si="1"/>
        <v>855000</v>
      </c>
      <c r="G50" s="73">
        <f t="shared" si="1"/>
        <v>855000</v>
      </c>
      <c r="H50" s="66"/>
    </row>
    <row r="51" spans="2:13" ht="16.5" x14ac:dyDescent="0.3">
      <c r="B51" s="70" t="str">
        <f>B29</f>
        <v xml:space="preserve">(-) Costos de ventas </v>
      </c>
      <c r="C51" s="33">
        <f>+C29</f>
        <v>0</v>
      </c>
      <c r="D51" s="33">
        <f>+D29</f>
        <v>567000</v>
      </c>
      <c r="E51" s="33">
        <f>+E29</f>
        <v>567000</v>
      </c>
      <c r="F51" s="33">
        <f>+F29</f>
        <v>567000</v>
      </c>
      <c r="G51" s="33">
        <f>+G29</f>
        <v>567000</v>
      </c>
      <c r="H51" s="65"/>
    </row>
    <row r="52" spans="2:13" ht="16.5" x14ac:dyDescent="0.3">
      <c r="B52" s="70" t="str">
        <f>B30</f>
        <v>(-) Gastos administrativos (15%)</v>
      </c>
      <c r="C52" s="33"/>
      <c r="D52" s="33">
        <f t="shared" ref="D52:F53" si="2">+E30</f>
        <v>128250</v>
      </c>
      <c r="E52" s="33">
        <f t="shared" si="2"/>
        <v>128250</v>
      </c>
      <c r="F52" s="33">
        <f t="shared" si="2"/>
        <v>128250</v>
      </c>
      <c r="G52" s="33">
        <f>+F52</f>
        <v>128250</v>
      </c>
      <c r="H52" s="65"/>
    </row>
    <row r="53" spans="2:13" ht="16.5" x14ac:dyDescent="0.3">
      <c r="B53" s="70" t="str">
        <f>+B31</f>
        <v>(-) Gastos de ventas (8%)</v>
      </c>
      <c r="C53" s="33"/>
      <c r="D53" s="33">
        <f t="shared" si="2"/>
        <v>68400</v>
      </c>
      <c r="E53" s="33">
        <f t="shared" si="2"/>
        <v>68400</v>
      </c>
      <c r="F53" s="33">
        <f t="shared" si="2"/>
        <v>68400</v>
      </c>
      <c r="G53" s="33">
        <f>+F53</f>
        <v>68400</v>
      </c>
      <c r="H53" s="65"/>
    </row>
    <row r="54" spans="2:13" ht="16.5" x14ac:dyDescent="0.3">
      <c r="B54" s="70" t="s">
        <v>45</v>
      </c>
      <c r="C54" s="33">
        <f>+C36</f>
        <v>0</v>
      </c>
      <c r="D54" s="33">
        <f>+D36</f>
        <v>23655</v>
      </c>
      <c r="E54" s="33">
        <f>+E36</f>
        <v>23655</v>
      </c>
      <c r="F54" s="33">
        <f>+F36</f>
        <v>23655</v>
      </c>
      <c r="G54" s="33">
        <f>+G36</f>
        <v>24675</v>
      </c>
      <c r="H54" s="65"/>
    </row>
    <row r="55" spans="2:13" ht="16.5" x14ac:dyDescent="0.3">
      <c r="B55" s="147" t="s">
        <v>46</v>
      </c>
      <c r="C55" s="148">
        <f>+SUM(C50)-SUM((C51:C54))</f>
        <v>0</v>
      </c>
      <c r="D55" s="148">
        <f>+SUM(D50)-SUM((D51:D54))</f>
        <v>67695</v>
      </c>
      <c r="E55" s="148">
        <f>+SUM(E50)-SUM((E51:E54))</f>
        <v>67695</v>
      </c>
      <c r="F55" s="148">
        <f>+SUM(F50)-SUM((F51:F54))</f>
        <v>67695</v>
      </c>
      <c r="G55" s="148">
        <f>+SUM(G50)-SUM((G51:G54))</f>
        <v>66675</v>
      </c>
      <c r="H55" s="66"/>
    </row>
    <row r="56" spans="2:13" ht="18" customHeight="1" x14ac:dyDescent="0.3">
      <c r="B56" s="71" t="s">
        <v>47</v>
      </c>
      <c r="C56" s="74">
        <f>+C49+C55</f>
        <v>-92750</v>
      </c>
      <c r="D56" s="74">
        <f>+D49+D55</f>
        <v>67695</v>
      </c>
      <c r="E56" s="74">
        <f>+E49+E55</f>
        <v>67695</v>
      </c>
      <c r="F56" s="74">
        <f>+F49+F55</f>
        <v>67695</v>
      </c>
      <c r="G56" s="74">
        <f>+G49+G55</f>
        <v>70075</v>
      </c>
      <c r="H56" s="67"/>
    </row>
    <row r="58" spans="2:13" x14ac:dyDescent="0.25">
      <c r="B58" t="s">
        <v>94</v>
      </c>
      <c r="C58" s="173">
        <f>NPV('costo capital'!J17,D56:G56)</f>
        <v>238380.57006574821</v>
      </c>
    </row>
    <row r="59" spans="2:13" x14ac:dyDescent="0.25">
      <c r="B59" t="s">
        <v>122</v>
      </c>
      <c r="C59" s="19">
        <f>IRR(C56:G56)</f>
        <v>0.62834413715971893</v>
      </c>
    </row>
    <row r="61" spans="2:13" x14ac:dyDescent="0.25">
      <c r="B61" s="191" t="s">
        <v>99</v>
      </c>
      <c r="C61" s="191"/>
      <c r="D61" s="191"/>
      <c r="E61" s="191"/>
      <c r="F61" s="191"/>
      <c r="G61" s="191"/>
      <c r="H61" s="26"/>
      <c r="I61" s="26"/>
      <c r="J61" s="26"/>
      <c r="K61" s="26"/>
      <c r="L61" s="26"/>
      <c r="M61" s="26"/>
    </row>
    <row r="63" spans="2:13" x14ac:dyDescent="0.25">
      <c r="B63" s="175" t="s">
        <v>18</v>
      </c>
      <c r="C63" s="176" t="s">
        <v>19</v>
      </c>
      <c r="D63" s="177"/>
      <c r="E63" s="177"/>
      <c r="F63" s="177"/>
      <c r="G63" s="177"/>
      <c r="H63" s="195"/>
      <c r="I63" s="194"/>
      <c r="J63" s="194"/>
      <c r="K63" s="194"/>
      <c r="L63" s="194"/>
      <c r="M63" s="194"/>
    </row>
    <row r="64" spans="2:13" x14ac:dyDescent="0.25">
      <c r="B64" s="175"/>
      <c r="C64" s="156">
        <f>C43</f>
        <v>0</v>
      </c>
      <c r="D64" s="156">
        <f>D43</f>
        <v>1</v>
      </c>
      <c r="E64" s="155">
        <f>E43</f>
        <v>2</v>
      </c>
      <c r="F64" s="156">
        <f>F43</f>
        <v>3</v>
      </c>
      <c r="G64" s="155">
        <f>G43</f>
        <v>4</v>
      </c>
      <c r="H64" s="195"/>
      <c r="I64" s="158"/>
      <c r="J64" s="158"/>
      <c r="K64" s="158"/>
      <c r="L64" s="158"/>
      <c r="M64" s="158"/>
    </row>
    <row r="65" spans="2:13" x14ac:dyDescent="0.25">
      <c r="B65" s="70" t="s">
        <v>100</v>
      </c>
      <c r="C65" s="77">
        <f>+C56</f>
        <v>-92750</v>
      </c>
      <c r="D65" s="77">
        <f>+D56</f>
        <v>67695</v>
      </c>
      <c r="E65" s="77">
        <f>+E56</f>
        <v>67695</v>
      </c>
      <c r="F65" s="77">
        <f>+F56</f>
        <v>67695</v>
      </c>
      <c r="G65" s="77">
        <f>+G56</f>
        <v>70075</v>
      </c>
      <c r="H65" s="76"/>
      <c r="I65" s="76"/>
      <c r="J65" s="76"/>
      <c r="K65" s="76"/>
      <c r="L65" s="76"/>
      <c r="M65" s="76"/>
    </row>
    <row r="66" spans="2:13" x14ac:dyDescent="0.25">
      <c r="B66" s="70" t="s">
        <v>101</v>
      </c>
      <c r="C66" s="77">
        <f>+'Alter Sin Py'!D38</f>
        <v>-28500</v>
      </c>
      <c r="D66" s="77">
        <f>+'Alter Sin Py'!E38</f>
        <v>38430</v>
      </c>
      <c r="E66" s="77">
        <f>+'Alter Sin Py'!F38</f>
        <v>38430</v>
      </c>
      <c r="F66" s="77">
        <f>+'Alter Sin Py'!G38</f>
        <v>38430</v>
      </c>
      <c r="G66" s="77">
        <f>+'Alter Sin Py'!H38</f>
        <v>38430</v>
      </c>
      <c r="H66" s="76"/>
      <c r="I66" s="76"/>
      <c r="J66" s="76"/>
      <c r="K66" s="76"/>
      <c r="L66" s="76"/>
      <c r="M66" s="76"/>
    </row>
    <row r="67" spans="2:13" x14ac:dyDescent="0.25">
      <c r="B67" s="71" t="s">
        <v>49</v>
      </c>
      <c r="C67" s="168">
        <f>C65-C66</f>
        <v>-64250</v>
      </c>
      <c r="D67" s="39">
        <f>D65-D66</f>
        <v>29265</v>
      </c>
      <c r="E67" s="39">
        <f>E65-E66</f>
        <v>29265</v>
      </c>
      <c r="F67" s="39">
        <f>F65-F66</f>
        <v>29265</v>
      </c>
      <c r="G67" s="39">
        <f>G65-G66</f>
        <v>31645</v>
      </c>
    </row>
    <row r="69" spans="2:13" x14ac:dyDescent="0.25">
      <c r="B69" s="191" t="s">
        <v>89</v>
      </c>
      <c r="C69" s="191"/>
      <c r="D69" s="191"/>
      <c r="E69" s="191"/>
      <c r="F69" s="191"/>
      <c r="G69" s="191"/>
      <c r="H69" s="196"/>
      <c r="I69" s="196"/>
      <c r="J69" s="196"/>
      <c r="K69" s="196"/>
      <c r="L69" s="196"/>
      <c r="M69" s="196"/>
    </row>
    <row r="71" spans="2:13" x14ac:dyDescent="0.25">
      <c r="B71" s="175" t="s">
        <v>18</v>
      </c>
      <c r="C71" s="197" t="s">
        <v>19</v>
      </c>
      <c r="D71" s="197"/>
      <c r="E71" s="197"/>
      <c r="F71" s="197"/>
      <c r="G71" s="197"/>
    </row>
    <row r="72" spans="2:13" x14ac:dyDescent="0.25">
      <c r="B72" s="175"/>
      <c r="C72" s="156">
        <v>0</v>
      </c>
      <c r="D72" s="156">
        <v>1</v>
      </c>
      <c r="E72" s="156">
        <v>2</v>
      </c>
      <c r="F72" s="156">
        <v>3</v>
      </c>
      <c r="G72" s="156">
        <v>4</v>
      </c>
    </row>
    <row r="73" spans="2:13" x14ac:dyDescent="0.25">
      <c r="B73" s="79" t="str">
        <f t="shared" ref="B73:G73" si="3">B65</f>
        <v>FCE Con Equipos Nuevos</v>
      </c>
      <c r="C73" s="79">
        <f t="shared" si="3"/>
        <v>-92750</v>
      </c>
      <c r="D73" s="141">
        <f t="shared" si="3"/>
        <v>67695</v>
      </c>
      <c r="E73" s="141">
        <f t="shared" si="3"/>
        <v>67695</v>
      </c>
      <c r="F73" s="141">
        <f t="shared" si="3"/>
        <v>67695</v>
      </c>
      <c r="G73" s="141">
        <f t="shared" si="3"/>
        <v>70075</v>
      </c>
    </row>
    <row r="74" spans="2:13" x14ac:dyDescent="0.25">
      <c r="B74" s="80" t="s">
        <v>50</v>
      </c>
      <c r="C74" s="81"/>
      <c r="D74" s="81"/>
      <c r="E74" s="81"/>
      <c r="F74" s="81"/>
      <c r="G74" s="81"/>
    </row>
    <row r="75" spans="2:13" x14ac:dyDescent="0.25">
      <c r="B75" s="82" t="s">
        <v>51</v>
      </c>
      <c r="C75" s="84">
        <f>+J32</f>
        <v>25000</v>
      </c>
      <c r="D75" s="86"/>
      <c r="E75" s="86"/>
      <c r="F75" s="86"/>
      <c r="G75" s="86"/>
    </row>
    <row r="76" spans="2:13" x14ac:dyDescent="0.25">
      <c r="B76" s="82" t="s">
        <v>52</v>
      </c>
      <c r="C76" s="86"/>
      <c r="D76" s="144">
        <f>+$K$41</f>
        <v>12500</v>
      </c>
      <c r="E76" s="144">
        <f>+$K$41</f>
        <v>12500</v>
      </c>
      <c r="F76" s="84"/>
      <c r="G76" s="86"/>
    </row>
    <row r="77" spans="2:13" x14ac:dyDescent="0.25">
      <c r="B77" s="82" t="s">
        <v>53</v>
      </c>
      <c r="C77" s="86"/>
      <c r="D77" s="142">
        <f>+L41</f>
        <v>8009.7087378640745</v>
      </c>
      <c r="E77" s="142">
        <f>+L42</f>
        <v>4004.8543689320372</v>
      </c>
      <c r="F77" s="86"/>
      <c r="G77" s="86"/>
    </row>
    <row r="78" spans="2:13" x14ac:dyDescent="0.25">
      <c r="B78" s="82" t="s">
        <v>54</v>
      </c>
      <c r="C78" s="86"/>
      <c r="D78" s="142">
        <f>+D77*0.3</f>
        <v>2402.9126213592222</v>
      </c>
      <c r="E78" s="142">
        <f>+E77*0.3</f>
        <v>1201.4563106796111</v>
      </c>
      <c r="F78" s="86"/>
      <c r="G78" s="86"/>
    </row>
    <row r="79" spans="2:13" x14ac:dyDescent="0.25">
      <c r="B79" s="83" t="s">
        <v>55</v>
      </c>
      <c r="C79" s="85">
        <f>+C75-C76-C77-C78</f>
        <v>25000</v>
      </c>
      <c r="D79" s="85">
        <f>+D75-D76-D77-D78</f>
        <v>-22912.621359223296</v>
      </c>
      <c r="E79" s="85">
        <f>+E75-E76-E77-E78</f>
        <v>-17706.310679611648</v>
      </c>
      <c r="F79" s="85">
        <v>0</v>
      </c>
      <c r="G79" s="85">
        <f>+G75-G76-G77-G78</f>
        <v>0</v>
      </c>
    </row>
    <row r="80" spans="2:13" x14ac:dyDescent="0.25">
      <c r="B80" s="169" t="s">
        <v>104</v>
      </c>
      <c r="C80" s="78">
        <f>C73+C79</f>
        <v>-67750</v>
      </c>
      <c r="D80" s="78">
        <f>D73+D79</f>
        <v>44782.378640776704</v>
      </c>
      <c r="E80" s="78">
        <f>E73+E79</f>
        <v>49988.689320388352</v>
      </c>
      <c r="F80" s="78">
        <f>F73+F79</f>
        <v>67695</v>
      </c>
      <c r="G80" s="78">
        <f>G73+G79</f>
        <v>70075</v>
      </c>
    </row>
    <row r="83" spans="2:8" x14ac:dyDescent="0.25">
      <c r="B83" s="9" t="s">
        <v>56</v>
      </c>
    </row>
    <row r="84" spans="2:8" x14ac:dyDescent="0.25">
      <c r="H84" s="58">
        <f>+'costo capital'!J14</f>
        <v>8.8180610871179455E-2</v>
      </c>
    </row>
    <row r="85" spans="2:8" x14ac:dyDescent="0.25">
      <c r="B85" s="170" t="s">
        <v>84</v>
      </c>
      <c r="C85" s="171">
        <f>NPV(H84,C67:G67)</f>
        <v>29992.83528069446</v>
      </c>
    </row>
    <row r="86" spans="2:8" x14ac:dyDescent="0.25">
      <c r="H86" s="58">
        <f>+'costo capital'!M41</f>
        <v>0.32038834951456296</v>
      </c>
    </row>
    <row r="87" spans="2:8" x14ac:dyDescent="0.25">
      <c r="B87" s="88" t="s">
        <v>85</v>
      </c>
      <c r="C87" s="172">
        <f>IRR(C67:G67)</f>
        <v>0.29980093327895507</v>
      </c>
    </row>
    <row r="90" spans="2:8" x14ac:dyDescent="0.25">
      <c r="B90" s="9" t="s">
        <v>63</v>
      </c>
    </row>
    <row r="94" spans="2:8" x14ac:dyDescent="0.25">
      <c r="C94" s="97">
        <f>NPV(H84,D73:G73)+C73</f>
        <v>129138.88280586377</v>
      </c>
    </row>
    <row r="96" spans="2:8" x14ac:dyDescent="0.25">
      <c r="B96" s="202" t="s">
        <v>90</v>
      </c>
      <c r="C96" s="202"/>
    </row>
    <row r="98" spans="2:3" ht="26.25" customHeight="1" x14ac:dyDescent="0.25">
      <c r="C98" s="143">
        <f>NPV(H86,D78:E78)</f>
        <v>2508.9884299307946</v>
      </c>
    </row>
    <row r="99" spans="2:3" ht="18.75" customHeight="1" x14ac:dyDescent="0.25"/>
    <row r="101" spans="2:3" x14ac:dyDescent="0.25">
      <c r="C101" s="98">
        <f>C94+C98</f>
        <v>131647.87123579456</v>
      </c>
    </row>
    <row r="102" spans="2:3" ht="11.25" customHeight="1" x14ac:dyDescent="0.25"/>
    <row r="103" spans="2:3" x14ac:dyDescent="0.25">
      <c r="B103" s="119" t="s">
        <v>64</v>
      </c>
      <c r="C103" s="120">
        <f>+IRR(C80:G80)</f>
        <v>0.67631100310892078</v>
      </c>
    </row>
  </sheetData>
  <mergeCells count="23">
    <mergeCell ref="C42:G42"/>
    <mergeCell ref="B6:B7"/>
    <mergeCell ref="C6:D6"/>
    <mergeCell ref="E6:E7"/>
    <mergeCell ref="F6:F7"/>
    <mergeCell ref="K15:Q15"/>
    <mergeCell ref="B16:I16"/>
    <mergeCell ref="H63:H64"/>
    <mergeCell ref="I63:M63"/>
    <mergeCell ref="B69:G69"/>
    <mergeCell ref="H69:M69"/>
    <mergeCell ref="B24:G24"/>
    <mergeCell ref="B26:B27"/>
    <mergeCell ref="C26:G26"/>
    <mergeCell ref="B38:G38"/>
    <mergeCell ref="B40:G40"/>
    <mergeCell ref="B42:B43"/>
    <mergeCell ref="B71:B72"/>
    <mergeCell ref="C71:G71"/>
    <mergeCell ref="B96:C96"/>
    <mergeCell ref="B61:G61"/>
    <mergeCell ref="B63:B64"/>
    <mergeCell ref="C63:G6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Alter Sin Py</vt:lpstr>
      <vt:lpstr>Alter Con py</vt:lpstr>
      <vt:lpstr>costo capital</vt:lpstr>
      <vt:lpstr>Valor Economico</vt:lpstr>
      <vt:lpstr>'costo capital'!Área_de_impresión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EDISON ACHALMA</cp:lastModifiedBy>
  <cp:lastPrinted>2013-04-12T02:59:10Z</cp:lastPrinted>
  <dcterms:created xsi:type="dcterms:W3CDTF">2012-10-08T15:21:45Z</dcterms:created>
  <dcterms:modified xsi:type="dcterms:W3CDTF">2021-08-04T00:04:21Z</dcterms:modified>
</cp:coreProperties>
</file>