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9"/>
  <workbookPr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valuación Privada de Proyectos/Collaboration Space/Shared Resources/14 CASOS DE PROYECTOS EN EMPRESAS EN MARCHA/"/>
    </mc:Choice>
  </mc:AlternateContent>
  <xr:revisionPtr revIDLastSave="3" documentId="11_72261F3CC9009CFA402CC48EE0CC57F412F5C09E" xr6:coauthVersionLast="47" xr6:coauthVersionMax="47" xr10:uidLastSave="{DF9E9D31-6C62-4AA1-840D-B1D4AD1CA362}"/>
  <bookViews>
    <workbookView xWindow="-120" yWindow="-16320" windowWidth="29040" windowHeight="15720" activeTab="1" xr2:uid="{00000000-000D-0000-FFFF-FFFF00000000}"/>
  </bookViews>
  <sheets>
    <sheet name="SIN PROYECTO" sheetId="1" r:id="rId1"/>
    <sheet name="EVALUACION" sheetId="3" r:id="rId2"/>
    <sheet name="Hoja1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3" l="1"/>
  <c r="D19" i="3"/>
  <c r="C43" i="1"/>
  <c r="D14" i="3"/>
  <c r="D15" i="3" s="1"/>
  <c r="D34" i="1"/>
  <c r="D30" i="1"/>
  <c r="E30" i="1" l="1"/>
  <c r="F30" i="1" s="1"/>
  <c r="D32" i="1"/>
  <c r="G21" i="1"/>
  <c r="F21" i="1"/>
  <c r="D43" i="1" l="1"/>
  <c r="D44" i="1" s="1"/>
  <c r="E43" i="1"/>
  <c r="D33" i="1"/>
  <c r="C22" i="3"/>
  <c r="D18" i="3"/>
  <c r="D10" i="3"/>
  <c r="C49" i="1"/>
  <c r="C25" i="3" l="1"/>
  <c r="E44" i="1"/>
  <c r="D49" i="1" s="1"/>
  <c r="E31" i="1"/>
  <c r="F31" i="1" s="1"/>
  <c r="G31" i="1" s="1"/>
  <c r="H31" i="1" s="1"/>
  <c r="E33" i="1" l="1"/>
  <c r="E32" i="1"/>
  <c r="D51" i="1" s="1"/>
  <c r="C51" i="1"/>
  <c r="G30" i="1" l="1"/>
  <c r="F32" i="1"/>
  <c r="F33" i="1"/>
  <c r="F43" i="1" l="1"/>
  <c r="F44" i="1" s="1"/>
  <c r="H30" i="1"/>
  <c r="G33" i="1"/>
  <c r="G32" i="1"/>
  <c r="E49" i="1" l="1"/>
  <c r="G43" i="1"/>
  <c r="G44" i="1" s="1"/>
  <c r="F49" i="1" s="1"/>
  <c r="H33" i="1"/>
  <c r="H32" i="1"/>
  <c r="G50" i="1" l="1"/>
  <c r="I44" i="1"/>
  <c r="D37" i="1" l="1"/>
  <c r="E37" i="1"/>
  <c r="F37" i="1"/>
  <c r="G37" i="1"/>
  <c r="D53" i="1"/>
  <c r="C53" i="1"/>
  <c r="E53" i="1" l="1"/>
  <c r="F53" i="1"/>
  <c r="G53" i="1"/>
  <c r="E34" i="1" l="1"/>
  <c r="D54" i="1"/>
  <c r="E14" i="1"/>
  <c r="F14" i="1" s="1"/>
  <c r="G14" i="1" s="1"/>
  <c r="E13" i="1"/>
  <c r="F13" i="1" s="1"/>
  <c r="G13" i="1" s="1"/>
  <c r="E12" i="1"/>
  <c r="F12" i="1" s="1"/>
  <c r="G12" i="1" s="1"/>
  <c r="F34" i="1" l="1"/>
  <c r="G15" i="1"/>
  <c r="F15" i="1"/>
  <c r="D35" i="1" s="1"/>
  <c r="D36" i="1" s="1"/>
  <c r="C54" i="1"/>
  <c r="G54" i="1"/>
  <c r="E35" i="1" l="1"/>
  <c r="E36" i="1" s="1"/>
  <c r="E38" i="1" s="1"/>
  <c r="D38" i="1"/>
  <c r="D39" i="1" s="1"/>
  <c r="F35" i="1"/>
  <c r="G35" i="1"/>
  <c r="H35" i="1"/>
  <c r="G34" i="1"/>
  <c r="F36" i="1"/>
  <c r="F38" i="1" s="1"/>
  <c r="E51" i="1"/>
  <c r="E54" i="1"/>
  <c r="F54" i="1"/>
  <c r="F39" i="1" l="1"/>
  <c r="F40" i="1" s="1"/>
  <c r="C55" i="1"/>
  <c r="C56" i="1" s="1"/>
  <c r="E39" i="1"/>
  <c r="D55" i="1" s="1"/>
  <c r="D56" i="1" s="1"/>
  <c r="H34" i="1"/>
  <c r="H36" i="1" s="1"/>
  <c r="H38" i="1" s="1"/>
  <c r="G36" i="1"/>
  <c r="G38" i="1" s="1"/>
  <c r="E40" i="1" l="1"/>
  <c r="D40" i="1"/>
  <c r="G39" i="1"/>
  <c r="G40" i="1" s="1"/>
  <c r="H39" i="1"/>
  <c r="H40" i="1" s="1"/>
  <c r="E55" i="1"/>
  <c r="E56" i="1" s="1"/>
  <c r="F51" i="1"/>
  <c r="G51" i="1"/>
  <c r="F55" i="1" l="1"/>
  <c r="F56" i="1" s="1"/>
  <c r="G55" i="1"/>
  <c r="G56" i="1" s="1"/>
</calcChain>
</file>

<file path=xl/sharedStrings.xml><?xml version="1.0" encoding="utf-8"?>
<sst xmlns="http://schemas.openxmlformats.org/spreadsheetml/2006/main" count="87" uniqueCount="75">
  <si>
    <t>SOLUCIÓN DEL CASO</t>
  </si>
  <si>
    <t>Maquinarias y equipos</t>
  </si>
  <si>
    <t>horno electrico</t>
  </si>
  <si>
    <t>batidora pastelera</t>
  </si>
  <si>
    <t xml:space="preserve">Balanza electrónica de 40 kilos </t>
  </si>
  <si>
    <t xml:space="preserve">vida util </t>
  </si>
  <si>
    <t>precio</t>
  </si>
  <si>
    <t>10 años</t>
  </si>
  <si>
    <t>MAQUINAS</t>
  </si>
  <si>
    <t>PRECIO</t>
  </si>
  <si>
    <t>vida util(años)</t>
  </si>
  <si>
    <t>tasa Deprec. Anual</t>
  </si>
  <si>
    <t>Depreciación anual</t>
  </si>
  <si>
    <t>Depreciación acumulada</t>
  </si>
  <si>
    <t>DEPRECIACION DE LAS MAQUINARIAS</t>
  </si>
  <si>
    <t>SIN PROYECTO</t>
  </si>
  <si>
    <t>CON PROYECTO</t>
  </si>
  <si>
    <t>Cantidad diaria</t>
  </si>
  <si>
    <t>Costo Fijo Mensual</t>
  </si>
  <si>
    <t>Costo Variable Total</t>
  </si>
  <si>
    <t>Costo Variable Unitario</t>
  </si>
  <si>
    <t>Precio de venta de kekes</t>
  </si>
  <si>
    <t>ESTADO DE GANANCIAS Y PERDIDAS SIN PROYECTO</t>
  </si>
  <si>
    <t>Rubro</t>
  </si>
  <si>
    <t>Años</t>
  </si>
  <si>
    <t>(-)</t>
  </si>
  <si>
    <t>Costo Variable</t>
  </si>
  <si>
    <t>(=)</t>
  </si>
  <si>
    <t>Costo Fijo</t>
  </si>
  <si>
    <t>Depreciación</t>
  </si>
  <si>
    <t>Utilidad antes de Intereses e Impuestos</t>
  </si>
  <si>
    <t>Pago de intereses del préstamo</t>
  </si>
  <si>
    <t>Utilidad Antes de Impuesto</t>
  </si>
  <si>
    <t>CONCEPTO</t>
  </si>
  <si>
    <t>AÑOS</t>
  </si>
  <si>
    <t>(+)Ventas</t>
  </si>
  <si>
    <t>(-)Costos fijos</t>
  </si>
  <si>
    <t>(-)Costos variables</t>
  </si>
  <si>
    <t>Impuesto a la Renta (30%)</t>
  </si>
  <si>
    <t>FLUJO DE CAJA ECONOMICO SIN PROYECTO</t>
  </si>
  <si>
    <t>COK DESAPALANCADO</t>
  </si>
  <si>
    <t>Rf</t>
  </si>
  <si>
    <t>Rm</t>
  </si>
  <si>
    <t>Rm-Rf</t>
  </si>
  <si>
    <t>Rp</t>
  </si>
  <si>
    <t>Beta Desapalancado</t>
  </si>
  <si>
    <t>Ru</t>
  </si>
  <si>
    <t>VANE</t>
  </si>
  <si>
    <t>Cantidad</t>
  </si>
  <si>
    <t>Precio</t>
  </si>
  <si>
    <t>Ventas Totales</t>
  </si>
  <si>
    <t>TOTAL</t>
  </si>
  <si>
    <t>RUBRO</t>
  </si>
  <si>
    <t xml:space="preserve">Utilidad Neta </t>
  </si>
  <si>
    <t>(-) Impuestos</t>
  </si>
  <si>
    <t>FCE SIN PROYECTO</t>
  </si>
  <si>
    <t>soles</t>
  </si>
  <si>
    <t>(+) Valor de recupero</t>
  </si>
  <si>
    <t>PERIODO</t>
  </si>
  <si>
    <t>CAPITAL DE TRABAJO</t>
  </si>
  <si>
    <t>VARIAC. KW</t>
  </si>
  <si>
    <t>Recupero KW</t>
  </si>
  <si>
    <t>(+) Recupero  KW</t>
  </si>
  <si>
    <t>Ru usa</t>
  </si>
  <si>
    <t xml:space="preserve">RU peru </t>
  </si>
  <si>
    <t>Inflacion USA</t>
  </si>
  <si>
    <t>e). VAN INCREMENTAL ECONOMICO</t>
  </si>
  <si>
    <t>VANEFI=</t>
  </si>
  <si>
    <t>Rd =</t>
  </si>
  <si>
    <t>VANFI =</t>
  </si>
  <si>
    <t>D) Hallar Ru</t>
  </si>
  <si>
    <t>a,)</t>
  </si>
  <si>
    <t>(-) Variacion KW (*)</t>
  </si>
  <si>
    <t>f). VAN INCREMENTAL  FINANCIERO</t>
  </si>
  <si>
    <t>(*)KW de 6920 existe en el periodo cero, porque es una empresa en marcha, por lo tanto no se considera como una inversion, pero si se recupera al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</si>
</sst>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[$S/.-280A]* #,##0.00_-;\-[$S/.-280A]* #,##0.00_-;_-[$S/.-280A]* &quot;-&quot;??_-;_-@_-"/>
    <numFmt numFmtId="166" formatCode="#,##0.0"/>
    <numFmt numFmtId="167" formatCode="0.0%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name val="Comic Sans MS"/>
      <family val="4"/>
    </font>
    <font>
      <sz val="11"/>
      <name val="Comic Sans MS"/>
      <family val="4"/>
    </font>
    <font>
      <sz val="10"/>
      <name val="Arial"/>
      <family val="2"/>
    </font>
    <font>
      <b/>
      <sz val="10"/>
      <color theme="1"/>
      <name val="Comic Sans MS"/>
      <family val="4"/>
    </font>
    <font>
      <sz val="12"/>
      <color theme="1"/>
      <name val="Arial"/>
      <family val="2"/>
    </font>
    <font>
      <b/>
      <sz val="9"/>
      <color rgb="FF000000"/>
      <name val="Comic Sans MS"/>
      <family val="4"/>
    </font>
    <font>
      <sz val="9"/>
      <color rgb="FF000000"/>
      <name val="Comic Sans MS"/>
      <family val="4"/>
    </font>
    <font>
      <b/>
      <sz val="14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1"/>
      <name val="Comic Sans MS"/>
      <family val="4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9" fontId="18" fillId="0" borderId="0" applyFont="0" applyFill="0" applyBorder="0" applyAlignment="0" applyProtection="0"/>
    <xf numFmtId="164" fontId="18" fillId="0" borderId="0" applyFont="0" applyFill="0" applyBorder="0" applyAlignment="0" applyProtection="0"/>
  </cellStyleXfs>
  <cellXfs count="116">
    <xf numFmtId="0" fontId="0" fillId="0" borderId="0" xfId="0"/>
    <xf numFmtId="0" fontId="4" fillId="2" borderId="1" xfId="0" applyFont="1" applyFill="1" applyBorder="1" applyAlignment="1" applyProtection="1">
      <alignment horizontal="center" vertical="center" wrapText="1"/>
    </xf>
    <xf numFmtId="0" fontId="0" fillId="0" borderId="1" xfId="0" applyFill="1" applyBorder="1"/>
    <xf numFmtId="4" fontId="5" fillId="0" borderId="1" xfId="0" applyNumberFormat="1" applyFont="1" applyFill="1" applyBorder="1" applyAlignment="1" applyProtection="1">
      <alignment horizontal="center" vertical="center" wrapText="1"/>
    </xf>
    <xf numFmtId="165" fontId="0" fillId="0" borderId="1" xfId="0" applyNumberForma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vertical="center" wrapText="1"/>
    </xf>
    <xf numFmtId="4" fontId="0" fillId="0" borderId="0" xfId="0" applyNumberFormat="1"/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3" fontId="15" fillId="0" borderId="1" xfId="0" applyNumberFormat="1" applyFont="1" applyBorder="1" applyAlignment="1">
      <alignment horizontal="center" vertical="center"/>
    </xf>
    <xf numFmtId="4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1" fontId="15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4" fontId="17" fillId="0" borderId="11" xfId="1" applyNumberFormat="1" applyFont="1" applyBorder="1"/>
    <xf numFmtId="4" fontId="17" fillId="0" borderId="10" xfId="1" applyNumberFormat="1" applyFont="1" applyBorder="1"/>
    <xf numFmtId="0" fontId="16" fillId="0" borderId="12" xfId="0" applyFont="1" applyBorder="1"/>
    <xf numFmtId="3" fontId="17" fillId="0" borderId="1" xfId="1" applyNumberFormat="1" applyFont="1" applyBorder="1"/>
    <xf numFmtId="0" fontId="16" fillId="0" borderId="1" xfId="0" applyFont="1" applyBorder="1"/>
    <xf numFmtId="4" fontId="19" fillId="0" borderId="0" xfId="0" applyNumberFormat="1" applyFont="1"/>
    <xf numFmtId="4" fontId="20" fillId="0" borderId="0" xfId="0" applyNumberFormat="1" applyFont="1"/>
    <xf numFmtId="10" fontId="20" fillId="0" borderId="0" xfId="2" applyNumberFormat="1" applyFont="1"/>
    <xf numFmtId="164" fontId="20" fillId="0" borderId="0" xfId="3" applyFont="1"/>
    <xf numFmtId="167" fontId="20" fillId="0" borderId="0" xfId="2" applyNumberFormat="1" applyFont="1"/>
    <xf numFmtId="10" fontId="20" fillId="5" borderId="0" xfId="2" applyNumberFormat="1" applyFont="1" applyFill="1"/>
    <xf numFmtId="4" fontId="20" fillId="0" borderId="0" xfId="0" applyNumberFormat="1" applyFont="1" applyAlignment="1">
      <alignment vertical="center" wrapText="1"/>
    </xf>
    <xf numFmtId="9" fontId="20" fillId="0" borderId="0" xfId="2" applyFont="1" applyAlignment="1">
      <alignment vertical="center" wrapText="1"/>
    </xf>
    <xf numFmtId="4" fontId="19" fillId="0" borderId="1" xfId="0" applyNumberFormat="1" applyFont="1" applyBorder="1"/>
    <xf numFmtId="4" fontId="20" fillId="0" borderId="1" xfId="0" applyNumberFormat="1" applyFont="1" applyBorder="1"/>
    <xf numFmtId="10" fontId="20" fillId="0" borderId="1" xfId="2" applyNumberFormat="1" applyFont="1" applyFill="1" applyBorder="1"/>
    <xf numFmtId="10" fontId="20" fillId="0" borderId="1" xfId="2" applyNumberFormat="1" applyFont="1" applyBorder="1"/>
    <xf numFmtId="4" fontId="19" fillId="4" borderId="1" xfId="0" applyNumberFormat="1" applyFont="1" applyFill="1" applyBorder="1"/>
    <xf numFmtId="4" fontId="20" fillId="4" borderId="1" xfId="0" applyNumberFormat="1" applyFont="1" applyFill="1" applyBorder="1"/>
    <xf numFmtId="10" fontId="19" fillId="4" borderId="1" xfId="2" applyNumberFormat="1" applyFont="1" applyFill="1" applyBorder="1"/>
    <xf numFmtId="166" fontId="5" fillId="0" borderId="1" xfId="0" applyNumberFormat="1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0" fillId="0" borderId="0" xfId="0" applyBorder="1"/>
    <xf numFmtId="166" fontId="5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Border="1" applyAlignment="1">
      <alignment horizontal="center"/>
    </xf>
    <xf numFmtId="0" fontId="4" fillId="0" borderId="0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 wrapText="1"/>
    </xf>
    <xf numFmtId="4" fontId="10" fillId="0" borderId="9" xfId="0" applyNumberFormat="1" applyFont="1" applyFill="1" applyBorder="1" applyAlignment="1">
      <alignment horizontal="center" vertical="center"/>
    </xf>
    <xf numFmtId="4" fontId="10" fillId="0" borderId="9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1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13" fillId="0" borderId="0" xfId="0" applyFont="1" applyFill="1" applyBorder="1"/>
    <xf numFmtId="0" fontId="14" fillId="0" borderId="1" xfId="0" applyFont="1" applyFill="1" applyBorder="1" applyAlignment="1">
      <alignment horizontal="left" vertical="center" wrapText="1"/>
    </xf>
    <xf numFmtId="3" fontId="15" fillId="0" borderId="1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4" fontId="21" fillId="3" borderId="1" xfId="0" applyNumberFormat="1" applyFont="1" applyFill="1" applyBorder="1" applyAlignment="1" applyProtection="1">
      <alignment horizontal="center" vertical="center" wrapText="1"/>
    </xf>
    <xf numFmtId="0" fontId="1" fillId="3" borderId="1" xfId="0" applyFont="1" applyFill="1" applyBorder="1"/>
    <xf numFmtId="166" fontId="1" fillId="3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left" vertical="center"/>
    </xf>
    <xf numFmtId="3" fontId="15" fillId="3" borderId="1" xfId="0" applyNumberFormat="1" applyFont="1" applyFill="1" applyBorder="1" applyAlignment="1">
      <alignment horizontal="center" vertical="center"/>
    </xf>
    <xf numFmtId="4" fontId="22" fillId="3" borderId="14" xfId="1" applyNumberFormat="1" applyFont="1" applyFill="1" applyBorder="1"/>
    <xf numFmtId="0" fontId="14" fillId="0" borderId="1" xfId="0" applyFont="1" applyFill="1" applyBorder="1" applyAlignment="1">
      <alignment horizontal="left" vertical="center"/>
    </xf>
    <xf numFmtId="164" fontId="20" fillId="0" borderId="1" xfId="3" applyFont="1" applyFill="1" applyBorder="1"/>
    <xf numFmtId="9" fontId="20" fillId="0" borderId="0" xfId="2" applyNumberFormat="1" applyFont="1" applyFill="1"/>
    <xf numFmtId="3" fontId="19" fillId="4" borderId="6" xfId="0" applyNumberFormat="1" applyFont="1" applyFill="1" applyBorder="1"/>
    <xf numFmtId="3" fontId="0" fillId="0" borderId="0" xfId="0" applyNumberFormat="1"/>
    <xf numFmtId="0" fontId="1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3" fontId="15" fillId="0" borderId="0" xfId="0" applyNumberFormat="1" applyFont="1" applyFill="1" applyBorder="1" applyAlignment="1">
      <alignment horizontal="center" vertical="center"/>
    </xf>
    <xf numFmtId="3" fontId="16" fillId="0" borderId="11" xfId="1" applyNumberFormat="1" applyFont="1" applyFill="1" applyBorder="1" applyAlignment="1">
      <alignment horizontal="center"/>
    </xf>
    <xf numFmtId="0" fontId="16" fillId="0" borderId="12" xfId="0" applyFont="1" applyFill="1" applyBorder="1"/>
    <xf numFmtId="0" fontId="16" fillId="0" borderId="25" xfId="1" applyFont="1" applyFill="1" applyBorder="1" applyAlignment="1">
      <alignment horizontal="left" vertical="center"/>
    </xf>
    <xf numFmtId="0" fontId="16" fillId="0" borderId="26" xfId="0" applyFont="1" applyBorder="1"/>
    <xf numFmtId="0" fontId="22" fillId="3" borderId="27" xfId="0" applyFont="1" applyFill="1" applyBorder="1"/>
    <xf numFmtId="0" fontId="16" fillId="0" borderId="1" xfId="1" applyFont="1" applyFill="1" applyBorder="1" applyAlignment="1">
      <alignment horizontal="center" vertical="center"/>
    </xf>
    <xf numFmtId="0" fontId="22" fillId="3" borderId="14" xfId="1" applyFont="1" applyFill="1" applyBorder="1" applyAlignment="1">
      <alignment horizontal="center" vertical="center"/>
    </xf>
    <xf numFmtId="0" fontId="22" fillId="3" borderId="14" xfId="1" applyFont="1" applyFill="1" applyBorder="1" applyAlignment="1">
      <alignment horizontal="center"/>
    </xf>
    <xf numFmtId="0" fontId="22" fillId="3" borderId="23" xfId="1" applyFont="1" applyFill="1" applyBorder="1" applyAlignment="1">
      <alignment horizontal="center"/>
    </xf>
    <xf numFmtId="0" fontId="0" fillId="3" borderId="1" xfId="0" applyFill="1" applyBorder="1"/>
    <xf numFmtId="0" fontId="16" fillId="0" borderId="10" xfId="1" applyFont="1" applyFill="1" applyBorder="1" applyAlignment="1">
      <alignment horizontal="right" vertical="center"/>
    </xf>
    <xf numFmtId="3" fontId="16" fillId="0" borderId="5" xfId="1" applyNumberFormat="1" applyFont="1" applyFill="1" applyBorder="1" applyAlignment="1">
      <alignment horizontal="right"/>
    </xf>
    <xf numFmtId="0" fontId="16" fillId="0" borderId="17" xfId="1" applyFont="1" applyFill="1" applyBorder="1" applyAlignment="1">
      <alignment horizontal="right"/>
    </xf>
    <xf numFmtId="2" fontId="16" fillId="0" borderId="24" xfId="1" applyNumberFormat="1" applyFont="1" applyFill="1" applyBorder="1" applyAlignment="1">
      <alignment horizontal="right"/>
    </xf>
    <xf numFmtId="9" fontId="0" fillId="0" borderId="0" xfId="0" applyNumberFormat="1"/>
    <xf numFmtId="10" fontId="19" fillId="0" borderId="0" xfId="2" applyNumberFormat="1" applyFont="1"/>
    <xf numFmtId="10" fontId="0" fillId="0" borderId="0" xfId="0" applyNumberFormat="1"/>
    <xf numFmtId="164" fontId="0" fillId="0" borderId="0" xfId="3" applyFont="1"/>
    <xf numFmtId="0" fontId="22" fillId="3" borderId="28" xfId="1" applyFont="1" applyFill="1" applyBorder="1" applyAlignment="1">
      <alignment horizontal="center" vertical="center"/>
    </xf>
    <xf numFmtId="0" fontId="22" fillId="3" borderId="32" xfId="1" applyFont="1" applyFill="1" applyBorder="1" applyAlignment="1">
      <alignment horizontal="center" vertical="center"/>
    </xf>
    <xf numFmtId="0" fontId="22" fillId="3" borderId="29" xfId="1" applyFont="1" applyFill="1" applyBorder="1" applyAlignment="1">
      <alignment horizontal="center" vertical="center"/>
    </xf>
    <xf numFmtId="0" fontId="22" fillId="3" borderId="30" xfId="1" applyFont="1" applyFill="1" applyBorder="1" applyAlignment="1">
      <alignment horizontal="center" vertical="center"/>
    </xf>
    <xf numFmtId="0" fontId="22" fillId="3" borderId="31" xfId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4" fillId="0" borderId="1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14" fillId="3" borderId="20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4" fillId="3" borderId="19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4">
    <cellStyle name="Millares" xfId="3" builtinId="3"/>
    <cellStyle name="Normal" xfId="0" builtinId="0"/>
    <cellStyle name="Normal 2" xfId="1" xr:uid="{00000000-0005-0000-0000-000002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lantillas%20de%20produccion%20y%20comercilaizacion%20de%20Muff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on de ventas "/>
      <sheetName val="costos y pto. de eq."/>
      <sheetName val="Flujo de Caja"/>
      <sheetName val="EE.GG.PP"/>
      <sheetName val="Análisis de sensibilidad"/>
      <sheetName val="Inversiones"/>
      <sheetName val="Deprec."/>
      <sheetName val="préstamo"/>
      <sheetName val="Proyeccion de Ventas"/>
      <sheetName val="Punto de equilibrio"/>
      <sheetName val="EE_GG_PP"/>
      <sheetName val="Flujo_de_Caja"/>
      <sheetName val="Hoja1"/>
      <sheetName val="Costos"/>
      <sheetName val="Tabla Dep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0">
          <cell r="H40">
            <v>0</v>
          </cell>
        </row>
        <row r="54">
          <cell r="H5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opLeftCell="A45" zoomScale="115" zoomScaleNormal="115" workbookViewId="0">
      <selection activeCell="F61" sqref="F61"/>
    </sheetView>
  </sheetViews>
  <sheetFormatPr baseColWidth="10" defaultRowHeight="15" x14ac:dyDescent="0.25"/>
  <cols>
    <col min="1" max="1" width="21.140625" customWidth="1"/>
    <col min="2" max="2" width="18" customWidth="1"/>
    <col min="3" max="3" width="19.7109375" customWidth="1"/>
    <col min="4" max="4" width="15.28515625" customWidth="1"/>
    <col min="5" max="5" width="22.85546875" customWidth="1"/>
    <col min="6" max="6" width="15.7109375" customWidth="1"/>
    <col min="7" max="7" width="13.42578125" customWidth="1"/>
    <col min="10" max="10" width="15.140625" customWidth="1"/>
  </cols>
  <sheetData>
    <row r="1" spans="1:11" x14ac:dyDescent="0.25">
      <c r="D1" s="98" t="s">
        <v>0</v>
      </c>
      <c r="E1" s="98"/>
      <c r="F1" s="98"/>
      <c r="G1" s="98"/>
      <c r="H1" s="98"/>
      <c r="I1" s="98"/>
      <c r="J1" s="98"/>
      <c r="K1" s="98"/>
    </row>
    <row r="2" spans="1:11" x14ac:dyDescent="0.25">
      <c r="D2" s="98"/>
      <c r="E2" s="98"/>
      <c r="F2" s="98"/>
      <c r="G2" s="98"/>
      <c r="H2" s="98"/>
      <c r="I2" s="98"/>
      <c r="J2" s="98"/>
      <c r="K2" s="98"/>
    </row>
    <row r="3" spans="1:11" x14ac:dyDescent="0.25">
      <c r="A3" t="s">
        <v>71</v>
      </c>
      <c r="B3" s="104" t="s">
        <v>15</v>
      </c>
      <c r="C3" s="105"/>
      <c r="D3" s="105"/>
    </row>
    <row r="4" spans="1:11" x14ac:dyDescent="0.25">
      <c r="B4" s="106"/>
      <c r="C4" s="106"/>
      <c r="D4" s="106"/>
    </row>
    <row r="5" spans="1:11" ht="33" customHeight="1" x14ac:dyDescent="0.25">
      <c r="B5" s="5" t="s">
        <v>1</v>
      </c>
      <c r="C5" s="1" t="s">
        <v>5</v>
      </c>
      <c r="D5" s="1" t="s">
        <v>6</v>
      </c>
    </row>
    <row r="6" spans="1:11" ht="16.5" x14ac:dyDescent="0.25">
      <c r="B6" s="2" t="s">
        <v>2</v>
      </c>
      <c r="C6" s="3" t="s">
        <v>7</v>
      </c>
      <c r="D6" s="4">
        <v>2500</v>
      </c>
    </row>
    <row r="7" spans="1:11" ht="16.5" x14ac:dyDescent="0.25">
      <c r="B7" s="2" t="s">
        <v>3</v>
      </c>
      <c r="C7" s="3" t="s">
        <v>7</v>
      </c>
      <c r="D7" s="4">
        <v>3450</v>
      </c>
    </row>
    <row r="8" spans="1:11" ht="16.5" x14ac:dyDescent="0.25">
      <c r="B8" s="2" t="s">
        <v>4</v>
      </c>
      <c r="C8" s="3" t="s">
        <v>7</v>
      </c>
      <c r="D8" s="4">
        <v>140</v>
      </c>
    </row>
    <row r="10" spans="1:11" x14ac:dyDescent="0.25">
      <c r="B10" s="114" t="s">
        <v>14</v>
      </c>
      <c r="C10" s="115"/>
      <c r="D10" s="115"/>
      <c r="E10" s="115"/>
      <c r="F10" s="115"/>
      <c r="G10" s="115"/>
      <c r="H10" s="37"/>
    </row>
    <row r="11" spans="1:11" ht="33" x14ac:dyDescent="0.25">
      <c r="B11" s="41" t="s">
        <v>8</v>
      </c>
      <c r="C11" s="41" t="s">
        <v>9</v>
      </c>
      <c r="D11" s="41" t="s">
        <v>10</v>
      </c>
      <c r="E11" s="41" t="s">
        <v>11</v>
      </c>
      <c r="F11" s="41" t="s">
        <v>12</v>
      </c>
      <c r="G11" s="41" t="s">
        <v>13</v>
      </c>
      <c r="H11" s="40"/>
    </row>
    <row r="12" spans="1:11" ht="16.5" x14ac:dyDescent="0.25">
      <c r="B12" s="3" t="s">
        <v>2</v>
      </c>
      <c r="C12" s="34">
        <v>2500</v>
      </c>
      <c r="D12" s="34">
        <v>10</v>
      </c>
      <c r="E12" s="34">
        <f>1/D12</f>
        <v>0.1</v>
      </c>
      <c r="F12" s="34">
        <f>C12*E12</f>
        <v>250</v>
      </c>
      <c r="G12" s="34">
        <f>F12*5</f>
        <v>1250</v>
      </c>
      <c r="H12" s="38"/>
    </row>
    <row r="13" spans="1:11" ht="33" x14ac:dyDescent="0.25">
      <c r="B13" s="3" t="s">
        <v>3</v>
      </c>
      <c r="C13" s="34">
        <v>3450</v>
      </c>
      <c r="D13" s="34">
        <v>10</v>
      </c>
      <c r="E13" s="34">
        <f t="shared" ref="E13:E14" si="0">1/D13</f>
        <v>0.1</v>
      </c>
      <c r="F13" s="34">
        <f t="shared" ref="F13:F14" si="1">C13*E13</f>
        <v>345</v>
      </c>
      <c r="G13" s="34">
        <f t="shared" ref="G13:G14" si="2">F13*5</f>
        <v>1725</v>
      </c>
      <c r="H13" s="39"/>
    </row>
    <row r="14" spans="1:11" ht="49.5" x14ac:dyDescent="0.25">
      <c r="B14" s="3" t="s">
        <v>4</v>
      </c>
      <c r="C14" s="34">
        <v>140</v>
      </c>
      <c r="D14" s="34">
        <v>10</v>
      </c>
      <c r="E14" s="34">
        <f t="shared" si="0"/>
        <v>0.1</v>
      </c>
      <c r="F14" s="34">
        <f t="shared" si="1"/>
        <v>14</v>
      </c>
      <c r="G14" s="34">
        <f t="shared" si="2"/>
        <v>70</v>
      </c>
      <c r="H14" s="38"/>
    </row>
    <row r="15" spans="1:11" ht="18" x14ac:dyDescent="0.25">
      <c r="B15" s="60" t="s">
        <v>51</v>
      </c>
      <c r="C15" s="61"/>
      <c r="D15" s="61"/>
      <c r="E15" s="61"/>
      <c r="F15" s="62">
        <f>SUM(F12:F14)</f>
        <v>609</v>
      </c>
      <c r="G15" s="62">
        <f>SUM(G12:G14)</f>
        <v>3045</v>
      </c>
      <c r="H15" s="6"/>
    </row>
    <row r="16" spans="1:11" ht="15.75" thickBot="1" x14ac:dyDescent="0.3"/>
    <row r="17" spans="2:10" ht="29.25" thickBot="1" x14ac:dyDescent="0.3">
      <c r="B17" s="49"/>
      <c r="C17" s="47"/>
      <c r="E17" s="57" t="s">
        <v>52</v>
      </c>
      <c r="F17" s="58" t="s">
        <v>15</v>
      </c>
      <c r="G17" s="59" t="s">
        <v>16</v>
      </c>
      <c r="I17" s="37"/>
      <c r="J17" s="37"/>
    </row>
    <row r="18" spans="2:10" ht="15.75" thickBot="1" x14ac:dyDescent="0.3">
      <c r="B18" s="47"/>
      <c r="C18" s="47"/>
      <c r="E18" s="42" t="s">
        <v>17</v>
      </c>
      <c r="F18" s="43">
        <v>25</v>
      </c>
      <c r="G18" s="44">
        <v>80</v>
      </c>
      <c r="I18" s="47"/>
      <c r="J18" s="37"/>
    </row>
    <row r="19" spans="2:10" ht="15.75" thickBot="1" x14ac:dyDescent="0.3">
      <c r="B19" s="47"/>
      <c r="C19" s="47"/>
      <c r="E19" s="42" t="s">
        <v>18</v>
      </c>
      <c r="F19" s="43">
        <v>920</v>
      </c>
      <c r="G19" s="44">
        <v>920</v>
      </c>
      <c r="I19" s="47"/>
      <c r="J19" s="48"/>
    </row>
    <row r="20" spans="2:10" ht="15.75" thickBot="1" x14ac:dyDescent="0.3">
      <c r="B20" s="47"/>
      <c r="C20" s="47"/>
      <c r="E20" s="42" t="s">
        <v>19</v>
      </c>
      <c r="F20" s="45">
        <v>6000</v>
      </c>
      <c r="G20" s="46">
        <v>18000</v>
      </c>
      <c r="I20" s="47"/>
      <c r="J20" s="48"/>
    </row>
    <row r="21" spans="2:10" ht="15.75" thickBot="1" x14ac:dyDescent="0.3">
      <c r="B21" s="47"/>
      <c r="C21" s="47"/>
      <c r="E21" s="42" t="s">
        <v>20</v>
      </c>
      <c r="F21" s="43">
        <f>F20/(F18*30)</f>
        <v>8</v>
      </c>
      <c r="G21" s="44">
        <f>G20/(G18*30)</f>
        <v>7.5</v>
      </c>
      <c r="I21" s="47"/>
      <c r="J21" s="48"/>
    </row>
    <row r="22" spans="2:10" ht="15.75" thickBot="1" x14ac:dyDescent="0.3">
      <c r="B22" s="47"/>
      <c r="C22" s="47"/>
      <c r="E22" s="42" t="s">
        <v>21</v>
      </c>
      <c r="F22" s="43">
        <v>10</v>
      </c>
      <c r="G22" s="44">
        <v>10</v>
      </c>
      <c r="I22" s="47"/>
      <c r="J22" s="48"/>
    </row>
    <row r="25" spans="2:10" ht="18.75" x14ac:dyDescent="0.3">
      <c r="B25" s="99" t="s">
        <v>22</v>
      </c>
      <c r="C25" s="100"/>
      <c r="D25" s="100"/>
      <c r="E25" s="100"/>
      <c r="F25" s="100"/>
      <c r="G25" s="100"/>
      <c r="H25" s="101"/>
    </row>
    <row r="26" spans="2:10" x14ac:dyDescent="0.25">
      <c r="B26" s="102"/>
      <c r="C26" s="102"/>
      <c r="D26" s="102"/>
      <c r="E26" s="102"/>
      <c r="F26" s="102"/>
      <c r="G26" s="102"/>
      <c r="H26" s="102"/>
    </row>
    <row r="27" spans="2:10" ht="15.75" thickBot="1" x14ac:dyDescent="0.3">
      <c r="B27" s="50"/>
      <c r="C27" s="50"/>
      <c r="D27" s="50"/>
      <c r="E27" s="50"/>
      <c r="F27" s="50"/>
      <c r="G27" s="50"/>
      <c r="H27" s="50"/>
    </row>
    <row r="28" spans="2:10" x14ac:dyDescent="0.25">
      <c r="B28" s="110"/>
      <c r="C28" s="112" t="s">
        <v>23</v>
      </c>
      <c r="D28" s="107" t="s">
        <v>24</v>
      </c>
      <c r="E28" s="108"/>
      <c r="F28" s="108"/>
      <c r="G28" s="108"/>
      <c r="H28" s="109"/>
    </row>
    <row r="29" spans="2:10" ht="15.75" thickBot="1" x14ac:dyDescent="0.3">
      <c r="B29" s="111"/>
      <c r="C29" s="113"/>
      <c r="D29" s="55">
        <v>1</v>
      </c>
      <c r="E29" s="55">
        <v>2</v>
      </c>
      <c r="F29" s="55">
        <v>3</v>
      </c>
      <c r="G29" s="55">
        <v>4</v>
      </c>
      <c r="H29" s="56">
        <v>5</v>
      </c>
    </row>
    <row r="30" spans="2:10" x14ac:dyDescent="0.25">
      <c r="B30" s="53"/>
      <c r="C30" s="54" t="s">
        <v>48</v>
      </c>
      <c r="D30" s="54">
        <f>F18*30*12</f>
        <v>9000</v>
      </c>
      <c r="E30" s="54">
        <f>D30*(1.1)</f>
        <v>9900</v>
      </c>
      <c r="F30" s="54">
        <f>E30*(1.1)</f>
        <v>10890</v>
      </c>
      <c r="G30" s="54">
        <f t="shared" ref="G30:H30" si="3">F30*(1.1)</f>
        <v>11979.000000000002</v>
      </c>
      <c r="H30" s="54">
        <f t="shared" si="3"/>
        <v>13176.900000000003</v>
      </c>
    </row>
    <row r="31" spans="2:10" x14ac:dyDescent="0.25">
      <c r="B31" s="35"/>
      <c r="C31" s="36" t="s">
        <v>49</v>
      </c>
      <c r="D31" s="36">
        <v>10</v>
      </c>
      <c r="E31" s="36">
        <f>D31</f>
        <v>10</v>
      </c>
      <c r="F31" s="36">
        <f t="shared" ref="F31:H31" si="4">E31</f>
        <v>10</v>
      </c>
      <c r="G31" s="36">
        <f t="shared" si="4"/>
        <v>10</v>
      </c>
      <c r="H31" s="36">
        <f t="shared" si="4"/>
        <v>10</v>
      </c>
    </row>
    <row r="32" spans="2:10" x14ac:dyDescent="0.25">
      <c r="B32" s="7"/>
      <c r="C32" s="8" t="s">
        <v>50</v>
      </c>
      <c r="D32" s="9">
        <f>D30*D31</f>
        <v>90000</v>
      </c>
      <c r="E32" s="9">
        <f>E30*E31</f>
        <v>99000</v>
      </c>
      <c r="F32" s="9">
        <f t="shared" ref="F32:H32" si="5">F30*F31</f>
        <v>108900</v>
      </c>
      <c r="G32" s="9">
        <f t="shared" si="5"/>
        <v>119790.00000000001</v>
      </c>
      <c r="H32" s="9">
        <f t="shared" si="5"/>
        <v>131769.00000000003</v>
      </c>
    </row>
    <row r="33" spans="1:9" x14ac:dyDescent="0.25">
      <c r="B33" s="7" t="s">
        <v>25</v>
      </c>
      <c r="C33" s="8" t="s">
        <v>26</v>
      </c>
      <c r="D33" s="9">
        <f>D30*$F$21</f>
        <v>72000</v>
      </c>
      <c r="E33" s="9">
        <f>E30*$F$21</f>
        <v>79200</v>
      </c>
      <c r="F33" s="9">
        <f t="shared" ref="F33:H33" si="6">F30*$F$21</f>
        <v>87120</v>
      </c>
      <c r="G33" s="9">
        <f t="shared" si="6"/>
        <v>95832.000000000015</v>
      </c>
      <c r="H33" s="9">
        <f t="shared" si="6"/>
        <v>105415.20000000003</v>
      </c>
    </row>
    <row r="34" spans="1:9" x14ac:dyDescent="0.25">
      <c r="B34" s="7" t="s">
        <v>25</v>
      </c>
      <c r="C34" s="8" t="s">
        <v>28</v>
      </c>
      <c r="D34" s="9">
        <f>F19*12</f>
        <v>11040</v>
      </c>
      <c r="E34" s="12">
        <f>+D34</f>
        <v>11040</v>
      </c>
      <c r="F34" s="12">
        <f t="shared" ref="F34:G34" si="7">+E34</f>
        <v>11040</v>
      </c>
      <c r="G34" s="12">
        <f t="shared" si="7"/>
        <v>11040</v>
      </c>
      <c r="H34" s="12">
        <f>+G34</f>
        <v>11040</v>
      </c>
    </row>
    <row r="35" spans="1:9" x14ac:dyDescent="0.25">
      <c r="B35" s="7" t="s">
        <v>25</v>
      </c>
      <c r="C35" s="8" t="s">
        <v>29</v>
      </c>
      <c r="D35" s="9">
        <f>$F$15</f>
        <v>609</v>
      </c>
      <c r="E35" s="9">
        <f t="shared" ref="E35:H35" si="8">$F$15</f>
        <v>609</v>
      </c>
      <c r="F35" s="9">
        <f t="shared" si="8"/>
        <v>609</v>
      </c>
      <c r="G35" s="9">
        <f t="shared" si="8"/>
        <v>609</v>
      </c>
      <c r="H35" s="9">
        <f t="shared" si="8"/>
        <v>609</v>
      </c>
    </row>
    <row r="36" spans="1:9" ht="22.5" x14ac:dyDescent="0.25">
      <c r="B36" s="7" t="s">
        <v>27</v>
      </c>
      <c r="C36" s="51" t="s">
        <v>30</v>
      </c>
      <c r="D36" s="52">
        <f>D32-D33-D34-D35</f>
        <v>6351</v>
      </c>
      <c r="E36" s="52">
        <f t="shared" ref="E36:H36" si="9">E32-E33-E34-E35</f>
        <v>8151</v>
      </c>
      <c r="F36" s="52">
        <f t="shared" si="9"/>
        <v>10131</v>
      </c>
      <c r="G36" s="52">
        <f t="shared" si="9"/>
        <v>12309</v>
      </c>
      <c r="H36" s="52">
        <f t="shared" si="9"/>
        <v>14704.800000000003</v>
      </c>
    </row>
    <row r="37" spans="1:9" ht="22.5" x14ac:dyDescent="0.25">
      <c r="B37" s="7" t="s">
        <v>25</v>
      </c>
      <c r="C37" s="11" t="s">
        <v>31</v>
      </c>
      <c r="D37" s="10">
        <f>+[1]préstamo!H40</f>
        <v>0</v>
      </c>
      <c r="E37" s="10">
        <f>+[1]préstamo!H54</f>
        <v>0</v>
      </c>
      <c r="F37" s="12">
        <f>+[1]préstamo!H54</f>
        <v>0</v>
      </c>
      <c r="G37" s="12">
        <f>+[1]préstamo!H84</f>
        <v>0</v>
      </c>
      <c r="H37" s="7">
        <v>0</v>
      </c>
    </row>
    <row r="38" spans="1:9" x14ac:dyDescent="0.25">
      <c r="B38" s="7" t="s">
        <v>27</v>
      </c>
      <c r="C38" s="13" t="s">
        <v>32</v>
      </c>
      <c r="D38" s="9">
        <f>D36-D37</f>
        <v>6351</v>
      </c>
      <c r="E38" s="9">
        <f t="shared" ref="E38:H38" si="10">E36-E37</f>
        <v>8151</v>
      </c>
      <c r="F38" s="9">
        <f t="shared" si="10"/>
        <v>10131</v>
      </c>
      <c r="G38" s="9">
        <f t="shared" si="10"/>
        <v>12309</v>
      </c>
      <c r="H38" s="9">
        <f t="shared" si="10"/>
        <v>14704.800000000003</v>
      </c>
    </row>
    <row r="39" spans="1:9" x14ac:dyDescent="0.25">
      <c r="B39" s="7" t="s">
        <v>25</v>
      </c>
      <c r="C39" s="8" t="s">
        <v>38</v>
      </c>
      <c r="D39" s="9">
        <f>+D38*0.3</f>
        <v>1905.3</v>
      </c>
      <c r="E39" s="9">
        <f t="shared" ref="E39:H39" si="11">+E38*0.3</f>
        <v>2445.2999999999997</v>
      </c>
      <c r="F39" s="9">
        <f t="shared" si="11"/>
        <v>3039.2999999999997</v>
      </c>
      <c r="G39" s="9">
        <f t="shared" si="11"/>
        <v>3692.7</v>
      </c>
      <c r="H39" s="9">
        <f t="shared" si="11"/>
        <v>4411.4400000000005</v>
      </c>
    </row>
    <row r="40" spans="1:9" x14ac:dyDescent="0.25">
      <c r="B40" s="63" t="s">
        <v>27</v>
      </c>
      <c r="C40" s="64" t="s">
        <v>53</v>
      </c>
      <c r="D40" s="65">
        <f>D38-D39</f>
        <v>4445.7</v>
      </c>
      <c r="E40" s="65">
        <f t="shared" ref="E40:H40" si="12">E38-E39</f>
        <v>5705.7000000000007</v>
      </c>
      <c r="F40" s="65">
        <f t="shared" si="12"/>
        <v>7091.7000000000007</v>
      </c>
      <c r="G40" s="65">
        <f t="shared" si="12"/>
        <v>8616.2999999999993</v>
      </c>
      <c r="H40" s="65">
        <f t="shared" si="12"/>
        <v>10293.360000000002</v>
      </c>
    </row>
    <row r="41" spans="1:9" x14ac:dyDescent="0.25">
      <c r="B41" s="72"/>
      <c r="C41" s="73"/>
      <c r="D41" s="74"/>
      <c r="E41" s="74"/>
      <c r="F41" s="74"/>
      <c r="G41" s="74"/>
      <c r="H41" s="74"/>
    </row>
    <row r="42" spans="1:9" x14ac:dyDescent="0.25">
      <c r="B42" s="63" t="s">
        <v>58</v>
      </c>
      <c r="C42" s="64">
        <v>0</v>
      </c>
      <c r="D42" s="65">
        <v>1</v>
      </c>
      <c r="E42" s="65">
        <v>2</v>
      </c>
      <c r="F42" s="65">
        <v>3</v>
      </c>
      <c r="G42" s="65">
        <v>4</v>
      </c>
      <c r="H42" s="65">
        <v>5</v>
      </c>
    </row>
    <row r="43" spans="1:9" x14ac:dyDescent="0.25">
      <c r="B43" s="36" t="s">
        <v>59</v>
      </c>
      <c r="C43" s="67">
        <f>F18*30*F21+F19</f>
        <v>6920</v>
      </c>
      <c r="D43" s="52">
        <f>(E30/12)*F21+F19</f>
        <v>7520</v>
      </c>
      <c r="E43" s="52">
        <f>(F30/12)*F21+F19</f>
        <v>8180</v>
      </c>
      <c r="F43" s="52">
        <f>(G30/12)*F21+F19</f>
        <v>8906</v>
      </c>
      <c r="G43" s="52">
        <f>(H30/12)*F21+F19</f>
        <v>9704.6000000000022</v>
      </c>
      <c r="H43" s="52"/>
      <c r="I43" t="s">
        <v>61</v>
      </c>
    </row>
    <row r="44" spans="1:9" x14ac:dyDescent="0.25">
      <c r="B44" s="36" t="s">
        <v>60</v>
      </c>
      <c r="C44" s="67"/>
      <c r="D44" s="52">
        <f>D43-C43</f>
        <v>600</v>
      </c>
      <c r="E44" s="52">
        <f>E43-D44-C43</f>
        <v>660</v>
      </c>
      <c r="F44" s="52">
        <f>F43-E44-D44-C43</f>
        <v>726</v>
      </c>
      <c r="G44" s="52">
        <f>G43-F44-E44-D44-C43</f>
        <v>798.60000000000218</v>
      </c>
      <c r="H44" s="52">
        <v>0</v>
      </c>
      <c r="I44" s="71">
        <f>D44+E44+F44+G44</f>
        <v>2784.6000000000022</v>
      </c>
    </row>
    <row r="46" spans="1:9" ht="15.75" thickBot="1" x14ac:dyDescent="0.3">
      <c r="B46" s="103" t="s">
        <v>39</v>
      </c>
      <c r="C46" s="103"/>
      <c r="D46" s="103"/>
      <c r="E46" s="103"/>
      <c r="F46" s="103"/>
      <c r="G46" s="103"/>
    </row>
    <row r="47" spans="1:9" x14ac:dyDescent="0.25">
      <c r="A47" s="93" t="s">
        <v>33</v>
      </c>
      <c r="B47" s="95" t="s">
        <v>34</v>
      </c>
      <c r="C47" s="96"/>
      <c r="D47" s="96"/>
      <c r="E47" s="96"/>
      <c r="F47" s="96"/>
      <c r="G47" s="97"/>
    </row>
    <row r="48" spans="1:9" ht="15.75" thickBot="1" x14ac:dyDescent="0.3">
      <c r="A48" s="94"/>
      <c r="B48" s="81">
        <v>0</v>
      </c>
      <c r="C48" s="82">
        <v>1</v>
      </c>
      <c r="D48" s="82">
        <v>2</v>
      </c>
      <c r="E48" s="82">
        <v>3</v>
      </c>
      <c r="F48" s="82">
        <v>4</v>
      </c>
      <c r="G48" s="83">
        <v>5</v>
      </c>
    </row>
    <row r="49" spans="1:7" x14ac:dyDescent="0.25">
      <c r="A49" s="77" t="s">
        <v>72</v>
      </c>
      <c r="B49" s="85">
        <v>0</v>
      </c>
      <c r="C49" s="86">
        <f>D44</f>
        <v>600</v>
      </c>
      <c r="D49" s="86">
        <f t="shared" ref="D49:F49" si="13">E44</f>
        <v>660</v>
      </c>
      <c r="E49" s="86">
        <f t="shared" si="13"/>
        <v>726</v>
      </c>
      <c r="F49" s="86">
        <f t="shared" si="13"/>
        <v>798.60000000000218</v>
      </c>
      <c r="G49" s="87"/>
    </row>
    <row r="50" spans="1:7" x14ac:dyDescent="0.25">
      <c r="A50" s="77" t="s">
        <v>62</v>
      </c>
      <c r="B50" s="80"/>
      <c r="C50" s="75"/>
      <c r="D50" s="75"/>
      <c r="E50" s="75"/>
      <c r="F50" s="75"/>
      <c r="G50" s="88">
        <f>SUM(B49:F49)+C43</f>
        <v>9704.6000000000022</v>
      </c>
    </row>
    <row r="51" spans="1:7" x14ac:dyDescent="0.25">
      <c r="A51" s="78" t="s">
        <v>35</v>
      </c>
      <c r="B51" s="18"/>
      <c r="C51" s="14">
        <f>D32</f>
        <v>90000</v>
      </c>
      <c r="D51" s="14">
        <f>E32</f>
        <v>99000</v>
      </c>
      <c r="E51" s="14">
        <f>F32</f>
        <v>108900</v>
      </c>
      <c r="F51" s="14">
        <f>G32</f>
        <v>119790.00000000001</v>
      </c>
      <c r="G51" s="14">
        <f>H32</f>
        <v>131769.00000000003</v>
      </c>
    </row>
    <row r="52" spans="1:7" x14ac:dyDescent="0.25">
      <c r="A52" s="78" t="s">
        <v>57</v>
      </c>
      <c r="B52" s="18"/>
      <c r="C52" s="14"/>
      <c r="D52" s="14"/>
      <c r="E52" s="14"/>
      <c r="F52" s="14"/>
      <c r="G52" s="14">
        <v>0</v>
      </c>
    </row>
    <row r="53" spans="1:7" x14ac:dyDescent="0.25">
      <c r="A53" s="78" t="s">
        <v>36</v>
      </c>
      <c r="B53" s="18"/>
      <c r="C53" s="17">
        <f>F19*12</f>
        <v>11040</v>
      </c>
      <c r="D53" s="17">
        <f>G19*12</f>
        <v>11040</v>
      </c>
      <c r="E53" s="17">
        <f>C53</f>
        <v>11040</v>
      </c>
      <c r="F53" s="17">
        <f>D53</f>
        <v>11040</v>
      </c>
      <c r="G53" s="17">
        <f>C53</f>
        <v>11040</v>
      </c>
    </row>
    <row r="54" spans="1:7" x14ac:dyDescent="0.25">
      <c r="A54" s="78" t="s">
        <v>37</v>
      </c>
      <c r="B54" s="18"/>
      <c r="C54" s="17">
        <f>D33</f>
        <v>72000</v>
      </c>
      <c r="D54" s="17">
        <f>E33</f>
        <v>79200</v>
      </c>
      <c r="E54" s="17">
        <f>F33</f>
        <v>87120</v>
      </c>
      <c r="F54" s="17">
        <f>G33</f>
        <v>95832.000000000015</v>
      </c>
      <c r="G54" s="17">
        <f>H33</f>
        <v>105415.20000000003</v>
      </c>
    </row>
    <row r="55" spans="1:7" x14ac:dyDescent="0.25">
      <c r="A55" s="16" t="s">
        <v>54</v>
      </c>
      <c r="B55" s="18"/>
      <c r="C55" s="15">
        <f>D39</f>
        <v>1905.3</v>
      </c>
      <c r="D55" s="15">
        <f>E39</f>
        <v>2445.2999999999997</v>
      </c>
      <c r="E55" s="15">
        <f>F39</f>
        <v>3039.2999999999997</v>
      </c>
      <c r="F55" s="15">
        <f>G39</f>
        <v>3692.7</v>
      </c>
      <c r="G55" s="15">
        <f>H39</f>
        <v>4411.4400000000005</v>
      </c>
    </row>
    <row r="56" spans="1:7" ht="15.75" thickBot="1" x14ac:dyDescent="0.3">
      <c r="A56" s="79" t="s">
        <v>55</v>
      </c>
      <c r="B56" s="84"/>
      <c r="C56" s="66">
        <f>-C49+C50+C51+C52-C53-C54-C55</f>
        <v>4454.7</v>
      </c>
      <c r="D56" s="66">
        <f t="shared" ref="D56:G56" si="14">-D49+D50+D51+D52-D53-D54-D55</f>
        <v>5654.7000000000007</v>
      </c>
      <c r="E56" s="66">
        <f t="shared" si="14"/>
        <v>6974.7000000000007</v>
      </c>
      <c r="F56" s="66">
        <f t="shared" si="14"/>
        <v>8426.6999999999935</v>
      </c>
      <c r="G56" s="66">
        <f t="shared" si="14"/>
        <v>20606.960000000006</v>
      </c>
    </row>
    <row r="57" spans="1:7" x14ac:dyDescent="0.25">
      <c r="A57" s="76" t="s">
        <v>74</v>
      </c>
    </row>
  </sheetData>
  <mergeCells count="11">
    <mergeCell ref="A47:A48"/>
    <mergeCell ref="B47:G47"/>
    <mergeCell ref="D1:K2"/>
    <mergeCell ref="B25:H25"/>
    <mergeCell ref="B26:H26"/>
    <mergeCell ref="B46:G46"/>
    <mergeCell ref="B3:D4"/>
    <mergeCell ref="D28:H28"/>
    <mergeCell ref="B28:B29"/>
    <mergeCell ref="C28:C29"/>
    <mergeCell ref="B10:G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25"/>
  <sheetViews>
    <sheetView tabSelected="1" workbookViewId="0">
      <selection activeCell="G24" sqref="G24"/>
    </sheetView>
  </sheetViews>
  <sheetFormatPr baseColWidth="10" defaultRowHeight="15" x14ac:dyDescent="0.25"/>
  <cols>
    <col min="3" max="3" width="23.140625" customWidth="1"/>
    <col min="4" max="4" width="14.140625" customWidth="1"/>
  </cols>
  <sheetData>
    <row r="3" spans="2:6" x14ac:dyDescent="0.25">
      <c r="B3" t="s">
        <v>70</v>
      </c>
    </row>
    <row r="5" spans="2:6" x14ac:dyDescent="0.25">
      <c r="C5" t="s">
        <v>65</v>
      </c>
      <c r="D5" s="89">
        <v>0.02</v>
      </c>
    </row>
    <row r="8" spans="2:6" x14ac:dyDescent="0.25">
      <c r="B8" s="27" t="s">
        <v>40</v>
      </c>
      <c r="C8" s="28"/>
      <c r="D8" s="28"/>
      <c r="E8" s="20"/>
      <c r="F8" s="20"/>
    </row>
    <row r="9" spans="2:6" x14ac:dyDescent="0.25">
      <c r="B9" s="28" t="s">
        <v>41</v>
      </c>
      <c r="C9" s="28"/>
      <c r="D9" s="29">
        <v>5.1799999999999999E-2</v>
      </c>
      <c r="E9" s="20"/>
      <c r="F9" s="20"/>
    </row>
    <row r="10" spans="2:6" x14ac:dyDescent="0.25">
      <c r="B10" s="28" t="s">
        <v>42</v>
      </c>
      <c r="C10" s="28"/>
      <c r="D10" s="29">
        <f>D11+D9</f>
        <v>0.1142</v>
      </c>
      <c r="E10" s="20"/>
      <c r="F10" s="20"/>
    </row>
    <row r="11" spans="2:6" x14ac:dyDescent="0.25">
      <c r="B11" s="28" t="s">
        <v>43</v>
      </c>
      <c r="C11" s="28"/>
      <c r="D11" s="30">
        <v>6.2399999999999997E-2</v>
      </c>
      <c r="E11" s="21"/>
      <c r="F11" s="21"/>
    </row>
    <row r="12" spans="2:6" x14ac:dyDescent="0.25">
      <c r="B12" s="28" t="s">
        <v>44</v>
      </c>
      <c r="C12" s="28"/>
      <c r="D12" s="29">
        <v>1.2E-2</v>
      </c>
      <c r="E12" s="20"/>
      <c r="F12" s="20"/>
    </row>
    <row r="13" spans="2:6" x14ac:dyDescent="0.25">
      <c r="B13" s="28" t="s">
        <v>45</v>
      </c>
      <c r="C13" s="28"/>
      <c r="D13" s="68">
        <v>0.61</v>
      </c>
      <c r="E13" s="20"/>
      <c r="F13" s="20"/>
    </row>
    <row r="14" spans="2:6" x14ac:dyDescent="0.25">
      <c r="B14" s="31" t="s">
        <v>63</v>
      </c>
      <c r="C14" s="32"/>
      <c r="D14" s="33">
        <f>D9+D13*(D11)+D12</f>
        <v>0.101864</v>
      </c>
      <c r="E14" s="20"/>
      <c r="F14" s="20"/>
    </row>
    <row r="15" spans="2:6" x14ac:dyDescent="0.25">
      <c r="B15" s="20" t="s">
        <v>64</v>
      </c>
      <c r="C15" s="20"/>
      <c r="D15" s="90">
        <f>D14*((1+0)/(1+D5))</f>
        <v>9.9866666666666659E-2</v>
      </c>
      <c r="E15" s="20"/>
      <c r="F15" s="22"/>
    </row>
    <row r="16" spans="2:6" x14ac:dyDescent="0.25">
      <c r="B16" s="20"/>
      <c r="C16" s="20"/>
      <c r="D16" s="23"/>
      <c r="E16" s="20"/>
      <c r="F16" s="23"/>
    </row>
    <row r="17" spans="2:6" x14ac:dyDescent="0.25">
      <c r="B17" s="19" t="s">
        <v>66</v>
      </c>
      <c r="C17" s="20"/>
      <c r="D17" s="20"/>
      <c r="E17" s="20"/>
      <c r="F17" s="20"/>
    </row>
    <row r="18" spans="2:6" ht="15.75" thickBot="1" x14ac:dyDescent="0.3">
      <c r="B18" s="20" t="s">
        <v>46</v>
      </c>
      <c r="C18" s="20"/>
      <c r="D18" s="24">
        <f>D15</f>
        <v>9.9866666666666659E-2</v>
      </c>
      <c r="E18" s="20"/>
      <c r="F18" s="20"/>
    </row>
    <row r="19" spans="2:6" ht="15.75" thickBot="1" x14ac:dyDescent="0.3">
      <c r="B19" s="20" t="s">
        <v>47</v>
      </c>
      <c r="C19" s="20"/>
      <c r="D19" s="70" t="e">
        <f>NPV(D18,#REF!)+#REF!</f>
        <v>#REF!</v>
      </c>
      <c r="E19" s="25" t="s">
        <v>56</v>
      </c>
      <c r="F19" s="25"/>
    </row>
    <row r="20" spans="2:6" x14ac:dyDescent="0.25">
      <c r="B20" s="20"/>
      <c r="C20" s="20"/>
      <c r="D20" s="69"/>
      <c r="E20" s="25"/>
      <c r="F20" s="26"/>
    </row>
    <row r="21" spans="2:6" x14ac:dyDescent="0.25">
      <c r="B21" s="19" t="s">
        <v>73</v>
      </c>
      <c r="C21" s="20"/>
      <c r="D21" s="20"/>
      <c r="E21" s="25"/>
      <c r="F21" s="25"/>
    </row>
    <row r="22" spans="2:6" x14ac:dyDescent="0.25">
      <c r="B22" s="20" t="s">
        <v>68</v>
      </c>
      <c r="C22" s="91" t="e">
        <f>#REF!</f>
        <v>#REF!</v>
      </c>
    </row>
    <row r="23" spans="2:6" x14ac:dyDescent="0.25">
      <c r="B23" s="20" t="s">
        <v>67</v>
      </c>
      <c r="C23" s="92" t="e">
        <f>NPV(C22,#REF!)</f>
        <v>#REF!</v>
      </c>
    </row>
    <row r="25" spans="2:6" x14ac:dyDescent="0.25">
      <c r="B25" s="20" t="s">
        <v>69</v>
      </c>
      <c r="C25" s="92" t="e">
        <f>D19+C23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SIN PROYECTO</vt:lpstr>
      <vt:lpstr>EVALUACION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EDISON ACHALMA</cp:lastModifiedBy>
  <dcterms:created xsi:type="dcterms:W3CDTF">2017-08-05T15:59:26Z</dcterms:created>
  <dcterms:modified xsi:type="dcterms:W3CDTF">2021-08-11T20:21:46Z</dcterms:modified>
</cp:coreProperties>
</file>