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Collaboration Space/Shared Resources/14 CASOS DE PROYECTOS EN EMPRESAS EN MARCHA/"/>
    </mc:Choice>
  </mc:AlternateContent>
  <xr:revisionPtr revIDLastSave="0" documentId="8_{A96D3284-5F5B-491E-921F-7B4D78CDF015}" xr6:coauthVersionLast="47" xr6:coauthVersionMax="47" xr10:uidLastSave="{00000000-0000-0000-0000-000000000000}"/>
  <bookViews>
    <workbookView xWindow="-120" yWindow="-16320" windowWidth="29040" windowHeight="15720" tabRatio="945" activeTab="7"/>
  </bookViews>
  <sheets>
    <sheet name="INVERSION" sheetId="15" r:id="rId1"/>
    <sheet name="DEPRECIACION" sheetId="49" r:id="rId2"/>
    <sheet name="COST PROD TRUCHA" sheetId="19" r:id="rId3"/>
    <sheet name="costo de produccion" sheetId="21" r:id="rId4"/>
    <sheet name="Manten Cent Acopio" sheetId="32" r:id="rId5"/>
    <sheet name="VENTAS" sheetId="22" r:id="rId6"/>
    <sheet name="deuda" sheetId="51" r:id="rId7"/>
    <sheet name="FLUJO DE CAJA" sheetId="27" r:id="rId8"/>
    <sheet name="COK" sheetId="50" r:id="rId9"/>
    <sheet name="p. equi" sheetId="53" r:id="rId10"/>
    <sheet name="Hoja1" sheetId="54" r:id="rId11"/>
  </sheets>
  <externalReferences>
    <externalReference r:id="rId12"/>
    <externalReference r:id="rId13"/>
  </externalReferences>
  <definedNames>
    <definedName name="Jornal">'[1]Flujo de cja'!$B$70</definedName>
    <definedName name="Precio">'[1]Flujo de cja'!$B$63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27" l="1"/>
  <c r="C5" i="51"/>
  <c r="D19" i="50"/>
  <c r="K9" i="49"/>
  <c r="F7" i="49"/>
  <c r="H4" i="49"/>
  <c r="D32" i="27"/>
  <c r="D10" i="50"/>
  <c r="D12" i="50" s="1"/>
  <c r="D37" i="50" s="1"/>
  <c r="D39" i="50" s="1"/>
  <c r="D6" i="22"/>
  <c r="E6" i="22" s="1"/>
  <c r="G6" i="22" s="1"/>
  <c r="D7" i="22"/>
  <c r="E7" i="22"/>
  <c r="G7" i="22" s="1"/>
  <c r="F7" i="22"/>
  <c r="F8" i="22" s="1"/>
  <c r="D8" i="22"/>
  <c r="E8" i="22"/>
  <c r="D9" i="22"/>
  <c r="E9" i="22"/>
  <c r="D10" i="22"/>
  <c r="E10" i="22" s="1"/>
  <c r="F11" i="19"/>
  <c r="F10" i="19" s="1"/>
  <c r="F17" i="19" s="1"/>
  <c r="H14" i="32"/>
  <c r="G19" i="27" s="1"/>
  <c r="D30" i="50"/>
  <c r="H20" i="15"/>
  <c r="D5" i="50"/>
  <c r="D17" i="50"/>
  <c r="D15" i="50"/>
  <c r="D16" i="50"/>
  <c r="H15" i="27"/>
  <c r="F15" i="27"/>
  <c r="E15" i="27"/>
  <c r="E9" i="49"/>
  <c r="F9" i="49"/>
  <c r="J9" i="49"/>
  <c r="E6" i="49"/>
  <c r="F6" i="49" s="1"/>
  <c r="E7" i="49"/>
  <c r="J7" i="49" s="1"/>
  <c r="G7" i="49"/>
  <c r="E8" i="49"/>
  <c r="H8" i="49" s="1"/>
  <c r="E10" i="49"/>
  <c r="G10" i="49"/>
  <c r="E5" i="49"/>
  <c r="E4" i="49"/>
  <c r="G4" i="49" s="1"/>
  <c r="B8" i="49"/>
  <c r="B10" i="49"/>
  <c r="F22" i="19"/>
  <c r="F23" i="19"/>
  <c r="F24" i="19"/>
  <c r="F25" i="19"/>
  <c r="F26" i="19"/>
  <c r="F12" i="19"/>
  <c r="F15" i="19"/>
  <c r="F16" i="19"/>
  <c r="F14" i="19"/>
  <c r="F13" i="19"/>
  <c r="F9" i="15"/>
  <c r="F8" i="15"/>
  <c r="C6" i="49" s="1"/>
  <c r="F10" i="15"/>
  <c r="D7" i="15"/>
  <c r="F7" i="15" s="1"/>
  <c r="F15" i="15"/>
  <c r="F11" i="15" s="1"/>
  <c r="D11" i="27" s="1"/>
  <c r="F13" i="15"/>
  <c r="F14" i="15"/>
  <c r="F12" i="15"/>
  <c r="H7" i="32"/>
  <c r="F8" i="19"/>
  <c r="F9" i="19"/>
  <c r="F7" i="19"/>
  <c r="D9" i="21"/>
  <c r="E15" i="21" s="1"/>
  <c r="D10" i="21"/>
  <c r="F15" i="21"/>
  <c r="I18" i="27" s="1"/>
  <c r="D6" i="21"/>
  <c r="B15" i="21"/>
  <c r="E18" i="27" s="1"/>
  <c r="D8" i="21"/>
  <c r="D15" i="21"/>
  <c r="D16" i="21"/>
  <c r="D7" i="21"/>
  <c r="C15" i="21"/>
  <c r="C16" i="21" s="1"/>
  <c r="J8" i="49"/>
  <c r="I9" i="49"/>
  <c r="I7" i="49"/>
  <c r="D18" i="50"/>
  <c r="D21" i="50" s="1"/>
  <c r="D23" i="50" s="1"/>
  <c r="D29" i="50" s="1"/>
  <c r="H9" i="49"/>
  <c r="G9" i="49"/>
  <c r="I8" i="49"/>
  <c r="F8" i="49"/>
  <c r="H10" i="49"/>
  <c r="I10" i="49"/>
  <c r="F10" i="49"/>
  <c r="K10" i="49" s="1"/>
  <c r="J10" i="49"/>
  <c r="H7" i="49"/>
  <c r="H18" i="27" l="1"/>
  <c r="E16" i="21"/>
  <c r="H6" i="49"/>
  <c r="J6" i="49"/>
  <c r="K6" i="49" s="1"/>
  <c r="K11" i="49" s="1"/>
  <c r="I14" i="27" s="1"/>
  <c r="F9" i="22"/>
  <c r="F10" i="22" s="1"/>
  <c r="G8" i="22"/>
  <c r="G9" i="22"/>
  <c r="D15" i="22"/>
  <c r="H7" i="22"/>
  <c r="E17" i="15"/>
  <c r="F17" i="15" s="1"/>
  <c r="F16" i="15" s="1"/>
  <c r="I17" i="19"/>
  <c r="C5" i="49"/>
  <c r="F6" i="15"/>
  <c r="D10" i="27" s="1"/>
  <c r="G10" i="22"/>
  <c r="C15" i="22"/>
  <c r="H6" i="22"/>
  <c r="K4" i="32"/>
  <c r="I6" i="49"/>
  <c r="D33" i="27"/>
  <c r="D34" i="27" s="1"/>
  <c r="G12" i="27" s="1"/>
  <c r="G15" i="27" s="1"/>
  <c r="K14" i="32"/>
  <c r="F18" i="27"/>
  <c r="D25" i="53"/>
  <c r="F16" i="21"/>
  <c r="G8" i="49"/>
  <c r="F19" i="27"/>
  <c r="B16" i="21"/>
  <c r="F4" i="49"/>
  <c r="G6" i="49"/>
  <c r="G15" i="22" l="1"/>
  <c r="H10" i="22"/>
  <c r="J5" i="49"/>
  <c r="J11" i="49" s="1"/>
  <c r="F5" i="49"/>
  <c r="H5" i="49"/>
  <c r="H11" i="49" s="1"/>
  <c r="I5" i="49"/>
  <c r="I11" i="49" s="1"/>
  <c r="G5" i="49"/>
  <c r="G11" i="49" s="1"/>
  <c r="F11" i="49"/>
  <c r="F15" i="22"/>
  <c r="H9" i="22"/>
  <c r="K5" i="32"/>
  <c r="K6" i="32" s="1"/>
  <c r="K7" i="32" s="1"/>
  <c r="E19" i="27"/>
  <c r="H8" i="22"/>
  <c r="E15" i="22"/>
  <c r="D16" i="22"/>
  <c r="F16" i="27"/>
  <c r="F21" i="27" s="1"/>
  <c r="J11" i="32"/>
  <c r="E16" i="27"/>
  <c r="C16" i="22"/>
  <c r="F18" i="15"/>
  <c r="D12" i="27"/>
  <c r="I13" i="27" s="1"/>
  <c r="I15" i="27" s="1"/>
  <c r="D15" i="27" l="1"/>
  <c r="D21" i="27" s="1"/>
  <c r="C22" i="15"/>
  <c r="C21" i="15"/>
  <c r="D27" i="50" s="1"/>
  <c r="E16" i="22"/>
  <c r="G16" i="27"/>
  <c r="G21" i="27" s="1"/>
  <c r="J16" i="27"/>
  <c r="E21" i="27"/>
  <c r="H19" i="27"/>
  <c r="K8" i="32"/>
  <c r="I19" i="27" s="1"/>
  <c r="F30" i="27"/>
  <c r="H16" i="27"/>
  <c r="H21" i="27" s="1"/>
  <c r="F16" i="22"/>
  <c r="G16" i="22"/>
  <c r="I16" i="27"/>
  <c r="I21" i="27" s="1"/>
  <c r="I28" i="27" l="1"/>
  <c r="I30" i="27"/>
  <c r="E30" i="27"/>
  <c r="H28" i="27"/>
  <c r="H30" i="27"/>
  <c r="G30" i="27"/>
  <c r="D26" i="50"/>
  <c r="C3" i="51"/>
  <c r="D30" i="27"/>
  <c r="D50" i="50" s="1"/>
  <c r="D41" i="50"/>
  <c r="D40" i="50"/>
  <c r="C10" i="51" l="1"/>
  <c r="D23" i="27"/>
  <c r="D27" i="27" s="1"/>
  <c r="D28" i="27" s="1"/>
  <c r="C7" i="51"/>
  <c r="D28" i="50"/>
  <c r="F27" i="50" s="1"/>
  <c r="F26" i="50" l="1"/>
  <c r="D34" i="50" s="1"/>
  <c r="D45" i="50" s="1"/>
  <c r="D46" i="50" s="1"/>
  <c r="D48" i="50" s="1"/>
  <c r="E11" i="51"/>
  <c r="E12" i="51"/>
  <c r="E10" i="51"/>
  <c r="G10" i="51"/>
  <c r="C11" i="51" s="1"/>
  <c r="D10" i="51"/>
  <c r="G11" i="51" l="1"/>
  <c r="C12" i="51" s="1"/>
  <c r="D11" i="51"/>
  <c r="F10" i="51"/>
  <c r="E25" i="27"/>
  <c r="F24" i="27"/>
  <c r="E24" i="27"/>
  <c r="E27" i="27" s="1"/>
  <c r="E28" i="27" s="1"/>
  <c r="G24" i="27"/>
  <c r="F11" i="51" l="1"/>
  <c r="F25" i="27"/>
  <c r="F27" i="27" s="1"/>
  <c r="F28" i="27" s="1"/>
  <c r="G12" i="51"/>
  <c r="D12" i="51"/>
  <c r="F12" i="51" l="1"/>
  <c r="G25" i="27"/>
  <c r="G27" i="27" s="1"/>
  <c r="G28" i="27" s="1"/>
  <c r="D51" i="50" s="1"/>
</calcChain>
</file>

<file path=xl/sharedStrings.xml><?xml version="1.0" encoding="utf-8"?>
<sst xmlns="http://schemas.openxmlformats.org/spreadsheetml/2006/main" count="230" uniqueCount="191">
  <si>
    <t>Jornal</t>
  </si>
  <si>
    <t>TOTAL</t>
  </si>
  <si>
    <t>Total</t>
  </si>
  <si>
    <t>AÑO</t>
  </si>
  <si>
    <t>Global</t>
  </si>
  <si>
    <t>Viaje</t>
  </si>
  <si>
    <t>Cantidad</t>
  </si>
  <si>
    <t>Unidad de medida</t>
  </si>
  <si>
    <t>Total S/.</t>
  </si>
  <si>
    <t>Unid</t>
  </si>
  <si>
    <t>Glob</t>
  </si>
  <si>
    <t>PAT</t>
  </si>
  <si>
    <t>Precio Unitario S/.</t>
  </si>
  <si>
    <t>DESCRIPCION</t>
  </si>
  <si>
    <t>COSTO UNITARIO S/.</t>
  </si>
  <si>
    <t>PRODUCTO</t>
  </si>
  <si>
    <t>PRODUCCION</t>
  </si>
  <si>
    <t>Venta (S/)</t>
  </si>
  <si>
    <t>AÑO 1</t>
  </si>
  <si>
    <t>AÑO 2</t>
  </si>
  <si>
    <t>AÑO 3</t>
  </si>
  <si>
    <t>AÑO 4</t>
  </si>
  <si>
    <t>AÑO 5</t>
  </si>
  <si>
    <t>COSTO DE PRODUCCION</t>
  </si>
  <si>
    <t xml:space="preserve">S/ </t>
  </si>
  <si>
    <t xml:space="preserve">AÑO 1 </t>
  </si>
  <si>
    <t>Precio de Mercado</t>
  </si>
  <si>
    <t>Descripcion</t>
  </si>
  <si>
    <t>Medida</t>
  </si>
  <si>
    <t>P.Unit</t>
  </si>
  <si>
    <t>Cant.</t>
  </si>
  <si>
    <t>Meses</t>
  </si>
  <si>
    <t>COSTO DE OPERACIÓN</t>
  </si>
  <si>
    <t>COSTO DE MANTENIMIENTO</t>
  </si>
  <si>
    <t>COSTOS INDIRECTOS</t>
  </si>
  <si>
    <t>Alimentador</t>
  </si>
  <si>
    <t>CANTIDAD POR JAULA</t>
  </si>
  <si>
    <t>Sueldo</t>
  </si>
  <si>
    <t>COSTO TOTAL por JAULA</t>
  </si>
  <si>
    <t>Alevinos</t>
  </si>
  <si>
    <t>Alimento Balanceado</t>
  </si>
  <si>
    <t>kg.</t>
  </si>
  <si>
    <t>Extracción y enjavado</t>
  </si>
  <si>
    <t>Destajo</t>
  </si>
  <si>
    <t>Costo de Transporte</t>
  </si>
  <si>
    <t>Bolsas</t>
  </si>
  <si>
    <t>Paquete</t>
  </si>
  <si>
    <t>Guardián de Lago</t>
  </si>
  <si>
    <t>Jaula</t>
  </si>
  <si>
    <t>S/. X Jaula</t>
  </si>
  <si>
    <t>S/. x Kg.</t>
  </si>
  <si>
    <t>Kg./Jaula</t>
  </si>
  <si>
    <t>Total Kg.</t>
  </si>
  <si>
    <t>TRUCHA</t>
  </si>
  <si>
    <t>PERIODO</t>
  </si>
  <si>
    <t>nº de alevinos/jaula</t>
  </si>
  <si>
    <t>nº de jaulas utilizadas</t>
  </si>
  <si>
    <t>total de produccion añual</t>
  </si>
  <si>
    <t>COSTO DE MANTENIMIENTO POR AÑO</t>
  </si>
  <si>
    <t>Implementos para producción con Alimento Tipo A</t>
  </si>
  <si>
    <t>Reparación del bote</t>
  </si>
  <si>
    <t>Refaccion de Infraestructura de almacen</t>
  </si>
  <si>
    <t>Asistencia Técnica en proceso  de la producción</t>
  </si>
  <si>
    <t>Asistencia técnica en Articulación al Mercado</t>
  </si>
  <si>
    <t>Viaje a Huancayo - Ingenio</t>
  </si>
  <si>
    <t>MANO DE OBRA</t>
  </si>
  <si>
    <t xml:space="preserve">COSTO DE PRODUCCIÓN POR JAULA DE TRUCHAS </t>
  </si>
  <si>
    <t>INSUMOS</t>
  </si>
  <si>
    <t>DESCRIPCIÓN DE ACTIVIDADES</t>
  </si>
  <si>
    <t xml:space="preserve">COSTOS TOTALES DE PRODUCCIÓN CON PROYECTO </t>
  </si>
  <si>
    <t>INGRESOS POR VENTAS</t>
  </si>
  <si>
    <t xml:space="preserve">Asistencia Técnica en Gestión empresarial </t>
  </si>
  <si>
    <t>PRODUCCION TOTAL DE TRUCHAS</t>
  </si>
  <si>
    <t>PROYECCION DE VENTAS EN SOLES</t>
  </si>
  <si>
    <t>ACTIVO</t>
  </si>
  <si>
    <t>VALOR</t>
  </si>
  <si>
    <t>Jaula existente</t>
  </si>
  <si>
    <t>Vida util</t>
  </si>
  <si>
    <t>tasa</t>
  </si>
  <si>
    <t>Jaulas nuevas</t>
  </si>
  <si>
    <t>Equipos para procesar alimentos</t>
  </si>
  <si>
    <t>Bote</t>
  </si>
  <si>
    <t>Depd.2</t>
  </si>
  <si>
    <t>Dep. 4</t>
  </si>
  <si>
    <t>Dep. 5</t>
  </si>
  <si>
    <t>Depd.1</t>
  </si>
  <si>
    <t>Dep. 3</t>
  </si>
  <si>
    <t>Infraestructura</t>
  </si>
  <si>
    <t xml:space="preserve">TOTAL </t>
  </si>
  <si>
    <t>Adquisición de jaulas 5x5x3 m.</t>
  </si>
  <si>
    <t xml:space="preserve">Unidad </t>
  </si>
  <si>
    <t>COSTOS DE PRODUCCION</t>
  </si>
  <si>
    <t>FLUJOS DE CAJA ECONOMICO Y FINANCIERO</t>
  </si>
  <si>
    <t>RUBROS</t>
  </si>
  <si>
    <t>Inversiones</t>
  </si>
  <si>
    <t>Activo Fijo Tangible (-)</t>
  </si>
  <si>
    <t>Activo Fijo Intangible(-)</t>
  </si>
  <si>
    <t>Valor de recupero de  AF tangible</t>
  </si>
  <si>
    <t>Flujo de Inversiones</t>
  </si>
  <si>
    <t>Ingresos en efectivo (+)</t>
  </si>
  <si>
    <t>Costos de produccion</t>
  </si>
  <si>
    <t>Flujo de Caja Económico (FCE)</t>
  </si>
  <si>
    <t>Prestamo</t>
  </si>
  <si>
    <t>Interes</t>
  </si>
  <si>
    <t>Flujo de Financiamiento Neto</t>
  </si>
  <si>
    <t>FLUJO DE CAJA FINANCIERO</t>
  </si>
  <si>
    <t>FLUJO DE AMORTIZACIÒN DE LA DEUDA</t>
  </si>
  <si>
    <t>PRESTAMOS=</t>
  </si>
  <si>
    <t>TASA inf</t>
  </si>
  <si>
    <t>TEA NOMINAL</t>
  </si>
  <si>
    <t>TEA REAL</t>
  </si>
  <si>
    <t>Periodo de pago</t>
  </si>
  <si>
    <t>Deuda inicial</t>
  </si>
  <si>
    <t>Principal</t>
  </si>
  <si>
    <t xml:space="preserve">Cuota </t>
  </si>
  <si>
    <t>Deuda Final</t>
  </si>
  <si>
    <t>cuota principal</t>
  </si>
  <si>
    <t>Rf</t>
  </si>
  <si>
    <t>Rm</t>
  </si>
  <si>
    <t>Rm-Rf</t>
  </si>
  <si>
    <t>Rp</t>
  </si>
  <si>
    <t>Beta Apalancado</t>
  </si>
  <si>
    <t>D/E</t>
  </si>
  <si>
    <t>t</t>
  </si>
  <si>
    <t>Beta Desapalancado</t>
  </si>
  <si>
    <t>Ru</t>
  </si>
  <si>
    <t>Beta Reapalancado</t>
  </si>
  <si>
    <t>Re</t>
  </si>
  <si>
    <t>i). WACC</t>
  </si>
  <si>
    <t>D</t>
  </si>
  <si>
    <t>D/V</t>
  </si>
  <si>
    <t>E</t>
  </si>
  <si>
    <t>E/V</t>
  </si>
  <si>
    <t>V</t>
  </si>
  <si>
    <t>tc = tasa de impuesto corporativo</t>
  </si>
  <si>
    <t>WACC</t>
  </si>
  <si>
    <t>J). VANE Y TIRE</t>
  </si>
  <si>
    <t>Ru(nominal)</t>
  </si>
  <si>
    <t>Inflación</t>
  </si>
  <si>
    <t>Ru(real)</t>
  </si>
  <si>
    <t>VANE</t>
  </si>
  <si>
    <t>TIRE</t>
  </si>
  <si>
    <t>k). VANF Y TIRF</t>
  </si>
  <si>
    <t>COK DESAPALANCADO</t>
  </si>
  <si>
    <t>COK REAPALANCADO</t>
  </si>
  <si>
    <t>Re=costo de capital propio</t>
  </si>
  <si>
    <t>Rd=Costo de deuda</t>
  </si>
  <si>
    <t>GATOS OPERATIVOS</t>
  </si>
  <si>
    <t>IMPUESTOS (rus)</t>
  </si>
  <si>
    <t>ACTIVOS tangibles</t>
  </si>
  <si>
    <t>Activo intangible</t>
  </si>
  <si>
    <t>capital de trabajo</t>
  </si>
  <si>
    <t>Materia prima</t>
  </si>
  <si>
    <t>Cvu</t>
  </si>
  <si>
    <t>venta bruta mensual</t>
  </si>
  <si>
    <t>Valor de recupero de  capital de trabajo</t>
  </si>
  <si>
    <t>Devolución principal</t>
  </si>
  <si>
    <t>punto de equilibrio</t>
  </si>
  <si>
    <t>Ctu</t>
  </si>
  <si>
    <t>Cvu + Cfu</t>
  </si>
  <si>
    <t>Servicios</t>
  </si>
  <si>
    <t>Remuneracion</t>
  </si>
  <si>
    <t xml:space="preserve">    Agua </t>
  </si>
  <si>
    <t xml:space="preserve">    Luz</t>
  </si>
  <si>
    <t>Mantenimiento en General</t>
  </si>
  <si>
    <t>Cfu</t>
  </si>
  <si>
    <t>Qe</t>
  </si>
  <si>
    <t>Cf</t>
  </si>
  <si>
    <t>Pv-Cvu</t>
  </si>
  <si>
    <t>Qe =</t>
  </si>
  <si>
    <t>Kg</t>
  </si>
  <si>
    <t>D*/E*</t>
  </si>
  <si>
    <t>UNID. DE MEDIDA</t>
  </si>
  <si>
    <t>TABLA DE DEPRECIACIONES Y VALOR RESIDUAL</t>
  </si>
  <si>
    <t>periodo</t>
  </si>
  <si>
    <t>FLUJO DE FINANCIAMIENTO NETO</t>
  </si>
  <si>
    <t>Materiales de limpieza</t>
  </si>
  <si>
    <t xml:space="preserve">COSTO DE OPERACIÓN Y MANTENIMIENTO </t>
  </si>
  <si>
    <t>CAPTIAL DE TRABAJO AÑO 4</t>
  </si>
  <si>
    <t>Dismuncion de capital de trabajo</t>
  </si>
  <si>
    <t>CAPITAL DE  TRABAJO AÑO 1</t>
  </si>
  <si>
    <t>FLUJO AJUSTADO</t>
  </si>
  <si>
    <t>FCE+ EFI</t>
  </si>
  <si>
    <t>Escudo Fiscal de Intereses (RUS)</t>
  </si>
  <si>
    <t>WAC nominal</t>
  </si>
  <si>
    <t>WAC real</t>
  </si>
  <si>
    <t>VANF =</t>
  </si>
  <si>
    <t>TIRF =</t>
  </si>
  <si>
    <t>Aporte del PROGRAMA ( Fondo no reembolsable)</t>
  </si>
  <si>
    <t>Capital propio(Préstamo)</t>
  </si>
  <si>
    <t>valor recupero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</si>
</sst>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2" formatCode="&quot;S/.&quot;\ #,##0;[Red]&quot;S/.&quot;\ \-#,##0"/>
    <numFmt numFmtId="176" formatCode="_-* #,##0.00\ _P_t_s_-;\-* #,##0.00\ _P_t_s_-;_-* &quot;-&quot;??\ _P_t_s_-;_-@_-"/>
    <numFmt numFmtId="177" formatCode="_-* #,##0_-;\-* #,##0_-;_-* &quot;-&quot;??_-;_-@_-"/>
    <numFmt numFmtId="178" formatCode="_(* #,##0.0_);_(* \(#,##0.0\);_(* &quot;-&quot;??_);_(@_)"/>
    <numFmt numFmtId="179" formatCode="_(* #,##0_);_(* \(#,##0\);_(* &quot;-&quot;??_);_(@_)"/>
    <numFmt numFmtId="180" formatCode="_-* #,##0\ _P_t_s_-;\-* #,##0\ _P_t_s_-;_-* &quot;-&quot;??\ _P_t_s_-;_-@_-"/>
    <numFmt numFmtId="181" formatCode="0.0%"/>
    <numFmt numFmtId="183" formatCode="0.0000000000000000%"/>
  </numFmts>
  <fonts count="3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name val="Calibri"/>
      <family val="2"/>
    </font>
    <font>
      <sz val="11"/>
      <color indexed="8"/>
      <name val="Arial Narrow"/>
      <family val="2"/>
    </font>
    <font>
      <sz val="11"/>
      <color indexed="60"/>
      <name val="Arial Narrow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sz val="12"/>
      <name val="Arial"/>
      <family val="2"/>
    </font>
    <font>
      <b/>
      <sz val="11"/>
      <color indexed="8"/>
      <name val="Arial Narro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theme="1"/>
      <name val="Tahoma"/>
      <family val="2"/>
    </font>
    <font>
      <sz val="9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12">
    <xf numFmtId="0" fontId="0" fillId="0" borderId="0" xfId="0"/>
    <xf numFmtId="0" fontId="0" fillId="0" borderId="0" xfId="0" applyFill="1" applyBorder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3" fillId="4" borderId="2" xfId="0" applyFont="1" applyFill="1" applyBorder="1"/>
    <xf numFmtId="0" fontId="12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2" fillId="5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22" fillId="0" borderId="0" xfId="0" applyFont="1"/>
    <xf numFmtId="0" fontId="23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17" fillId="0" borderId="0" xfId="0" applyFont="1" applyAlignment="1">
      <alignment horizontal="left"/>
    </xf>
    <xf numFmtId="0" fontId="18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8" fillId="0" borderId="0" xfId="0" applyFont="1"/>
    <xf numFmtId="0" fontId="3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2" fillId="0" borderId="11" xfId="0" applyFont="1" applyBorder="1"/>
    <xf numFmtId="0" fontId="22" fillId="0" borderId="12" xfId="0" applyFont="1" applyBorder="1"/>
    <xf numFmtId="0" fontId="14" fillId="0" borderId="2" xfId="0" applyFont="1" applyBorder="1"/>
    <xf numFmtId="0" fontId="22" fillId="0" borderId="13" xfId="0" applyFont="1" applyBorder="1"/>
    <xf numFmtId="0" fontId="14" fillId="0" borderId="14" xfId="0" applyFont="1" applyBorder="1"/>
    <xf numFmtId="0" fontId="14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/>
    <xf numFmtId="0" fontId="3" fillId="4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22" fillId="0" borderId="2" xfId="0" applyFont="1" applyBorder="1"/>
    <xf numFmtId="2" fontId="12" fillId="5" borderId="0" xfId="0" applyNumberFormat="1" applyFont="1" applyFill="1" applyAlignment="1">
      <alignment vertical="center"/>
    </xf>
    <xf numFmtId="0" fontId="0" fillId="0" borderId="55" xfId="0" applyBorder="1"/>
    <xf numFmtId="0" fontId="4" fillId="0" borderId="55" xfId="0" applyFont="1" applyBorder="1" applyAlignment="1">
      <alignment horizontal="center"/>
    </xf>
    <xf numFmtId="0" fontId="4" fillId="0" borderId="2" xfId="0" applyFont="1" applyFill="1" applyBorder="1"/>
    <xf numFmtId="1" fontId="4" fillId="0" borderId="1" xfId="0" applyNumberFormat="1" applyFont="1" applyFill="1" applyBorder="1" applyAlignment="1">
      <alignment horizontal="center"/>
    </xf>
    <xf numFmtId="0" fontId="22" fillId="0" borderId="1" xfId="0" applyFont="1" applyBorder="1"/>
    <xf numFmtId="177" fontId="4" fillId="0" borderId="1" xfId="0" applyNumberFormat="1" applyFont="1" applyBorder="1"/>
    <xf numFmtId="177" fontId="0" fillId="0" borderId="15" xfId="0" applyNumberFormat="1" applyBorder="1"/>
    <xf numFmtId="177" fontId="24" fillId="0" borderId="10" xfId="0" applyNumberFormat="1" applyFont="1" applyBorder="1" applyAlignment="1">
      <alignment horizontal="right"/>
    </xf>
    <xf numFmtId="177" fontId="24" fillId="0" borderId="16" xfId="0" applyNumberFormat="1" applyFont="1" applyBorder="1" applyAlignment="1">
      <alignment horizontal="right"/>
    </xf>
    <xf numFmtId="177" fontId="25" fillId="4" borderId="6" xfId="0" applyNumberFormat="1" applyFont="1" applyFill="1" applyBorder="1" applyAlignment="1">
      <alignment horizontal="right"/>
    </xf>
    <xf numFmtId="179" fontId="4" fillId="0" borderId="1" xfId="1" applyNumberFormat="1" applyFont="1" applyBorder="1"/>
    <xf numFmtId="177" fontId="4" fillId="0" borderId="17" xfId="1" applyNumberFormat="1" applyFont="1" applyBorder="1" applyAlignment="1">
      <alignment horizontal="center"/>
    </xf>
    <xf numFmtId="178" fontId="4" fillId="0" borderId="17" xfId="1" applyNumberFormat="1" applyFont="1" applyBorder="1" applyAlignment="1"/>
    <xf numFmtId="179" fontId="4" fillId="0" borderId="17" xfId="1" applyNumberFormat="1" applyFont="1" applyBorder="1"/>
    <xf numFmtId="1" fontId="4" fillId="0" borderId="17" xfId="0" applyNumberFormat="1" applyFont="1" applyBorder="1"/>
    <xf numFmtId="177" fontId="4" fillId="0" borderId="18" xfId="1" applyNumberFormat="1" applyFont="1" applyBorder="1" applyAlignment="1">
      <alignment horizontal="center"/>
    </xf>
    <xf numFmtId="1" fontId="4" fillId="0" borderId="18" xfId="0" applyNumberFormat="1" applyFont="1" applyBorder="1"/>
    <xf numFmtId="179" fontId="24" fillId="0" borderId="6" xfId="0" applyNumberFormat="1" applyFont="1" applyBorder="1" applyAlignment="1">
      <alignment horizontal="right"/>
    </xf>
    <xf numFmtId="179" fontId="25" fillId="4" borderId="6" xfId="0" applyNumberFormat="1" applyFon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3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/>
    </xf>
    <xf numFmtId="2" fontId="4" fillId="7" borderId="17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 vertical="center" wrapText="1"/>
    </xf>
    <xf numFmtId="1" fontId="14" fillId="0" borderId="13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4" fillId="0" borderId="13" xfId="0" applyNumberFormat="1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2" fontId="10" fillId="5" borderId="0" xfId="0" applyNumberFormat="1" applyFont="1" applyFill="1" applyAlignment="1">
      <alignment vertical="center"/>
    </xf>
    <xf numFmtId="2" fontId="0" fillId="0" borderId="1" xfId="0" applyNumberFormat="1" applyBorder="1"/>
    <xf numFmtId="1" fontId="0" fillId="0" borderId="1" xfId="0" applyNumberFormat="1" applyBorder="1"/>
    <xf numFmtId="1" fontId="4" fillId="2" borderId="3" xfId="0" applyNumberFormat="1" applyFont="1" applyFill="1" applyBorder="1" applyAlignment="1">
      <alignment vertical="center"/>
    </xf>
    <xf numFmtId="1" fontId="4" fillId="7" borderId="1" xfId="0" applyNumberFormat="1" applyFont="1" applyFill="1" applyBorder="1" applyAlignment="1">
      <alignment vertical="center"/>
    </xf>
    <xf numFmtId="1" fontId="3" fillId="7" borderId="20" xfId="0" applyNumberFormat="1" applyFont="1" applyFill="1" applyBorder="1" applyAlignment="1">
      <alignment horizontal="left" vertical="center" wrapText="1"/>
    </xf>
    <xf numFmtId="1" fontId="3" fillId="7" borderId="13" xfId="0" applyNumberFormat="1" applyFont="1" applyFill="1" applyBorder="1" applyAlignment="1">
      <alignment horizontal="left" vertical="center"/>
    </xf>
    <xf numFmtId="1" fontId="4" fillId="2" borderId="13" xfId="0" applyNumberFormat="1" applyFont="1" applyFill="1" applyBorder="1" applyAlignment="1">
      <alignment horizontal="left" vertical="center"/>
    </xf>
    <xf numFmtId="1" fontId="4" fillId="2" borderId="19" xfId="0" applyNumberFormat="1" applyFont="1" applyFill="1" applyBorder="1" applyAlignment="1">
      <alignment horizontal="left" vertical="center"/>
    </xf>
    <xf numFmtId="1" fontId="4" fillId="5" borderId="20" xfId="0" applyNumberFormat="1" applyFont="1" applyFill="1" applyBorder="1" applyAlignment="1">
      <alignment horizontal="left" vertical="center"/>
    </xf>
    <xf numFmtId="1" fontId="15" fillId="7" borderId="12" xfId="0" applyNumberFormat="1" applyFont="1" applyFill="1" applyBorder="1" applyAlignment="1">
      <alignment horizontal="left" vertical="center"/>
    </xf>
    <xf numFmtId="1" fontId="21" fillId="8" borderId="21" xfId="0" applyNumberFormat="1" applyFont="1" applyFill="1" applyBorder="1"/>
    <xf numFmtId="0" fontId="4" fillId="0" borderId="0" xfId="2"/>
    <xf numFmtId="0" fontId="3" fillId="3" borderId="1" xfId="2" applyFont="1" applyFill="1" applyBorder="1"/>
    <xf numFmtId="0" fontId="4" fillId="0" borderId="1" xfId="2" applyNumberFormat="1" applyFont="1" applyFill="1" applyBorder="1"/>
    <xf numFmtId="3" fontId="4" fillId="0" borderId="1" xfId="2" applyNumberFormat="1" applyFont="1" applyFill="1" applyBorder="1"/>
    <xf numFmtId="0" fontId="3" fillId="0" borderId="22" xfId="2" applyNumberFormat="1" applyFont="1" applyFill="1" applyBorder="1" applyAlignment="1">
      <alignment horizontal="left" shrinkToFit="1"/>
    </xf>
    <xf numFmtId="0" fontId="3" fillId="0" borderId="21" xfId="2" applyNumberFormat="1" applyFont="1" applyFill="1" applyBorder="1" applyAlignment="1">
      <alignment horizontal="center" shrinkToFit="1"/>
    </xf>
    <xf numFmtId="0" fontId="3" fillId="0" borderId="1" xfId="2" applyNumberFormat="1" applyFont="1" applyFill="1" applyBorder="1"/>
    <xf numFmtId="2" fontId="4" fillId="0" borderId="1" xfId="2" applyNumberFormat="1" applyFont="1" applyFill="1" applyBorder="1"/>
    <xf numFmtId="1" fontId="4" fillId="0" borderId="1" xfId="2" applyNumberFormat="1" applyFont="1" applyFill="1" applyBorder="1"/>
    <xf numFmtId="0" fontId="3" fillId="8" borderId="1" xfId="2" applyNumberFormat="1" applyFont="1" applyFill="1" applyBorder="1"/>
    <xf numFmtId="1" fontId="3" fillId="8" borderId="1" xfId="2" applyNumberFormat="1" applyFont="1" applyFill="1" applyBorder="1"/>
    <xf numFmtId="0" fontId="0" fillId="0" borderId="1" xfId="0" applyNumberFormat="1" applyBorder="1"/>
    <xf numFmtId="172" fontId="0" fillId="0" borderId="1" xfId="0" applyNumberFormat="1" applyBorder="1"/>
    <xf numFmtId="0" fontId="3" fillId="0" borderId="3" xfId="2" applyNumberFormat="1" applyFont="1" applyFill="1" applyBorder="1"/>
    <xf numFmtId="1" fontId="21" fillId="0" borderId="3" xfId="0" applyNumberFormat="1" applyFont="1" applyBorder="1"/>
    <xf numFmtId="0" fontId="21" fillId="0" borderId="3" xfId="0" applyFont="1" applyBorder="1"/>
    <xf numFmtId="0" fontId="3" fillId="8" borderId="22" xfId="2" applyNumberFormat="1" applyFont="1" applyFill="1" applyBorder="1"/>
    <xf numFmtId="0" fontId="21" fillId="0" borderId="0" xfId="0" applyFont="1"/>
    <xf numFmtId="9" fontId="0" fillId="0" borderId="0" xfId="0" applyNumberFormat="1"/>
    <xf numFmtId="9" fontId="0" fillId="0" borderId="0" xfId="3" applyFont="1"/>
    <xf numFmtId="172" fontId="0" fillId="0" borderId="0" xfId="0" applyNumberFormat="1"/>
    <xf numFmtId="0" fontId="21" fillId="8" borderId="1" xfId="0" applyFont="1" applyFill="1" applyBorder="1" applyAlignment="1">
      <alignment horizontal="center"/>
    </xf>
    <xf numFmtId="4" fontId="26" fillId="0" borderId="0" xfId="0" applyNumberFormat="1" applyFont="1"/>
    <xf numFmtId="4" fontId="27" fillId="0" borderId="0" xfId="0" applyNumberFormat="1" applyFont="1"/>
    <xf numFmtId="4" fontId="28" fillId="0" borderId="0" xfId="0" applyNumberFormat="1" applyFont="1"/>
    <xf numFmtId="10" fontId="26" fillId="9" borderId="0" xfId="3" applyNumberFormat="1" applyFont="1" applyFill="1"/>
    <xf numFmtId="9" fontId="26" fillId="0" borderId="0" xfId="3" applyFont="1"/>
    <xf numFmtId="4" fontId="26" fillId="9" borderId="0" xfId="0" applyNumberFormat="1" applyFont="1" applyFill="1"/>
    <xf numFmtId="176" fontId="26" fillId="0" borderId="0" xfId="1" applyFont="1"/>
    <xf numFmtId="10" fontId="26" fillId="0" borderId="0" xfId="3" applyNumberFormat="1" applyFont="1"/>
    <xf numFmtId="4" fontId="28" fillId="7" borderId="0" xfId="0" applyNumberFormat="1" applyFont="1" applyFill="1"/>
    <xf numFmtId="4" fontId="26" fillId="7" borderId="0" xfId="0" applyNumberFormat="1" applyFont="1" applyFill="1"/>
    <xf numFmtId="10" fontId="26" fillId="7" borderId="0" xfId="3" applyNumberFormat="1" applyFont="1" applyFill="1"/>
    <xf numFmtId="4" fontId="26" fillId="0" borderId="0" xfId="0" applyNumberFormat="1" applyFont="1" applyAlignment="1">
      <alignment horizontal="center"/>
    </xf>
    <xf numFmtId="10" fontId="28" fillId="7" borderId="0" xfId="3" applyNumberFormat="1" applyFont="1" applyFill="1"/>
    <xf numFmtId="181" fontId="26" fillId="0" borderId="0" xfId="3" applyNumberFormat="1" applyFont="1"/>
    <xf numFmtId="10" fontId="26" fillId="0" borderId="0" xfId="0" applyNumberFormat="1" applyFont="1"/>
    <xf numFmtId="10" fontId="28" fillId="0" borderId="0" xfId="3" applyNumberFormat="1" applyFont="1"/>
    <xf numFmtId="3" fontId="26" fillId="7" borderId="0" xfId="0" applyNumberFormat="1" applyFont="1" applyFill="1"/>
    <xf numFmtId="10" fontId="26" fillId="0" borderId="0" xfId="3" applyNumberFormat="1" applyFont="1" applyFill="1"/>
    <xf numFmtId="0" fontId="4" fillId="0" borderId="1" xfId="2" applyNumberFormat="1" applyFont="1" applyFill="1" applyBorder="1" applyAlignment="1">
      <alignment horizontal="center"/>
    </xf>
    <xf numFmtId="0" fontId="0" fillId="0" borderId="3" xfId="0" applyBorder="1"/>
    <xf numFmtId="0" fontId="3" fillId="0" borderId="22" xfId="0" applyFont="1" applyBorder="1"/>
    <xf numFmtId="0" fontId="3" fillId="0" borderId="21" xfId="0" applyFont="1" applyBorder="1"/>
    <xf numFmtId="1" fontId="3" fillId="0" borderId="21" xfId="0" applyNumberFormat="1" applyFont="1" applyBorder="1"/>
    <xf numFmtId="0" fontId="3" fillId="0" borderId="23" xfId="0" applyFont="1" applyBorder="1"/>
    <xf numFmtId="0" fontId="0" fillId="0" borderId="1" xfId="0" applyBorder="1" applyAlignment="1">
      <alignment horizontal="center"/>
    </xf>
    <xf numFmtId="9" fontId="26" fillId="9" borderId="0" xfId="3" applyFont="1" applyFill="1"/>
    <xf numFmtId="1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2" fontId="0" fillId="0" borderId="0" xfId="0" applyNumberFormat="1"/>
    <xf numFmtId="0" fontId="3" fillId="6" borderId="24" xfId="0" applyFont="1" applyFill="1" applyBorder="1" applyAlignment="1">
      <alignment horizontal="center"/>
    </xf>
    <xf numFmtId="179" fontId="4" fillId="0" borderId="25" xfId="1" applyNumberFormat="1" applyFont="1" applyBorder="1" applyAlignment="1">
      <alignment horizontal="center"/>
    </xf>
    <xf numFmtId="179" fontId="4" fillId="0" borderId="26" xfId="1" applyNumberFormat="1" applyFont="1" applyBorder="1" applyAlignment="1">
      <alignment horizontal="center"/>
    </xf>
    <xf numFmtId="179" fontId="4" fillId="0" borderId="24" xfId="1" applyNumberFormat="1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2" fontId="0" fillId="6" borderId="16" xfId="0" applyNumberFormat="1" applyFill="1" applyBorder="1" applyAlignment="1">
      <alignment horizontal="center"/>
    </xf>
    <xf numFmtId="0" fontId="29" fillId="0" borderId="1" xfId="0" applyFont="1" applyBorder="1" applyAlignment="1"/>
    <xf numFmtId="0" fontId="29" fillId="7" borderId="27" xfId="0" applyFont="1" applyFill="1" applyBorder="1" applyAlignment="1">
      <alignment horizontal="center"/>
    </xf>
    <xf numFmtId="0" fontId="29" fillId="7" borderId="28" xfId="0" applyFont="1" applyFill="1" applyBorder="1" applyAlignment="1">
      <alignment horizontal="center"/>
    </xf>
    <xf numFmtId="0" fontId="29" fillId="7" borderId="29" xfId="0" applyFont="1" applyFill="1" applyBorder="1" applyAlignment="1">
      <alignment horizontal="center"/>
    </xf>
    <xf numFmtId="3" fontId="4" fillId="0" borderId="1" xfId="2" applyNumberFormat="1" applyFont="1" applyFill="1" applyBorder="1" applyAlignment="1">
      <alignment horizontal="center"/>
    </xf>
    <xf numFmtId="1" fontId="3" fillId="0" borderId="21" xfId="2" applyNumberFormat="1" applyFont="1" applyFill="1" applyBorder="1" applyAlignment="1">
      <alignment horizontal="center" shrinkToFit="1"/>
    </xf>
    <xf numFmtId="0" fontId="22" fillId="0" borderId="30" xfId="0" applyFont="1" applyBorder="1"/>
    <xf numFmtId="0" fontId="22" fillId="0" borderId="4" xfId="0" applyFont="1" applyBorder="1"/>
    <xf numFmtId="0" fontId="22" fillId="0" borderId="7" xfId="0" applyFont="1" applyBorder="1"/>
    <xf numFmtId="0" fontId="22" fillId="0" borderId="31" xfId="0" applyFont="1" applyBorder="1"/>
    <xf numFmtId="0" fontId="29" fillId="0" borderId="3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9" fillId="0" borderId="13" xfId="0" applyFont="1" applyBorder="1"/>
    <xf numFmtId="0" fontId="22" fillId="7" borderId="16" xfId="0" applyFont="1" applyFill="1" applyBorder="1"/>
    <xf numFmtId="0" fontId="4" fillId="5" borderId="32" xfId="0" applyFont="1" applyFill="1" applyBorder="1" applyAlignment="1">
      <alignment horizontal="center"/>
    </xf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8" xfId="0" applyFill="1" applyBorder="1"/>
    <xf numFmtId="0" fontId="4" fillId="5" borderId="0" xfId="0" applyFont="1" applyFill="1" applyBorder="1" applyAlignment="1">
      <alignment horizontal="center"/>
    </xf>
    <xf numFmtId="0" fontId="0" fillId="5" borderId="36" xfId="0" applyFill="1" applyBorder="1"/>
    <xf numFmtId="0" fontId="0" fillId="5" borderId="32" xfId="0" applyFill="1" applyBorder="1"/>
    <xf numFmtId="0" fontId="0" fillId="5" borderId="6" xfId="0" applyFill="1" applyBorder="1"/>
    <xf numFmtId="0" fontId="4" fillId="0" borderId="0" xfId="0" applyFont="1" applyFill="1"/>
    <xf numFmtId="0" fontId="0" fillId="0" borderId="0" xfId="0" applyFill="1"/>
    <xf numFmtId="179" fontId="4" fillId="0" borderId="0" xfId="1" applyNumberFormat="1" applyFont="1" applyBorder="1"/>
    <xf numFmtId="0" fontId="4" fillId="0" borderId="0" xfId="0" applyFont="1" applyBorder="1"/>
    <xf numFmtId="0" fontId="3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79" fontId="4" fillId="0" borderId="13" xfId="1" applyNumberFormat="1" applyFont="1" applyBorder="1"/>
    <xf numFmtId="0" fontId="4" fillId="0" borderId="4" xfId="0" applyFont="1" applyBorder="1" applyAlignment="1">
      <alignment horizontal="center"/>
    </xf>
    <xf numFmtId="177" fontId="4" fillId="0" borderId="7" xfId="0" applyNumberFormat="1" applyFont="1" applyBorder="1"/>
    <xf numFmtId="179" fontId="4" fillId="0" borderId="7" xfId="1" applyNumberFormat="1" applyFont="1" applyBorder="1"/>
    <xf numFmtId="179" fontId="4" fillId="0" borderId="12" xfId="1" applyNumberFormat="1" applyFont="1" applyBorder="1"/>
    <xf numFmtId="177" fontId="4" fillId="0" borderId="17" xfId="0" applyNumberFormat="1" applyFont="1" applyBorder="1"/>
    <xf numFmtId="179" fontId="4" fillId="0" borderId="20" xfId="1" applyNumberFormat="1" applyFont="1" applyBorder="1"/>
    <xf numFmtId="0" fontId="3" fillId="6" borderId="12" xfId="0" applyFont="1" applyFill="1" applyBorder="1" applyAlignment="1">
      <alignment horizontal="center"/>
    </xf>
    <xf numFmtId="0" fontId="19" fillId="7" borderId="22" xfId="0" applyFont="1" applyFill="1" applyBorder="1"/>
    <xf numFmtId="0" fontId="19" fillId="7" borderId="23" xfId="0" applyFont="1" applyFill="1" applyBorder="1" applyAlignment="1">
      <alignment horizontal="center"/>
    </xf>
    <xf numFmtId="0" fontId="19" fillId="10" borderId="10" xfId="0" applyFont="1" applyFill="1" applyBorder="1"/>
    <xf numFmtId="1" fontId="19" fillId="10" borderId="37" xfId="0" applyNumberFormat="1" applyFont="1" applyFill="1" applyBorder="1" applyAlignment="1"/>
    <xf numFmtId="1" fontId="19" fillId="10" borderId="16" xfId="0" applyNumberFormat="1" applyFont="1" applyFill="1" applyBorder="1" applyAlignment="1"/>
    <xf numFmtId="4" fontId="26" fillId="0" borderId="0" xfId="0" applyNumberFormat="1" applyFont="1" applyAlignment="1">
      <alignment horizontal="left"/>
    </xf>
    <xf numFmtId="9" fontId="26" fillId="0" borderId="0" xfId="3" applyNumberFormat="1" applyFont="1"/>
    <xf numFmtId="4" fontId="26" fillId="0" borderId="0" xfId="0" applyNumberFormat="1" applyFont="1" applyAlignment="1">
      <alignment vertical="center" wrapText="1"/>
    </xf>
    <xf numFmtId="3" fontId="26" fillId="0" borderId="0" xfId="0" applyNumberFormat="1" applyFont="1" applyAlignment="1"/>
    <xf numFmtId="0" fontId="12" fillId="2" borderId="0" xfId="0" applyFont="1" applyFill="1" applyAlignment="1">
      <alignment horizontal="left" vertical="center"/>
    </xf>
    <xf numFmtId="0" fontId="0" fillId="0" borderId="56" xfId="0" applyBorder="1" applyAlignment="1">
      <alignment horizontal="left"/>
    </xf>
    <xf numFmtId="1" fontId="4" fillId="0" borderId="13" xfId="0" applyNumberFormat="1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 wrapText="1"/>
    </xf>
    <xf numFmtId="0" fontId="6" fillId="0" borderId="57" xfId="0" applyFont="1" applyBorder="1"/>
    <xf numFmtId="0" fontId="30" fillId="11" borderId="2" xfId="0" applyFont="1" applyFill="1" applyBorder="1"/>
    <xf numFmtId="0" fontId="3" fillId="7" borderId="38" xfId="0" applyFont="1" applyFill="1" applyBorder="1" applyAlignment="1">
      <alignment vertical="center"/>
    </xf>
    <xf numFmtId="0" fontId="31" fillId="5" borderId="2" xfId="0" applyFont="1" applyFill="1" applyBorder="1"/>
    <xf numFmtId="0" fontId="31" fillId="11" borderId="9" xfId="0" applyFont="1" applyFill="1" applyBorder="1"/>
    <xf numFmtId="0" fontId="3" fillId="7" borderId="2" xfId="0" applyFont="1" applyFill="1" applyBorder="1" applyAlignment="1">
      <alignment vertical="center"/>
    </xf>
    <xf numFmtId="180" fontId="14" fillId="0" borderId="1" xfId="1" applyNumberFormat="1" applyFont="1" applyBorder="1" applyAlignment="1">
      <alignment horizontal="center"/>
    </xf>
    <xf numFmtId="176" fontId="4" fillId="0" borderId="1" xfId="1" applyFont="1" applyFill="1" applyBorder="1" applyAlignment="1">
      <alignment horizontal="center" vertical="center"/>
    </xf>
    <xf numFmtId="176" fontId="14" fillId="0" borderId="1" xfId="1" applyFont="1" applyBorder="1" applyAlignment="1">
      <alignment horizontal="center" vertical="center"/>
    </xf>
    <xf numFmtId="3" fontId="3" fillId="6" borderId="12" xfId="0" applyNumberFormat="1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/>
    </xf>
    <xf numFmtId="0" fontId="6" fillId="4" borderId="21" xfId="0" applyFont="1" applyFill="1" applyBorder="1"/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12" borderId="17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1" fontId="20" fillId="5" borderId="1" xfId="0" applyNumberFormat="1" applyFont="1" applyFill="1" applyBorder="1" applyAlignment="1">
      <alignment vertical="center"/>
    </xf>
    <xf numFmtId="3" fontId="26" fillId="0" borderId="0" xfId="0" applyNumberFormat="1" applyFont="1"/>
    <xf numFmtId="0" fontId="4" fillId="0" borderId="39" xfId="0" applyFont="1" applyBorder="1" applyAlignment="1">
      <alignment horizontal="center"/>
    </xf>
    <xf numFmtId="0" fontId="3" fillId="12" borderId="17" xfId="0" applyFont="1" applyFill="1" applyBorder="1" applyAlignment="1">
      <alignment horizontal="justify" vertical="center" wrapText="1"/>
    </xf>
    <xf numFmtId="0" fontId="6" fillId="4" borderId="23" xfId="0" applyFont="1" applyFill="1" applyBorder="1" applyAlignment="1">
      <alignment horizontal="justify" vertical="center" wrapText="1"/>
    </xf>
    <xf numFmtId="0" fontId="29" fillId="7" borderId="37" xfId="0" applyFont="1" applyFill="1" applyBorder="1"/>
    <xf numFmtId="0" fontId="29" fillId="7" borderId="40" xfId="0" applyFont="1" applyFill="1" applyBorder="1"/>
    <xf numFmtId="1" fontId="0" fillId="0" borderId="0" xfId="0" applyNumberFormat="1"/>
    <xf numFmtId="0" fontId="4" fillId="0" borderId="3" xfId="2" applyNumberFormat="1" applyFont="1" applyFill="1" applyBorder="1"/>
    <xf numFmtId="1" fontId="0" fillId="0" borderId="3" xfId="0" applyNumberFormat="1" applyBorder="1"/>
    <xf numFmtId="0" fontId="3" fillId="0" borderId="0" xfId="2" applyNumberFormat="1" applyFont="1" applyFill="1" applyBorder="1"/>
    <xf numFmtId="0" fontId="3" fillId="9" borderId="22" xfId="2" applyNumberFormat="1" applyFont="1" applyFill="1" applyBorder="1"/>
    <xf numFmtId="1" fontId="3" fillId="9" borderId="21" xfId="0" applyNumberFormat="1" applyFont="1" applyFill="1" applyBorder="1"/>
    <xf numFmtId="1" fontId="3" fillId="9" borderId="23" xfId="0" applyNumberFormat="1" applyFont="1" applyFill="1" applyBorder="1"/>
    <xf numFmtId="9" fontId="26" fillId="0" borderId="0" xfId="3" applyFont="1" applyAlignment="1">
      <alignment vertical="center" wrapText="1"/>
    </xf>
    <xf numFmtId="9" fontId="26" fillId="7" borderId="0" xfId="3" applyFont="1" applyFill="1"/>
    <xf numFmtId="179" fontId="4" fillId="0" borderId="41" xfId="0" applyNumberFormat="1" applyFont="1" applyBorder="1" applyAlignment="1">
      <alignment horizontal="center"/>
    </xf>
    <xf numFmtId="183" fontId="26" fillId="7" borderId="0" xfId="3" applyNumberFormat="1" applyFont="1" applyFill="1"/>
    <xf numFmtId="0" fontId="9" fillId="5" borderId="0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/>
    </xf>
    <xf numFmtId="0" fontId="15" fillId="7" borderId="43" xfId="0" applyFont="1" applyFill="1" applyBorder="1" applyAlignment="1">
      <alignment horizontal="center" vertical="center"/>
    </xf>
    <xf numFmtId="0" fontId="15" fillId="7" borderId="44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33" fillId="6" borderId="1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33" fillId="6" borderId="31" xfId="0" applyFont="1" applyFill="1" applyBorder="1" applyAlignment="1">
      <alignment horizontal="center" vertical="center" wrapText="1"/>
    </xf>
    <xf numFmtId="0" fontId="33" fillId="6" borderId="2" xfId="0" applyFont="1" applyFill="1" applyBorder="1" applyAlignment="1">
      <alignment horizontal="center" vertical="center" wrapText="1"/>
    </xf>
    <xf numFmtId="0" fontId="32" fillId="6" borderId="30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3" fillId="6" borderId="30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16" fillId="6" borderId="37" xfId="0" applyFont="1" applyFill="1" applyBorder="1" applyAlignment="1">
      <alignment horizontal="center"/>
    </xf>
    <xf numFmtId="0" fontId="16" fillId="6" borderId="15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/>
    </xf>
    <xf numFmtId="0" fontId="3" fillId="6" borderId="3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6" borderId="37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2" fillId="7" borderId="47" xfId="0" applyFont="1" applyFill="1" applyBorder="1" applyAlignment="1">
      <alignment horizontal="center"/>
    </xf>
    <xf numFmtId="0" fontId="22" fillId="7" borderId="1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2" fillId="7" borderId="37" xfId="0" applyFont="1" applyFill="1" applyBorder="1" applyAlignment="1">
      <alignment horizontal="center" wrapText="1"/>
    </xf>
    <xf numFmtId="0" fontId="22" fillId="7" borderId="16" xfId="0" applyFont="1" applyFill="1" applyBorder="1" applyAlignment="1">
      <alignment horizontal="center" wrapText="1"/>
    </xf>
    <xf numFmtId="2" fontId="19" fillId="0" borderId="37" xfId="0" applyNumberFormat="1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3" fillId="6" borderId="48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3" fillId="6" borderId="4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/>
    </xf>
    <xf numFmtId="0" fontId="3" fillId="6" borderId="51" xfId="0" applyFont="1" applyFill="1" applyBorder="1" applyAlignment="1">
      <alignment horizontal="center"/>
    </xf>
    <xf numFmtId="0" fontId="3" fillId="6" borderId="52" xfId="0" applyFont="1" applyFill="1" applyBorder="1" applyAlignment="1">
      <alignment horizontal="center"/>
    </xf>
    <xf numFmtId="0" fontId="3" fillId="6" borderId="53" xfId="0" applyFont="1" applyFill="1" applyBorder="1" applyAlignment="1">
      <alignment horizontal="center"/>
    </xf>
    <xf numFmtId="0" fontId="3" fillId="6" borderId="5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3" fillId="0" borderId="37" xfId="2" applyFont="1" applyBorder="1" applyAlignment="1">
      <alignment horizontal="center"/>
    </xf>
    <xf numFmtId="0" fontId="3" fillId="0" borderId="15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left"/>
    </xf>
    <xf numFmtId="0" fontId="4" fillId="5" borderId="3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</cellXfs>
  <cellStyles count="4">
    <cellStyle name="Millares" xfId="1" builtinId="3"/>
    <cellStyle name="Normal" xfId="0" builtinId="0"/>
    <cellStyle name="Normal 2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battou\Escritorio\FLUJO%20DE%20CAJA%20-%20QUINUA%20punto%20ewq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NIP%20PLAN%20PAPA\OBS%20MOTOYCCOCHA%20PAPA%207%20septiembre\Nueva%20carpeta\Nueva%20carpeta\Copia%20de%207.%20analisis%20de%20beneficio%20costo%20lu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 de cja"/>
      <sheetName val="Ofer.Dem"/>
      <sheetName val="Est.Resultados"/>
      <sheetName val="Prog. Produccion"/>
      <sheetName val="Pres. y costos"/>
      <sheetName val="Depreciacion"/>
      <sheetName val="Amortizacion"/>
      <sheetName val="Gráfico5"/>
      <sheetName val="P.equilibrio"/>
      <sheetName val="M.Obra"/>
      <sheetName val="Eval.Eco"/>
      <sheetName val="Eval.Fin"/>
      <sheetName val="Inversiones"/>
      <sheetName val="Sensibilidad"/>
      <sheetName val="Resumen de escenario"/>
    </sheetNames>
    <sheetDataSet>
      <sheetData sheetId="0">
        <row r="63">
          <cell r="B63">
            <v>2.5</v>
          </cell>
        </row>
        <row r="70">
          <cell r="B70">
            <v>18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Hoja4"/>
    </sheetNames>
    <sheetDataSet>
      <sheetData sheetId="0">
        <row r="12">
          <cell r="E12">
            <v>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H121"/>
  <sheetViews>
    <sheetView zoomScale="120" zoomScaleNormal="120" workbookViewId="0">
      <selection activeCell="C22" sqref="C22"/>
    </sheetView>
  </sheetViews>
  <sheetFormatPr baseColWidth="10" defaultColWidth="9.140625" defaultRowHeight="16.5" x14ac:dyDescent="0.2"/>
  <cols>
    <col min="1" max="1" width="4.140625" style="6" customWidth="1"/>
    <col min="2" max="2" width="47.85546875" style="6" customWidth="1"/>
    <col min="3" max="3" width="9" style="6" customWidth="1"/>
    <col min="4" max="4" width="9.140625" style="6" customWidth="1"/>
    <col min="5" max="5" width="9" style="6" customWidth="1"/>
    <col min="6" max="6" width="10" style="6" customWidth="1"/>
    <col min="7" max="7" width="7.7109375" style="6" customWidth="1"/>
    <col min="8" max="16384" width="9.140625" style="6"/>
  </cols>
  <sheetData>
    <row r="2" spans="2:7" ht="16.5" customHeight="1" x14ac:dyDescent="0.2">
      <c r="B2" s="246"/>
      <c r="C2" s="246"/>
      <c r="D2" s="246"/>
      <c r="E2" s="246"/>
      <c r="F2" s="246"/>
    </row>
    <row r="3" spans="2:7" ht="4.5" customHeight="1" thickBot="1" x14ac:dyDescent="0.25"/>
    <row r="4" spans="2:7" ht="16.5" customHeight="1" x14ac:dyDescent="0.2">
      <c r="B4" s="252" t="s">
        <v>68</v>
      </c>
      <c r="C4" s="254" t="s">
        <v>7</v>
      </c>
      <c r="D4" s="254" t="s">
        <v>6</v>
      </c>
      <c r="E4" s="254" t="s">
        <v>12</v>
      </c>
      <c r="F4" s="250" t="s">
        <v>8</v>
      </c>
    </row>
    <row r="5" spans="2:7" ht="27" customHeight="1" thickBot="1" x14ac:dyDescent="0.25">
      <c r="B5" s="253"/>
      <c r="C5" s="255"/>
      <c r="D5" s="255"/>
      <c r="E5" s="255"/>
      <c r="F5" s="251"/>
    </row>
    <row r="6" spans="2:7" ht="12.95" customHeight="1" x14ac:dyDescent="0.2">
      <c r="B6" s="204" t="s">
        <v>149</v>
      </c>
      <c r="C6" s="72"/>
      <c r="D6" s="72"/>
      <c r="E6" s="72"/>
      <c r="F6" s="88">
        <f>SUM(F7:F10)</f>
        <v>21500</v>
      </c>
    </row>
    <row r="7" spans="2:7" s="7" customFormat="1" ht="12.95" customHeight="1" x14ac:dyDescent="0.2">
      <c r="B7" s="205" t="s">
        <v>89</v>
      </c>
      <c r="C7" s="53" t="s">
        <v>90</v>
      </c>
      <c r="D7" s="145">
        <f>+[2]Hoja1!E12</f>
        <v>4</v>
      </c>
      <c r="E7" s="52">
        <v>2500</v>
      </c>
      <c r="F7" s="202">
        <f>+E7*D7</f>
        <v>10000</v>
      </c>
    </row>
    <row r="8" spans="2:7" s="8" customFormat="1" ht="12.95" customHeight="1" x14ac:dyDescent="0.2">
      <c r="B8" s="205" t="s">
        <v>59</v>
      </c>
      <c r="C8" s="53" t="s">
        <v>4</v>
      </c>
      <c r="D8" s="145">
        <v>1</v>
      </c>
      <c r="E8" s="52">
        <v>9000</v>
      </c>
      <c r="F8" s="202">
        <f>+E8*D8</f>
        <v>9000</v>
      </c>
      <c r="G8" s="83"/>
    </row>
    <row r="9" spans="2:7" s="8" customFormat="1" ht="12.95" customHeight="1" x14ac:dyDescent="0.25">
      <c r="B9" s="206" t="s">
        <v>60</v>
      </c>
      <c r="C9" s="53" t="s">
        <v>4</v>
      </c>
      <c r="D9" s="144">
        <v>1</v>
      </c>
      <c r="E9" s="12">
        <v>500</v>
      </c>
      <c r="F9" s="202">
        <f>+E9*D9</f>
        <v>500</v>
      </c>
      <c r="G9" s="14"/>
    </row>
    <row r="10" spans="2:7" ht="12.95" customHeight="1" x14ac:dyDescent="0.25">
      <c r="B10" s="206" t="s">
        <v>61</v>
      </c>
      <c r="C10" s="10" t="s">
        <v>4</v>
      </c>
      <c r="D10" s="144">
        <v>1</v>
      </c>
      <c r="E10" s="12">
        <v>2000</v>
      </c>
      <c r="F10" s="202">
        <f>+E10*D10</f>
        <v>2000</v>
      </c>
      <c r="G10" s="14"/>
    </row>
    <row r="11" spans="2:7" ht="12.95" customHeight="1" x14ac:dyDescent="0.25">
      <c r="B11" s="207" t="s">
        <v>150</v>
      </c>
      <c r="C11" s="73"/>
      <c r="D11" s="146"/>
      <c r="E11" s="74"/>
      <c r="F11" s="89">
        <f>+SUM(F12:F15)</f>
        <v>7500</v>
      </c>
      <c r="G11" s="14"/>
    </row>
    <row r="12" spans="2:7" ht="12.95" customHeight="1" x14ac:dyDescent="0.25">
      <c r="B12" s="208" t="s">
        <v>62</v>
      </c>
      <c r="C12" s="10" t="s">
        <v>11</v>
      </c>
      <c r="D12" s="10">
        <v>1</v>
      </c>
      <c r="E12" s="12">
        <v>4000</v>
      </c>
      <c r="F12" s="90">
        <f>E12*D12</f>
        <v>4000</v>
      </c>
      <c r="G12" s="14"/>
    </row>
    <row r="13" spans="2:7" s="9" customFormat="1" ht="12.75" customHeight="1" x14ac:dyDescent="0.25">
      <c r="B13" s="208" t="s">
        <v>71</v>
      </c>
      <c r="C13" s="10" t="s">
        <v>11</v>
      </c>
      <c r="D13" s="10">
        <v>1</v>
      </c>
      <c r="E13" s="12">
        <v>1000</v>
      </c>
      <c r="F13" s="90">
        <f>E13*D13</f>
        <v>1000</v>
      </c>
      <c r="G13" s="14"/>
    </row>
    <row r="14" spans="2:7" s="9" customFormat="1" ht="12.75" customHeight="1" x14ac:dyDescent="0.25">
      <c r="B14" s="208" t="s">
        <v>63</v>
      </c>
      <c r="C14" s="13" t="s">
        <v>11</v>
      </c>
      <c r="D14" s="13">
        <v>1</v>
      </c>
      <c r="E14" s="86">
        <v>1500</v>
      </c>
      <c r="F14" s="91">
        <f>E14*D14</f>
        <v>1500</v>
      </c>
      <c r="G14" s="14"/>
    </row>
    <row r="15" spans="2:7" s="9" customFormat="1" ht="12.75" customHeight="1" x14ac:dyDescent="0.25">
      <c r="B15" s="209" t="s">
        <v>64</v>
      </c>
      <c r="C15" s="10" t="s">
        <v>5</v>
      </c>
      <c r="D15" s="10">
        <v>1</v>
      </c>
      <c r="E15" s="12">
        <v>1000</v>
      </c>
      <c r="F15" s="92">
        <f>E15*D15</f>
        <v>1000</v>
      </c>
      <c r="G15" s="14"/>
    </row>
    <row r="16" spans="2:7" s="9" customFormat="1" ht="12.75" customHeight="1" x14ac:dyDescent="0.25">
      <c r="B16" s="210" t="s">
        <v>151</v>
      </c>
      <c r="C16" s="73"/>
      <c r="D16" s="146"/>
      <c r="E16" s="87"/>
      <c r="F16" s="89">
        <f>SUM(F17:F17)</f>
        <v>9822.5</v>
      </c>
      <c r="G16" s="14"/>
    </row>
    <row r="17" spans="2:8" s="9" customFormat="1" ht="12.75" customHeight="1" x14ac:dyDescent="0.25">
      <c r="B17" s="208" t="s">
        <v>152</v>
      </c>
      <c r="C17" s="11" t="s">
        <v>48</v>
      </c>
      <c r="D17" s="144">
        <v>5</v>
      </c>
      <c r="E17" s="143">
        <f>'COST PROD TRUCHA'!F17</f>
        <v>1964.5</v>
      </c>
      <c r="F17" s="203">
        <f>E17*D17</f>
        <v>9822.5</v>
      </c>
      <c r="G17" s="14"/>
    </row>
    <row r="18" spans="2:8" ht="12.75" customHeight="1" thickBot="1" x14ac:dyDescent="0.25">
      <c r="B18" s="247"/>
      <c r="C18" s="248"/>
      <c r="D18" s="248"/>
      <c r="E18" s="249"/>
      <c r="F18" s="93">
        <f>F16+F11+F6</f>
        <v>38822.5</v>
      </c>
    </row>
    <row r="19" spans="2:8" ht="12.75" customHeight="1" x14ac:dyDescent="0.2"/>
    <row r="20" spans="2:8" ht="12.75" customHeight="1" x14ac:dyDescent="0.2">
      <c r="B20" s="201"/>
      <c r="D20" s="51"/>
      <c r="F20" s="51"/>
      <c r="H20" s="6">
        <f>30/70</f>
        <v>0.42857142857142855</v>
      </c>
    </row>
    <row r="21" spans="2:8" ht="12.95" customHeight="1" x14ac:dyDescent="0.2">
      <c r="B21" s="227" t="s">
        <v>188</v>
      </c>
      <c r="C21" s="228">
        <f>0.7*F18</f>
        <v>27175.75</v>
      </c>
      <c r="D21" s="51"/>
    </row>
    <row r="22" spans="2:8" ht="12.95" customHeight="1" x14ac:dyDescent="0.2">
      <c r="B22" s="227" t="s">
        <v>189</v>
      </c>
      <c r="C22" s="228">
        <f>F18*0.3</f>
        <v>11646.75</v>
      </c>
    </row>
    <row r="23" spans="2:8" ht="12.75" customHeight="1" x14ac:dyDescent="0.2"/>
    <row r="24" spans="2:8" ht="12.75" customHeight="1" x14ac:dyDescent="0.2"/>
    <row r="25" spans="2:8" ht="12" customHeight="1" x14ac:dyDescent="0.2"/>
    <row r="26" spans="2:8" ht="12" customHeight="1" x14ac:dyDescent="0.2"/>
    <row r="27" spans="2:8" ht="12" customHeight="1" x14ac:dyDescent="0.2"/>
    <row r="28" spans="2:8" ht="12" customHeight="1" x14ac:dyDescent="0.2"/>
    <row r="29" spans="2:8" ht="12" customHeight="1" x14ac:dyDescent="0.2"/>
    <row r="30" spans="2:8" ht="12" customHeight="1" x14ac:dyDescent="0.2"/>
    <row r="31" spans="2:8" ht="12" customHeight="1" x14ac:dyDescent="0.2"/>
    <row r="32" spans="2:8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</sheetData>
  <mergeCells count="7">
    <mergeCell ref="B2:F2"/>
    <mergeCell ref="B18:E18"/>
    <mergeCell ref="F4:F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K11"/>
  <sheetViews>
    <sheetView workbookViewId="0">
      <selection activeCell="B3" sqref="B3"/>
    </sheetView>
  </sheetViews>
  <sheetFormatPr baseColWidth="10" defaultColWidth="9.140625" defaultRowHeight="12.75" x14ac:dyDescent="0.2"/>
  <cols>
    <col min="1" max="1" width="9.140625" customWidth="1"/>
    <col min="2" max="2" width="29.5703125" customWidth="1"/>
    <col min="3" max="5" width="9.140625" customWidth="1"/>
    <col min="11" max="11" width="10.140625" customWidth="1"/>
  </cols>
  <sheetData>
    <row r="1" spans="2:11" ht="13.5" thickBot="1" x14ac:dyDescent="0.25"/>
    <row r="2" spans="2:11" ht="13.5" thickBot="1" x14ac:dyDescent="0.25">
      <c r="B2" s="256" t="s">
        <v>173</v>
      </c>
      <c r="C2" s="257"/>
      <c r="D2" s="257"/>
      <c r="E2" s="257"/>
      <c r="F2" s="257"/>
      <c r="G2" s="257"/>
      <c r="H2" s="257"/>
      <c r="I2" s="257"/>
      <c r="J2" s="257"/>
      <c r="K2" s="258"/>
    </row>
    <row r="3" spans="2:11" ht="27.75" customHeight="1" x14ac:dyDescent="0.2">
      <c r="B3" s="226" t="s">
        <v>74</v>
      </c>
      <c r="C3" s="226" t="s">
        <v>75</v>
      </c>
      <c r="D3" s="226" t="s">
        <v>77</v>
      </c>
      <c r="E3" s="226" t="s">
        <v>78</v>
      </c>
      <c r="F3" s="226" t="s">
        <v>85</v>
      </c>
      <c r="G3" s="226" t="s">
        <v>82</v>
      </c>
      <c r="H3" s="226" t="s">
        <v>86</v>
      </c>
      <c r="I3" s="226" t="s">
        <v>83</v>
      </c>
      <c r="J3" s="226" t="s">
        <v>84</v>
      </c>
      <c r="K3" s="231" t="s">
        <v>190</v>
      </c>
    </row>
    <row r="4" spans="2:11" x14ac:dyDescent="0.2">
      <c r="B4" s="4" t="s">
        <v>76</v>
      </c>
      <c r="C4" s="4">
        <v>2500</v>
      </c>
      <c r="D4" s="4">
        <v>5</v>
      </c>
      <c r="E4" s="4">
        <f t="shared" ref="E4:E10" si="0">1/D4</f>
        <v>0.2</v>
      </c>
      <c r="F4" s="4">
        <f>C4*E4</f>
        <v>500</v>
      </c>
      <c r="G4" s="4">
        <f>C4*E4</f>
        <v>500</v>
      </c>
      <c r="H4" s="4">
        <f>C4*E4</f>
        <v>500</v>
      </c>
      <c r="I4" s="4"/>
      <c r="J4" s="4"/>
      <c r="K4" s="4">
        <v>0</v>
      </c>
    </row>
    <row r="5" spans="2:11" x14ac:dyDescent="0.2">
      <c r="B5" s="4" t="s">
        <v>79</v>
      </c>
      <c r="C5" s="4">
        <f>INVERSION!F7</f>
        <v>10000</v>
      </c>
      <c r="D5" s="4">
        <v>5</v>
      </c>
      <c r="E5" s="4">
        <f t="shared" si="0"/>
        <v>0.2</v>
      </c>
      <c r="F5" s="4">
        <f>$C$5*$E$5</f>
        <v>2000</v>
      </c>
      <c r="G5" s="4">
        <f>$C$5*$E$5</f>
        <v>2000</v>
      </c>
      <c r="H5" s="4">
        <f>$C$5*$E$5</f>
        <v>2000</v>
      </c>
      <c r="I5" s="4">
        <f>$C$5*$E$5</f>
        <v>2000</v>
      </c>
      <c r="J5" s="4">
        <f>$C$5*$E$5</f>
        <v>2000</v>
      </c>
      <c r="K5" s="4">
        <v>0</v>
      </c>
    </row>
    <row r="6" spans="2:11" x14ac:dyDescent="0.2">
      <c r="B6" s="4" t="s">
        <v>80</v>
      </c>
      <c r="C6" s="4">
        <f>INVERSION!F8</f>
        <v>9000</v>
      </c>
      <c r="D6" s="4">
        <v>5</v>
      </c>
      <c r="E6" s="4">
        <f t="shared" si="0"/>
        <v>0.2</v>
      </c>
      <c r="F6" s="4">
        <f>$E$6*$C$6</f>
        <v>1800</v>
      </c>
      <c r="G6" s="4">
        <f>$E$6*$C$6</f>
        <v>1800</v>
      </c>
      <c r="H6" s="4">
        <f>$E$6*$C$6</f>
        <v>1800</v>
      </c>
      <c r="I6" s="4">
        <f>$E$6*$C$6</f>
        <v>1800</v>
      </c>
      <c r="J6" s="4">
        <f>$E$6*$C$6</f>
        <v>1800</v>
      </c>
      <c r="K6" s="4">
        <f>C6-5*J6</f>
        <v>0</v>
      </c>
    </row>
    <row r="7" spans="2:11" x14ac:dyDescent="0.2">
      <c r="B7" s="4" t="s">
        <v>81</v>
      </c>
      <c r="C7" s="4">
        <v>2500</v>
      </c>
      <c r="D7" s="4">
        <v>7</v>
      </c>
      <c r="E7" s="84">
        <f t="shared" si="0"/>
        <v>0.14285714285714285</v>
      </c>
      <c r="F7" s="85">
        <f>$C$7*$E$7</f>
        <v>357.14285714285711</v>
      </c>
      <c r="G7" s="85">
        <f>$C$7*$E$7</f>
        <v>357.14285714285711</v>
      </c>
      <c r="H7" s="85">
        <f>$C$7*$E$7</f>
        <v>357.14285714285711</v>
      </c>
      <c r="I7" s="85">
        <f>$C$7*$E$7</f>
        <v>357.14285714285711</v>
      </c>
      <c r="J7" s="85">
        <f>$C$7*$E$7</f>
        <v>357.14285714285711</v>
      </c>
      <c r="K7" s="85">
        <v>0</v>
      </c>
    </row>
    <row r="8" spans="2:11" x14ac:dyDescent="0.2">
      <c r="B8" s="4" t="str">
        <f>INVERSION!B9</f>
        <v>Reparación del bote</v>
      </c>
      <c r="C8" s="4">
        <v>500</v>
      </c>
      <c r="D8" s="4">
        <v>5</v>
      </c>
      <c r="E8" s="4">
        <f t="shared" si="0"/>
        <v>0.2</v>
      </c>
      <c r="F8" s="4">
        <f>$C$8*$E$8</f>
        <v>100</v>
      </c>
      <c r="G8" s="4">
        <f>$C$8*$E$8</f>
        <v>100</v>
      </c>
      <c r="H8" s="4">
        <f>$C$8*$E$8</f>
        <v>100</v>
      </c>
      <c r="I8" s="4">
        <f>$C$8*$E$8</f>
        <v>100</v>
      </c>
      <c r="J8" s="4">
        <f>$C$8*$E$8</f>
        <v>100</v>
      </c>
      <c r="K8" s="4">
        <v>0</v>
      </c>
    </row>
    <row r="9" spans="2:11" x14ac:dyDescent="0.2">
      <c r="B9" s="4" t="s">
        <v>87</v>
      </c>
      <c r="C9" s="4">
        <v>10000</v>
      </c>
      <c r="D9" s="4">
        <v>10</v>
      </c>
      <c r="E9" s="4">
        <f t="shared" si="0"/>
        <v>0.1</v>
      </c>
      <c r="F9" s="4">
        <f>$C$9*$E$9</f>
        <v>1000</v>
      </c>
      <c r="G9" s="4">
        <f>$C$9*$E$9</f>
        <v>1000</v>
      </c>
      <c r="H9" s="4">
        <f>$C$9*$E$9</f>
        <v>1000</v>
      </c>
      <c r="I9" s="4">
        <f>$C$9*$E$9</f>
        <v>1000</v>
      </c>
      <c r="J9" s="4">
        <f>$C$9*$E$9</f>
        <v>1000</v>
      </c>
      <c r="K9" s="4">
        <f>C9-F9*7</f>
        <v>3000</v>
      </c>
    </row>
    <row r="10" spans="2:11" ht="13.5" thickBot="1" x14ac:dyDescent="0.25">
      <c r="B10" s="136" t="str">
        <f>INVERSION!B10</f>
        <v>Refaccion de Infraestructura de almacen</v>
      </c>
      <c r="C10" s="136">
        <v>2000</v>
      </c>
      <c r="D10" s="136">
        <v>8</v>
      </c>
      <c r="E10" s="136">
        <f t="shared" si="0"/>
        <v>0.125</v>
      </c>
      <c r="F10" s="136">
        <f>$C$10*$E$10</f>
        <v>250</v>
      </c>
      <c r="G10" s="136">
        <f>$C$10*$E$10</f>
        <v>250</v>
      </c>
      <c r="H10" s="136">
        <f>$C$10*$E$10</f>
        <v>250</v>
      </c>
      <c r="I10" s="136">
        <f>$C$10*$E$10</f>
        <v>250</v>
      </c>
      <c r="J10" s="136">
        <f>$C$10*$E$10</f>
        <v>250</v>
      </c>
      <c r="K10" s="136">
        <f>C10-5*F10</f>
        <v>750</v>
      </c>
    </row>
    <row r="11" spans="2:11" ht="13.5" thickBot="1" x14ac:dyDescent="0.25">
      <c r="B11" s="137" t="s">
        <v>88</v>
      </c>
      <c r="C11" s="138"/>
      <c r="D11" s="138"/>
      <c r="E11" s="138"/>
      <c r="F11" s="139">
        <f t="shared" ref="F11:K11" si="1">SUM(F4:F10)</f>
        <v>6007.1428571428569</v>
      </c>
      <c r="G11" s="139">
        <f t="shared" si="1"/>
        <v>6007.1428571428569</v>
      </c>
      <c r="H11" s="139">
        <f t="shared" si="1"/>
        <v>6007.1428571428569</v>
      </c>
      <c r="I11" s="139">
        <f t="shared" si="1"/>
        <v>5507.1428571428569</v>
      </c>
      <c r="J11" s="139">
        <f t="shared" si="1"/>
        <v>5507.1428571428569</v>
      </c>
      <c r="K11" s="140">
        <f t="shared" si="1"/>
        <v>3750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I32"/>
  <sheetViews>
    <sheetView topLeftCell="A7" zoomScaleNormal="100" workbookViewId="0">
      <selection activeCell="F22" sqref="F22"/>
    </sheetView>
  </sheetViews>
  <sheetFormatPr baseColWidth="10" defaultColWidth="9.140625" defaultRowHeight="12.75" x14ac:dyDescent="0.2"/>
  <cols>
    <col min="1" max="1" width="5.7109375" customWidth="1"/>
    <col min="2" max="2" width="22.5703125" customWidth="1"/>
    <col min="3" max="3" width="10.42578125" customWidth="1"/>
    <col min="4" max="4" width="9.42578125" customWidth="1"/>
    <col min="5" max="5" width="12.5703125" customWidth="1"/>
    <col min="6" max="6" width="11.28515625" customWidth="1"/>
    <col min="7" max="7" width="5.28515625" customWidth="1"/>
    <col min="8" max="9" width="6.7109375" customWidth="1"/>
    <col min="10" max="10" width="15.140625" customWidth="1"/>
    <col min="11" max="11" width="13.28515625" customWidth="1"/>
    <col min="12" max="12" width="13" customWidth="1"/>
  </cols>
  <sheetData>
    <row r="3" spans="2:9" ht="13.5" thickBot="1" x14ac:dyDescent="0.25"/>
    <row r="4" spans="2:9" ht="15.75" thickBot="1" x14ac:dyDescent="0.3">
      <c r="B4" s="271" t="s">
        <v>66</v>
      </c>
      <c r="C4" s="272"/>
      <c r="D4" s="272"/>
      <c r="E4" s="272"/>
      <c r="F4" s="273"/>
      <c r="G4" s="15"/>
      <c r="H4" s="15"/>
      <c r="I4" s="15"/>
    </row>
    <row r="5" spans="2:9" ht="16.5" customHeight="1" x14ac:dyDescent="0.2">
      <c r="B5" s="265" t="s">
        <v>13</v>
      </c>
      <c r="C5" s="267" t="s">
        <v>36</v>
      </c>
      <c r="D5" s="269" t="s">
        <v>172</v>
      </c>
      <c r="E5" s="269" t="s">
        <v>14</v>
      </c>
      <c r="F5" s="261" t="s">
        <v>38</v>
      </c>
    </row>
    <row r="6" spans="2:9" ht="20.25" customHeight="1" x14ac:dyDescent="0.2">
      <c r="B6" s="266"/>
      <c r="C6" s="268"/>
      <c r="D6" s="270"/>
      <c r="E6" s="270"/>
      <c r="F6" s="262"/>
    </row>
    <row r="7" spans="2:9" x14ac:dyDescent="0.2">
      <c r="B7" s="5" t="s">
        <v>65</v>
      </c>
      <c r="C7" s="43"/>
      <c r="D7" s="43"/>
      <c r="E7" s="44"/>
      <c r="F7" s="76">
        <f>SUM(F8:F9)</f>
        <v>125</v>
      </c>
    </row>
    <row r="8" spans="2:9" x14ac:dyDescent="0.2">
      <c r="B8" s="39" t="s">
        <v>35</v>
      </c>
      <c r="C8" s="19">
        <v>1</v>
      </c>
      <c r="D8" s="19" t="s">
        <v>37</v>
      </c>
      <c r="E8" s="211">
        <v>105</v>
      </c>
      <c r="F8" s="77">
        <f>+E8*C8</f>
        <v>105</v>
      </c>
    </row>
    <row r="9" spans="2:9" x14ac:dyDescent="0.2">
      <c r="B9" s="39" t="s">
        <v>42</v>
      </c>
      <c r="C9" s="19">
        <v>4</v>
      </c>
      <c r="D9" s="19" t="s">
        <v>43</v>
      </c>
      <c r="E9" s="211">
        <v>5</v>
      </c>
      <c r="F9" s="77">
        <f>+E9*C9</f>
        <v>20</v>
      </c>
    </row>
    <row r="10" spans="2:9" x14ac:dyDescent="0.2">
      <c r="B10" s="5" t="s">
        <v>67</v>
      </c>
      <c r="C10" s="75"/>
      <c r="D10" s="75"/>
      <c r="E10" s="75"/>
      <c r="F10" s="78">
        <f>SUM(F11:F12)</f>
        <v>1756.5</v>
      </c>
    </row>
    <row r="11" spans="2:9" x14ac:dyDescent="0.2">
      <c r="B11" s="54" t="s">
        <v>39</v>
      </c>
      <c r="C11" s="55">
        <v>1250</v>
      </c>
      <c r="D11" s="20" t="s">
        <v>9</v>
      </c>
      <c r="E11" s="212">
        <v>0.19520000000000001</v>
      </c>
      <c r="F11" s="79">
        <f>E11*C11</f>
        <v>244.00000000000003</v>
      </c>
      <c r="G11" s="2"/>
    </row>
    <row r="12" spans="2:9" x14ac:dyDescent="0.2">
      <c r="B12" s="39" t="s">
        <v>40</v>
      </c>
      <c r="C12" s="19">
        <v>275</v>
      </c>
      <c r="D12" s="19" t="s">
        <v>41</v>
      </c>
      <c r="E12" s="213">
        <v>5.5</v>
      </c>
      <c r="F12" s="77">
        <f>+E12*C12</f>
        <v>1512.5</v>
      </c>
    </row>
    <row r="13" spans="2:9" x14ac:dyDescent="0.2">
      <c r="B13" s="45" t="s">
        <v>34</v>
      </c>
      <c r="C13" s="46"/>
      <c r="D13" s="46"/>
      <c r="E13" s="46"/>
      <c r="F13" s="81">
        <f>SUM(F14:F16)</f>
        <v>83</v>
      </c>
    </row>
    <row r="14" spans="2:9" x14ac:dyDescent="0.2">
      <c r="B14" s="41" t="s">
        <v>176</v>
      </c>
      <c r="C14" s="42">
        <v>1</v>
      </c>
      <c r="D14" s="42" t="s">
        <v>4</v>
      </c>
      <c r="E14" s="42">
        <v>5</v>
      </c>
      <c r="F14" s="80">
        <f>+E14*C14</f>
        <v>5</v>
      </c>
    </row>
    <row r="15" spans="2:9" x14ac:dyDescent="0.2">
      <c r="B15" s="41" t="s">
        <v>44</v>
      </c>
      <c r="C15" s="42">
        <v>6</v>
      </c>
      <c r="D15" s="42" t="s">
        <v>5</v>
      </c>
      <c r="E15" s="42">
        <v>11.5</v>
      </c>
      <c r="F15" s="82">
        <f>+E15*C15</f>
        <v>69</v>
      </c>
    </row>
    <row r="16" spans="2:9" ht="13.5" thickBot="1" x14ac:dyDescent="0.25">
      <c r="B16" s="41" t="s">
        <v>45</v>
      </c>
      <c r="C16" s="42">
        <v>3</v>
      </c>
      <c r="D16" s="42" t="s">
        <v>46</v>
      </c>
      <c r="E16" s="42">
        <v>3</v>
      </c>
      <c r="F16" s="82">
        <f>+E16*C16</f>
        <v>9</v>
      </c>
    </row>
    <row r="17" spans="2:9" ht="15.75" customHeight="1" thickBot="1" x14ac:dyDescent="0.25">
      <c r="B17" s="47" t="s">
        <v>1</v>
      </c>
      <c r="C17" s="48"/>
      <c r="D17" s="48"/>
      <c r="E17" s="48"/>
      <c r="F17" s="214">
        <f>F13+F10+F7</f>
        <v>1964.5</v>
      </c>
      <c r="H17" s="152" t="s">
        <v>153</v>
      </c>
      <c r="I17" s="153">
        <f>F17/C22</f>
        <v>1.6208745874587458</v>
      </c>
    </row>
    <row r="18" spans="2:9" x14ac:dyDescent="0.2">
      <c r="B18" s="16"/>
      <c r="C18" s="17"/>
      <c r="D18" s="17"/>
      <c r="E18" s="17"/>
      <c r="F18" s="18"/>
    </row>
    <row r="19" spans="2:9" ht="13.5" thickBot="1" x14ac:dyDescent="0.25"/>
    <row r="20" spans="2:9" ht="13.5" thickBot="1" x14ac:dyDescent="0.25">
      <c r="B20" s="256" t="s">
        <v>72</v>
      </c>
      <c r="C20" s="257"/>
      <c r="D20" s="257"/>
      <c r="E20" s="257"/>
      <c r="F20" s="258"/>
      <c r="I20" s="147"/>
    </row>
    <row r="21" spans="2:9" ht="22.5" customHeight="1" thickBot="1" x14ac:dyDescent="0.25">
      <c r="B21" s="215" t="s">
        <v>54</v>
      </c>
      <c r="C21" s="216" t="s">
        <v>55</v>
      </c>
      <c r="D21" s="263" t="s">
        <v>56</v>
      </c>
      <c r="E21" s="263"/>
      <c r="F21" s="232" t="s">
        <v>57</v>
      </c>
    </row>
    <row r="22" spans="2:9" x14ac:dyDescent="0.2">
      <c r="B22" s="217" t="s">
        <v>18</v>
      </c>
      <c r="C22" s="218">
        <v>1212</v>
      </c>
      <c r="D22" s="264">
        <v>5</v>
      </c>
      <c r="E22" s="264"/>
      <c r="F22" s="219">
        <f>+D22*C22</f>
        <v>6060</v>
      </c>
    </row>
    <row r="23" spans="2:9" ht="12.75" customHeight="1" x14ac:dyDescent="0.2">
      <c r="B23" s="220" t="s">
        <v>19</v>
      </c>
      <c r="C23" s="141">
        <v>1212</v>
      </c>
      <c r="D23" s="259">
        <v>5</v>
      </c>
      <c r="E23" s="259"/>
      <c r="F23" s="221">
        <f>+D23*C23</f>
        <v>6060</v>
      </c>
    </row>
    <row r="24" spans="2:9" ht="15" x14ac:dyDescent="0.25">
      <c r="B24" s="222" t="s">
        <v>20</v>
      </c>
      <c r="C24" s="141">
        <v>1212</v>
      </c>
      <c r="D24" s="259">
        <v>5</v>
      </c>
      <c r="E24" s="259"/>
      <c r="F24" s="221">
        <f>+D24*C24</f>
        <v>6060</v>
      </c>
    </row>
    <row r="25" spans="2:9" ht="15" x14ac:dyDescent="0.25">
      <c r="B25" s="222" t="s">
        <v>21</v>
      </c>
      <c r="C25" s="141">
        <v>1212</v>
      </c>
      <c r="D25" s="259">
        <v>4</v>
      </c>
      <c r="E25" s="259"/>
      <c r="F25" s="221">
        <f>+D25*C25</f>
        <v>4848</v>
      </c>
    </row>
    <row r="26" spans="2:9" ht="12.75" customHeight="1" thickBot="1" x14ac:dyDescent="0.25">
      <c r="B26" s="223" t="s">
        <v>22</v>
      </c>
      <c r="C26" s="224">
        <v>1212</v>
      </c>
      <c r="D26" s="260">
        <v>4</v>
      </c>
      <c r="E26" s="260"/>
      <c r="F26" s="225">
        <f>+D26*C26</f>
        <v>4848</v>
      </c>
    </row>
    <row r="27" spans="2:9" ht="12.75" customHeight="1" x14ac:dyDescent="0.2">
      <c r="B27" s="1"/>
      <c r="C27" s="3"/>
      <c r="D27" s="71"/>
      <c r="E27" s="71"/>
      <c r="F27" s="3"/>
    </row>
    <row r="29" spans="2:9" ht="12.75" customHeight="1" x14ac:dyDescent="0.2"/>
    <row r="31" spans="2:9" ht="12.75" customHeight="1" x14ac:dyDescent="0.2"/>
    <row r="32" spans="2:9" ht="12.75" customHeight="1" x14ac:dyDescent="0.2"/>
  </sheetData>
  <mergeCells count="13">
    <mergeCell ref="B4:F4"/>
    <mergeCell ref="D23:E23"/>
    <mergeCell ref="D24:E24"/>
    <mergeCell ref="B20:F20"/>
    <mergeCell ref="D25:E25"/>
    <mergeCell ref="D26:E26"/>
    <mergeCell ref="F5:F6"/>
    <mergeCell ref="D21:E21"/>
    <mergeCell ref="D22:E22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5"/>
  <sheetViews>
    <sheetView workbookViewId="0">
      <selection activeCell="D17" sqref="D17"/>
    </sheetView>
  </sheetViews>
  <sheetFormatPr baseColWidth="10" defaultColWidth="9.140625" defaultRowHeight="12.75" x14ac:dyDescent="0.2"/>
  <cols>
    <col min="1" max="1" width="10.5703125" customWidth="1"/>
    <col min="2" max="2" width="9" customWidth="1"/>
    <col min="3" max="3" width="11.140625" customWidth="1"/>
    <col min="4" max="4" width="10.7109375" customWidth="1"/>
    <col min="5" max="6" width="9.140625" customWidth="1"/>
    <col min="7" max="7" width="5.85546875" style="179" customWidth="1"/>
  </cols>
  <sheetData>
    <row r="1" spans="1:7" ht="15.75" x14ac:dyDescent="0.25">
      <c r="A1" s="30"/>
      <c r="B1" s="2"/>
      <c r="C1" s="2"/>
      <c r="D1" s="2"/>
      <c r="E1" s="2"/>
      <c r="F1" s="2"/>
      <c r="G1" s="178"/>
    </row>
    <row r="2" spans="1:7" ht="15.75" x14ac:dyDescent="0.25">
      <c r="A2" s="30"/>
      <c r="B2" s="2"/>
      <c r="C2" s="2"/>
      <c r="D2" s="2"/>
      <c r="E2" s="2"/>
      <c r="F2" s="2"/>
      <c r="G2" s="178"/>
    </row>
    <row r="3" spans="1:7" ht="13.5" thickBot="1" x14ac:dyDescent="0.25">
      <c r="A3" s="2"/>
      <c r="B3" s="2"/>
      <c r="C3" s="2"/>
      <c r="D3" s="2"/>
      <c r="E3" s="2"/>
      <c r="F3" s="2"/>
      <c r="G3" s="178"/>
    </row>
    <row r="4" spans="1:7" x14ac:dyDescent="0.2">
      <c r="A4" s="274" t="s">
        <v>3</v>
      </c>
      <c r="B4" s="276" t="s">
        <v>23</v>
      </c>
      <c r="C4" s="277"/>
      <c r="D4" s="278"/>
      <c r="E4" s="281"/>
      <c r="F4" s="281"/>
      <c r="G4" s="178"/>
    </row>
    <row r="5" spans="1:7" ht="13.5" thickBot="1" x14ac:dyDescent="0.25">
      <c r="A5" s="275"/>
      <c r="B5" s="33" t="s">
        <v>48</v>
      </c>
      <c r="C5" s="31" t="s">
        <v>49</v>
      </c>
      <c r="D5" s="191" t="s">
        <v>24</v>
      </c>
      <c r="E5" s="182"/>
      <c r="F5" s="182"/>
      <c r="G5" s="178"/>
    </row>
    <row r="6" spans="1:7" x14ac:dyDescent="0.2">
      <c r="A6" s="183">
        <v>1</v>
      </c>
      <c r="B6" s="189">
        <v>5</v>
      </c>
      <c r="C6" s="65">
        <v>1964.5</v>
      </c>
      <c r="D6" s="190">
        <f>B6*C6</f>
        <v>9822.5</v>
      </c>
      <c r="E6" s="180"/>
      <c r="F6" s="180"/>
      <c r="G6" s="178"/>
    </row>
    <row r="7" spans="1:7" x14ac:dyDescent="0.2">
      <c r="A7" s="183">
        <v>2</v>
      </c>
      <c r="B7" s="57">
        <v>5</v>
      </c>
      <c r="C7" s="62">
        <v>1964.5</v>
      </c>
      <c r="D7" s="184">
        <f>B7*C7</f>
        <v>9822.5</v>
      </c>
      <c r="E7" s="180"/>
      <c r="F7" s="180"/>
      <c r="G7" s="178"/>
    </row>
    <row r="8" spans="1:7" x14ac:dyDescent="0.2">
      <c r="A8" s="183">
        <v>3</v>
      </c>
      <c r="B8" s="57">
        <v>5</v>
      </c>
      <c r="C8" s="62">
        <v>1964.5</v>
      </c>
      <c r="D8" s="184">
        <f>B8*C8</f>
        <v>9822.5</v>
      </c>
      <c r="E8" s="180"/>
      <c r="F8" s="180"/>
      <c r="G8" s="178"/>
    </row>
    <row r="9" spans="1:7" x14ac:dyDescent="0.2">
      <c r="A9" s="183">
        <v>4</v>
      </c>
      <c r="B9" s="57">
        <v>4</v>
      </c>
      <c r="C9" s="62">
        <v>1964.5</v>
      </c>
      <c r="D9" s="184">
        <f>B9*C9</f>
        <v>7858</v>
      </c>
      <c r="E9" s="180"/>
      <c r="F9" s="180"/>
      <c r="G9" s="178"/>
    </row>
    <row r="10" spans="1:7" ht="13.5" thickBot="1" x14ac:dyDescent="0.25">
      <c r="A10" s="185">
        <v>5</v>
      </c>
      <c r="B10" s="186">
        <v>4</v>
      </c>
      <c r="C10" s="187">
        <v>1964.5</v>
      </c>
      <c r="D10" s="188">
        <f>B10*C10</f>
        <v>7858</v>
      </c>
      <c r="E10" s="180"/>
      <c r="F10" s="180"/>
      <c r="G10" s="178"/>
    </row>
    <row r="11" spans="1:7" x14ac:dyDescent="0.2">
      <c r="A11" s="2"/>
      <c r="B11" s="2"/>
      <c r="C11" s="2"/>
      <c r="D11" s="2"/>
      <c r="E11" s="181"/>
      <c r="F11" s="181"/>
      <c r="G11" s="178"/>
    </row>
    <row r="12" spans="1:7" ht="13.5" thickBot="1" x14ac:dyDescent="0.25">
      <c r="A12" s="2"/>
      <c r="B12" s="2"/>
      <c r="C12" s="2"/>
      <c r="D12" s="2"/>
      <c r="E12" s="2"/>
      <c r="F12" s="2"/>
      <c r="G12" s="178"/>
    </row>
    <row r="13" spans="1:7" ht="13.5" thickBot="1" x14ac:dyDescent="0.25">
      <c r="A13" s="279" t="s">
        <v>15</v>
      </c>
      <c r="B13" s="282" t="s">
        <v>69</v>
      </c>
      <c r="C13" s="283"/>
      <c r="D13" s="283"/>
      <c r="E13" s="283"/>
      <c r="F13" s="284"/>
      <c r="G13" s="178"/>
    </row>
    <row r="14" spans="1:7" ht="13.5" thickBot="1" x14ac:dyDescent="0.25">
      <c r="A14" s="280"/>
      <c r="B14" s="32" t="s">
        <v>25</v>
      </c>
      <c r="C14" s="32" t="s">
        <v>19</v>
      </c>
      <c r="D14" s="32" t="s">
        <v>20</v>
      </c>
      <c r="E14" s="32" t="s">
        <v>21</v>
      </c>
      <c r="F14" s="32" t="s">
        <v>22</v>
      </c>
      <c r="G14" s="178"/>
    </row>
    <row r="15" spans="1:7" ht="13.5" thickBot="1" x14ac:dyDescent="0.25">
      <c r="A15" s="35" t="s">
        <v>53</v>
      </c>
      <c r="B15" s="58">
        <f>D6</f>
        <v>9822.5</v>
      </c>
      <c r="C15" s="59">
        <f>D7</f>
        <v>9822.5</v>
      </c>
      <c r="D15" s="60">
        <f>D8</f>
        <v>9822.5</v>
      </c>
      <c r="E15" s="60">
        <f>D9</f>
        <v>7858</v>
      </c>
      <c r="F15" s="60">
        <f>D10</f>
        <v>7858</v>
      </c>
      <c r="G15" s="178"/>
    </row>
    <row r="16" spans="1:7" ht="13.5" thickBot="1" x14ac:dyDescent="0.25">
      <c r="A16" s="29" t="s">
        <v>1</v>
      </c>
      <c r="B16" s="61">
        <f>SUM(B15)</f>
        <v>9822.5</v>
      </c>
      <c r="C16" s="61">
        <f>SUM(C15)</f>
        <v>9822.5</v>
      </c>
      <c r="D16" s="61">
        <f>SUM(D15)</f>
        <v>9822.5</v>
      </c>
      <c r="E16" s="61">
        <f>SUM(E15)</f>
        <v>7858</v>
      </c>
      <c r="F16" s="61">
        <f>SUM(F15)</f>
        <v>7858</v>
      </c>
      <c r="G16" s="178"/>
    </row>
    <row r="17" spans="1:7" x14ac:dyDescent="0.2">
      <c r="A17" s="2"/>
      <c r="B17" s="2"/>
      <c r="C17" s="2"/>
      <c r="D17" s="2"/>
      <c r="E17" s="2"/>
      <c r="F17" s="2"/>
      <c r="G17" s="178"/>
    </row>
    <row r="18" spans="1:7" x14ac:dyDescent="0.2">
      <c r="A18" s="2"/>
      <c r="B18" s="2"/>
      <c r="C18" s="2"/>
      <c r="D18" s="2"/>
      <c r="E18" s="2"/>
      <c r="F18" s="2"/>
      <c r="G18" s="178"/>
    </row>
    <row r="19" spans="1:7" x14ac:dyDescent="0.2">
      <c r="G19" s="178"/>
    </row>
    <row r="20" spans="1:7" x14ac:dyDescent="0.2">
      <c r="G20" s="178"/>
    </row>
    <row r="21" spans="1:7" x14ac:dyDescent="0.2">
      <c r="G21" s="178"/>
    </row>
    <row r="22" spans="1:7" x14ac:dyDescent="0.2">
      <c r="G22" s="178"/>
    </row>
    <row r="23" spans="1:7" x14ac:dyDescent="0.2">
      <c r="G23" s="178"/>
    </row>
    <row r="24" spans="1:7" x14ac:dyDescent="0.2">
      <c r="G24" s="178"/>
    </row>
    <row r="25" spans="1:7" x14ac:dyDescent="0.2">
      <c r="G25" s="178"/>
    </row>
  </sheetData>
  <mergeCells count="5">
    <mergeCell ref="A4:A5"/>
    <mergeCell ref="B4:D4"/>
    <mergeCell ref="A13:A14"/>
    <mergeCell ref="E4:F4"/>
    <mergeCell ref="B13:F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K31"/>
  <sheetViews>
    <sheetView workbookViewId="0">
      <selection activeCell="J12" sqref="J12"/>
    </sheetView>
  </sheetViews>
  <sheetFormatPr baseColWidth="10" defaultColWidth="9.140625" defaultRowHeight="15" x14ac:dyDescent="0.25"/>
  <cols>
    <col min="1" max="1" width="4.42578125" style="15" customWidth="1"/>
    <col min="2" max="2" width="7" style="15" customWidth="1"/>
    <col min="3" max="3" width="26.140625" style="15" bestFit="1" customWidth="1"/>
    <col min="4" max="4" width="8.140625" style="15" bestFit="1" customWidth="1"/>
    <col min="5" max="5" width="8" style="15" bestFit="1" customWidth="1"/>
    <col min="6" max="6" width="5.5703125" style="15" bestFit="1" customWidth="1"/>
    <col min="7" max="7" width="6.85546875" style="15" bestFit="1" customWidth="1"/>
    <col min="8" max="8" width="9" style="15" bestFit="1" customWidth="1"/>
    <col min="9" max="9" width="9.140625" style="15"/>
    <col min="10" max="10" width="9.5703125" style="15" customWidth="1"/>
    <col min="11" max="11" width="10.42578125" style="15" customWidth="1"/>
    <col min="12" max="16384" width="9.140625" style="15"/>
  </cols>
  <sheetData>
    <row r="2" spans="3:11" ht="15" customHeight="1" thickBot="1" x14ac:dyDescent="0.3">
      <c r="C2" s="288" t="s">
        <v>177</v>
      </c>
      <c r="D2" s="288"/>
      <c r="E2" s="288"/>
      <c r="F2" s="288"/>
      <c r="G2" s="288"/>
      <c r="H2" s="288"/>
    </row>
    <row r="3" spans="3:11" ht="29.25" customHeight="1" thickBot="1" x14ac:dyDescent="0.3">
      <c r="C3" s="288" t="s">
        <v>26</v>
      </c>
      <c r="D3" s="288"/>
      <c r="E3" s="288"/>
      <c r="F3" s="288"/>
      <c r="G3" s="288"/>
      <c r="H3" s="288"/>
      <c r="J3" s="289" t="s">
        <v>58</v>
      </c>
      <c r="K3" s="290"/>
    </row>
    <row r="4" spans="3:11" ht="15.75" thickBot="1" x14ac:dyDescent="0.3">
      <c r="C4" s="155" t="s">
        <v>27</v>
      </c>
      <c r="D4" s="156" t="s">
        <v>28</v>
      </c>
      <c r="E4" s="156" t="s">
        <v>29</v>
      </c>
      <c r="F4" s="156" t="s">
        <v>30</v>
      </c>
      <c r="G4" s="156" t="s">
        <v>31</v>
      </c>
      <c r="H4" s="157" t="s">
        <v>1</v>
      </c>
      <c r="J4" s="163" t="s">
        <v>18</v>
      </c>
      <c r="K4" s="37">
        <f>+H14</f>
        <v>1480</v>
      </c>
    </row>
    <row r="5" spans="3:11" x14ac:dyDescent="0.25">
      <c r="C5" s="164" t="s">
        <v>32</v>
      </c>
      <c r="D5" s="160"/>
      <c r="E5" s="160"/>
      <c r="F5" s="160"/>
      <c r="G5" s="160"/>
      <c r="H5" s="37"/>
      <c r="J5" s="50" t="s">
        <v>19</v>
      </c>
      <c r="K5" s="40">
        <f>+('COST PROD TRUCHA'!F23*'Manten Cent Acopio'!K4)/'COST PROD TRUCHA'!F22</f>
        <v>1480</v>
      </c>
    </row>
    <row r="6" spans="3:11" x14ac:dyDescent="0.25">
      <c r="C6" s="165" t="s">
        <v>161</v>
      </c>
      <c r="D6" s="154"/>
      <c r="E6" s="154"/>
      <c r="F6" s="154"/>
      <c r="G6" s="154"/>
      <c r="H6" s="167">
        <v>1200</v>
      </c>
      <c r="J6" s="50" t="s">
        <v>20</v>
      </c>
      <c r="K6" s="40">
        <f>+('COST PROD TRUCHA'!F24*'Manten Cent Acopio'!K5)/'COST PROD TRUCHA'!F23</f>
        <v>1480</v>
      </c>
    </row>
    <row r="7" spans="3:11" x14ac:dyDescent="0.25">
      <c r="C7" s="49" t="s">
        <v>47</v>
      </c>
      <c r="D7" s="56" t="s">
        <v>0</v>
      </c>
      <c r="E7" s="56">
        <v>150</v>
      </c>
      <c r="F7" s="56">
        <v>1</v>
      </c>
      <c r="G7" s="56">
        <v>8</v>
      </c>
      <c r="H7" s="40">
        <f>+E7*G7*F7</f>
        <v>1200</v>
      </c>
      <c r="J7" s="50" t="s">
        <v>21</v>
      </c>
      <c r="K7" s="40">
        <f>+('COST PROD TRUCHA'!F25*'Manten Cent Acopio'!K6)/'COST PROD TRUCHA'!F24</f>
        <v>1184</v>
      </c>
    </row>
    <row r="8" spans="3:11" ht="15.75" thickBot="1" x14ac:dyDescent="0.3">
      <c r="C8" s="165" t="s">
        <v>160</v>
      </c>
      <c r="D8" s="56"/>
      <c r="E8" s="56"/>
      <c r="F8" s="56"/>
      <c r="G8" s="56"/>
      <c r="H8" s="167">
        <v>80</v>
      </c>
      <c r="J8" s="161" t="s">
        <v>22</v>
      </c>
      <c r="K8" s="38">
        <f>+('COST PROD TRUCHA'!F26*'Manten Cent Acopio'!K7)/'COST PROD TRUCHA'!F25</f>
        <v>1184</v>
      </c>
    </row>
    <row r="9" spans="3:11" ht="15.75" thickBot="1" x14ac:dyDescent="0.3">
      <c r="C9" s="49" t="s">
        <v>162</v>
      </c>
      <c r="D9" s="56" t="s">
        <v>10</v>
      </c>
      <c r="E9" s="56"/>
      <c r="F9" s="56">
        <v>1</v>
      </c>
      <c r="G9" s="56">
        <v>8</v>
      </c>
      <c r="H9" s="40"/>
    </row>
    <row r="10" spans="3:11" ht="16.5" thickBot="1" x14ac:dyDescent="0.3">
      <c r="C10" s="49" t="s">
        <v>163</v>
      </c>
      <c r="D10" s="56" t="s">
        <v>10</v>
      </c>
      <c r="E10" s="56"/>
      <c r="F10" s="56">
        <v>1</v>
      </c>
      <c r="G10" s="56">
        <v>8</v>
      </c>
      <c r="H10" s="40"/>
      <c r="J10" s="192" t="s">
        <v>158</v>
      </c>
      <c r="K10" s="193" t="s">
        <v>159</v>
      </c>
    </row>
    <row r="11" spans="3:11" ht="16.5" thickBot="1" x14ac:dyDescent="0.3">
      <c r="C11" s="49"/>
      <c r="D11" s="56"/>
      <c r="E11" s="56"/>
      <c r="F11" s="56"/>
      <c r="G11" s="56"/>
      <c r="H11" s="40"/>
      <c r="J11" s="291">
        <f>'COST PROD TRUCHA'!I17+'Manten Cent Acopio'!K14</f>
        <v>1.8650990099009901</v>
      </c>
      <c r="K11" s="292"/>
    </row>
    <row r="12" spans="3:11" x14ac:dyDescent="0.25">
      <c r="C12" s="165" t="s">
        <v>33</v>
      </c>
      <c r="D12" s="154"/>
      <c r="E12" s="154"/>
      <c r="F12" s="154"/>
      <c r="G12" s="154"/>
      <c r="H12" s="167">
        <v>200</v>
      </c>
    </row>
    <row r="13" spans="3:11" ht="15.75" thickBot="1" x14ac:dyDescent="0.3">
      <c r="C13" s="166" t="s">
        <v>164</v>
      </c>
      <c r="D13" s="162" t="s">
        <v>10</v>
      </c>
      <c r="E13" s="162"/>
      <c r="F13" s="162">
        <v>1</v>
      </c>
      <c r="G13" s="162">
        <v>8</v>
      </c>
      <c r="H13" s="38"/>
    </row>
    <row r="14" spans="3:11" ht="15.75" thickBot="1" x14ac:dyDescent="0.3">
      <c r="C14" s="286" t="s">
        <v>2</v>
      </c>
      <c r="D14" s="287"/>
      <c r="E14" s="287"/>
      <c r="F14" s="287"/>
      <c r="G14" s="287"/>
      <c r="H14" s="234">
        <f>+H6+H8+H12</f>
        <v>1480</v>
      </c>
      <c r="J14" s="233" t="s">
        <v>165</v>
      </c>
      <c r="K14" s="168">
        <f>H14/'COST PROD TRUCHA'!F22</f>
        <v>0.24422442244224424</v>
      </c>
    </row>
    <row r="15" spans="3:11" x14ac:dyDescent="0.25">
      <c r="C15" s="285"/>
      <c r="D15" s="285"/>
      <c r="E15" s="285"/>
      <c r="F15" s="285"/>
      <c r="G15" s="285"/>
      <c r="H15" s="285"/>
    </row>
    <row r="16" spans="3:11" x14ac:dyDescent="0.25">
      <c r="C16" s="36"/>
      <c r="D16" s="36"/>
      <c r="E16" s="36"/>
      <c r="F16" s="36"/>
      <c r="G16" s="36"/>
      <c r="H16" s="36"/>
    </row>
    <row r="21" ht="15" customHeight="1" x14ac:dyDescent="0.25"/>
    <row r="31" ht="15" customHeight="1" x14ac:dyDescent="0.25"/>
  </sheetData>
  <mergeCells count="6">
    <mergeCell ref="C15:H15"/>
    <mergeCell ref="C14:G14"/>
    <mergeCell ref="C2:H2"/>
    <mergeCell ref="C3:H3"/>
    <mergeCell ref="J3:K3"/>
    <mergeCell ref="J11:K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O28"/>
  <sheetViews>
    <sheetView workbookViewId="0">
      <selection activeCell="J19" sqref="J19"/>
    </sheetView>
  </sheetViews>
  <sheetFormatPr baseColWidth="10" defaultColWidth="9.140625" defaultRowHeight="12.75" x14ac:dyDescent="0.2"/>
  <cols>
    <col min="1" max="1" width="3.140625" customWidth="1"/>
    <col min="2" max="2" width="10.42578125" customWidth="1"/>
    <col min="3" max="3" width="8" customWidth="1"/>
    <col min="4" max="4" width="10.42578125" customWidth="1"/>
    <col min="5" max="5" width="8.85546875" customWidth="1"/>
    <col min="6" max="6" width="10.7109375" customWidth="1"/>
    <col min="7" max="7" width="11.7109375" customWidth="1"/>
    <col min="8" max="8" width="11.42578125" customWidth="1"/>
  </cols>
  <sheetData>
    <row r="1" spans="2:15" ht="18" x14ac:dyDescent="0.25">
      <c r="B1" s="295"/>
      <c r="C1" s="295"/>
      <c r="D1" s="295"/>
      <c r="E1" s="295"/>
      <c r="F1" s="295"/>
      <c r="G1" s="2"/>
      <c r="H1" s="2"/>
      <c r="I1" s="24"/>
      <c r="J1" s="2"/>
      <c r="K1" s="2"/>
      <c r="L1" s="22"/>
      <c r="M1" s="22"/>
      <c r="N1" s="22"/>
      <c r="O1" s="22"/>
    </row>
    <row r="2" spans="2:15" ht="18" x14ac:dyDescent="0.25">
      <c r="B2" s="23"/>
      <c r="C2" s="23"/>
      <c r="D2" s="23"/>
      <c r="E2" s="23"/>
      <c r="F2" s="23"/>
      <c r="G2" s="2"/>
      <c r="H2" s="2"/>
      <c r="I2" s="24"/>
      <c r="J2" s="2"/>
      <c r="K2" s="2"/>
      <c r="L2" s="22"/>
      <c r="M2" s="22"/>
      <c r="N2" s="22"/>
      <c r="O2" s="22"/>
    </row>
    <row r="3" spans="2:15" ht="13.5" thickBot="1" x14ac:dyDescent="0.25">
      <c r="B3" s="2"/>
      <c r="C3" s="21"/>
      <c r="D3" s="2"/>
      <c r="E3" s="2"/>
      <c r="F3" s="2"/>
      <c r="G3" s="2"/>
      <c r="H3" s="2"/>
      <c r="I3" s="2"/>
      <c r="J3" s="2"/>
      <c r="K3" s="2"/>
    </row>
    <row r="4" spans="2:15" x14ac:dyDescent="0.2">
      <c r="B4" s="296" t="s">
        <v>3</v>
      </c>
      <c r="C4" s="298" t="s">
        <v>16</v>
      </c>
      <c r="D4" s="299"/>
      <c r="E4" s="300"/>
      <c r="F4" s="301" t="s">
        <v>70</v>
      </c>
      <c r="G4" s="302"/>
      <c r="H4" s="293" t="s">
        <v>154</v>
      </c>
      <c r="I4" s="2"/>
      <c r="J4" s="2"/>
      <c r="K4" s="2"/>
    </row>
    <row r="5" spans="2:15" ht="13.5" thickBot="1" x14ac:dyDescent="0.25">
      <c r="B5" s="297"/>
      <c r="C5" s="33" t="s">
        <v>48</v>
      </c>
      <c r="D5" s="31" t="s">
        <v>51</v>
      </c>
      <c r="E5" s="31" t="s">
        <v>52</v>
      </c>
      <c r="F5" s="31" t="s">
        <v>50</v>
      </c>
      <c r="G5" s="148" t="s">
        <v>17</v>
      </c>
      <c r="H5" s="294"/>
      <c r="I5" s="2"/>
      <c r="J5" s="2"/>
      <c r="K5" s="2"/>
    </row>
    <row r="6" spans="2:15" x14ac:dyDescent="0.2">
      <c r="B6" s="34">
        <v>1</v>
      </c>
      <c r="C6" s="63">
        <v>5</v>
      </c>
      <c r="D6" s="64">
        <f>'COST PROD TRUCHA'!$C$22</f>
        <v>1212</v>
      </c>
      <c r="E6" s="65">
        <f>C6*D6</f>
        <v>6060</v>
      </c>
      <c r="F6" s="66">
        <v>10</v>
      </c>
      <c r="G6" s="149">
        <f>E6*F6</f>
        <v>60600</v>
      </c>
      <c r="H6" s="230">
        <f>G6/12</f>
        <v>5050</v>
      </c>
      <c r="I6" s="2"/>
      <c r="J6" s="2"/>
      <c r="K6" s="2"/>
    </row>
    <row r="7" spans="2:15" x14ac:dyDescent="0.2">
      <c r="B7" s="25">
        <v>2</v>
      </c>
      <c r="C7" s="63">
        <v>5</v>
      </c>
      <c r="D7" s="64">
        <f>'COST PROD TRUCHA'!$C$22</f>
        <v>1212</v>
      </c>
      <c r="E7" s="65">
        <f>C7*D7</f>
        <v>6060</v>
      </c>
      <c r="F7" s="66">
        <f>F6</f>
        <v>10</v>
      </c>
      <c r="G7" s="150">
        <f>E7*F7</f>
        <v>60600</v>
      </c>
      <c r="H7" s="230">
        <f>G7/12</f>
        <v>5050</v>
      </c>
      <c r="I7" s="2"/>
      <c r="J7" s="2"/>
      <c r="K7" s="2"/>
    </row>
    <row r="8" spans="2:15" x14ac:dyDescent="0.2">
      <c r="B8" s="25">
        <v>3</v>
      </c>
      <c r="C8" s="63">
        <v>5</v>
      </c>
      <c r="D8" s="64">
        <f>'COST PROD TRUCHA'!$C$22</f>
        <v>1212</v>
      </c>
      <c r="E8" s="65">
        <f>C8*D8</f>
        <v>6060</v>
      </c>
      <c r="F8" s="66">
        <f>F7</f>
        <v>10</v>
      </c>
      <c r="G8" s="150">
        <f>E8*F8</f>
        <v>60600</v>
      </c>
      <c r="H8" s="230">
        <f>G8/12</f>
        <v>5050</v>
      </c>
      <c r="I8" s="2"/>
      <c r="J8" s="2"/>
      <c r="K8" s="2"/>
    </row>
    <row r="9" spans="2:15" x14ac:dyDescent="0.2">
      <c r="B9" s="25">
        <v>4</v>
      </c>
      <c r="C9" s="63">
        <v>4</v>
      </c>
      <c r="D9" s="64">
        <f>'COST PROD TRUCHA'!$C$22</f>
        <v>1212</v>
      </c>
      <c r="E9" s="65">
        <f>C9*D9</f>
        <v>4848</v>
      </c>
      <c r="F9" s="66">
        <f>F8</f>
        <v>10</v>
      </c>
      <c r="G9" s="150">
        <f>E9*F9</f>
        <v>48480</v>
      </c>
      <c r="H9" s="244">
        <f>G9/12</f>
        <v>4040</v>
      </c>
      <c r="I9" s="2"/>
      <c r="J9" s="2"/>
      <c r="K9" s="2"/>
    </row>
    <row r="10" spans="2:15" ht="13.5" thickBot="1" x14ac:dyDescent="0.25">
      <c r="B10" s="26">
        <v>5</v>
      </c>
      <c r="C10" s="67">
        <v>4</v>
      </c>
      <c r="D10" s="64">
        <f>'COST PROD TRUCHA'!$C$22</f>
        <v>1212</v>
      </c>
      <c r="E10" s="65">
        <f>C10*D10</f>
        <v>4848</v>
      </c>
      <c r="F10" s="68">
        <f>F9</f>
        <v>10</v>
      </c>
      <c r="G10" s="151">
        <f>E10*F10</f>
        <v>48480</v>
      </c>
      <c r="H10" s="244">
        <f>G10/12</f>
        <v>4040</v>
      </c>
      <c r="I10" s="2"/>
      <c r="J10" s="2"/>
      <c r="K10" s="2"/>
    </row>
    <row r="11" spans="2:1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5" ht="13.5" thickBo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5" ht="13.5" thickBot="1" x14ac:dyDescent="0.25">
      <c r="B13" s="279" t="s">
        <v>15</v>
      </c>
      <c r="C13" s="282" t="s">
        <v>73</v>
      </c>
      <c r="D13" s="283"/>
      <c r="E13" s="283"/>
      <c r="F13" s="283"/>
      <c r="G13" s="284"/>
      <c r="H13" s="2"/>
      <c r="I13" s="2"/>
      <c r="J13" s="2"/>
      <c r="K13" s="2"/>
    </row>
    <row r="14" spans="2:15" ht="13.5" thickBot="1" x14ac:dyDescent="0.25">
      <c r="B14" s="303"/>
      <c r="C14" s="28" t="s">
        <v>18</v>
      </c>
      <c r="D14" s="28" t="s">
        <v>19</v>
      </c>
      <c r="E14" s="28" t="s">
        <v>20</v>
      </c>
      <c r="F14" s="28" t="s">
        <v>21</v>
      </c>
      <c r="G14" s="28" t="s">
        <v>22</v>
      </c>
      <c r="H14" s="2"/>
      <c r="I14" s="2"/>
      <c r="J14" s="2"/>
      <c r="K14" s="2"/>
    </row>
    <row r="15" spans="2:15" ht="13.5" thickBot="1" x14ac:dyDescent="0.25">
      <c r="B15" s="27" t="s">
        <v>53</v>
      </c>
      <c r="C15" s="69">
        <f>G6</f>
        <v>60600</v>
      </c>
      <c r="D15" s="69">
        <f>G7</f>
        <v>60600</v>
      </c>
      <c r="E15" s="69">
        <f>G8</f>
        <v>60600</v>
      </c>
      <c r="F15" s="69">
        <f>G9</f>
        <v>48480</v>
      </c>
      <c r="G15" s="69">
        <f>G10</f>
        <v>48480</v>
      </c>
      <c r="H15" s="2"/>
      <c r="I15" s="2"/>
      <c r="J15" s="2"/>
      <c r="K15" s="2"/>
    </row>
    <row r="16" spans="2:15" ht="13.5" thickBot="1" x14ac:dyDescent="0.25">
      <c r="B16" s="29" t="s">
        <v>1</v>
      </c>
      <c r="C16" s="70">
        <f>SUM(C15)</f>
        <v>60600</v>
      </c>
      <c r="D16" s="70">
        <f>SUM(D15)</f>
        <v>60600</v>
      </c>
      <c r="E16" s="70">
        <f>SUM(E15)</f>
        <v>60600</v>
      </c>
      <c r="F16" s="70">
        <f>SUM(F15)</f>
        <v>48480</v>
      </c>
      <c r="G16" s="70">
        <f>SUM(G15)</f>
        <v>48480</v>
      </c>
      <c r="H16" s="2"/>
      <c r="I16" s="2"/>
      <c r="J16" s="2"/>
      <c r="K16" s="2"/>
    </row>
    <row r="17" spans="2:1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">
      <c r="H19" s="2"/>
      <c r="I19" s="2"/>
      <c r="J19" s="2"/>
      <c r="K19" s="2"/>
    </row>
    <row r="20" spans="2:11" x14ac:dyDescent="0.2">
      <c r="H20" s="2"/>
      <c r="I20" s="2"/>
      <c r="J20" s="2"/>
      <c r="K20" s="2"/>
    </row>
    <row r="21" spans="2:11" x14ac:dyDescent="0.2">
      <c r="H21" s="2"/>
      <c r="I21" s="2"/>
      <c r="J21" s="2"/>
      <c r="K21" s="2"/>
    </row>
    <row r="22" spans="2:11" x14ac:dyDescent="0.2">
      <c r="H22" s="2"/>
      <c r="I22" s="2"/>
      <c r="J22" s="2"/>
      <c r="K22" s="2"/>
    </row>
    <row r="23" spans="2:11" x14ac:dyDescent="0.2">
      <c r="H23" s="2"/>
      <c r="I23" s="2"/>
      <c r="J23" s="2"/>
      <c r="K23" s="2"/>
    </row>
    <row r="24" spans="2:11" x14ac:dyDescent="0.2">
      <c r="H24" s="2"/>
      <c r="I24" s="2"/>
      <c r="J24" s="2"/>
      <c r="K24" s="2"/>
    </row>
    <row r="25" spans="2:11" x14ac:dyDescent="0.2">
      <c r="H25" s="2"/>
      <c r="I25" s="2"/>
      <c r="J25" s="2"/>
      <c r="K25" s="2"/>
    </row>
    <row r="26" spans="2:11" x14ac:dyDescent="0.2">
      <c r="H26" s="2"/>
      <c r="I26" s="2"/>
      <c r="J26" s="2"/>
      <c r="K26" s="2"/>
    </row>
    <row r="27" spans="2:11" x14ac:dyDescent="0.2">
      <c r="H27" s="2"/>
      <c r="I27" s="2"/>
      <c r="J27" s="2"/>
      <c r="K27" s="2"/>
    </row>
    <row r="28" spans="2:11" x14ac:dyDescent="0.2">
      <c r="H28" s="2"/>
      <c r="I28" s="2"/>
      <c r="J28" s="2"/>
      <c r="K28" s="2"/>
    </row>
  </sheetData>
  <mergeCells count="7">
    <mergeCell ref="H4:H5"/>
    <mergeCell ref="B1:F1"/>
    <mergeCell ref="B4:B5"/>
    <mergeCell ref="C4:E4"/>
    <mergeCell ref="F4:G4"/>
    <mergeCell ref="B13:B14"/>
    <mergeCell ref="C13:G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12"/>
  <sheetViews>
    <sheetView workbookViewId="0">
      <selection activeCell="F11" sqref="F11"/>
    </sheetView>
  </sheetViews>
  <sheetFormatPr baseColWidth="10" defaultRowHeight="12.75" x14ac:dyDescent="0.2"/>
  <cols>
    <col min="2" max="2" width="14.140625" customWidth="1"/>
    <col min="3" max="3" width="12.42578125" customWidth="1"/>
    <col min="7" max="7" width="13.7109375" bestFit="1" customWidth="1"/>
  </cols>
  <sheetData>
    <row r="2" spans="2:7" ht="15" x14ac:dyDescent="0.25">
      <c r="B2" s="112" t="s">
        <v>106</v>
      </c>
      <c r="C2" s="112"/>
    </row>
    <row r="3" spans="2:7" x14ac:dyDescent="0.2">
      <c r="B3" t="s">
        <v>107</v>
      </c>
      <c r="C3" s="235">
        <f>INVERSION!C22</f>
        <v>11646.75</v>
      </c>
      <c r="E3" t="s">
        <v>108</v>
      </c>
      <c r="F3" s="113">
        <v>0.03</v>
      </c>
    </row>
    <row r="4" spans="2:7" x14ac:dyDescent="0.2">
      <c r="B4" t="s">
        <v>109</v>
      </c>
      <c r="C4" s="114">
        <v>0.15</v>
      </c>
    </row>
    <row r="5" spans="2:7" x14ac:dyDescent="0.2">
      <c r="B5" t="s">
        <v>110</v>
      </c>
      <c r="C5" s="113">
        <f>((1+C4)/(1+F3))-1</f>
        <v>0.11650485436893199</v>
      </c>
    </row>
    <row r="6" spans="2:7" x14ac:dyDescent="0.2">
      <c r="B6" t="s">
        <v>111</v>
      </c>
      <c r="C6">
        <v>3</v>
      </c>
    </row>
    <row r="7" spans="2:7" x14ac:dyDescent="0.2">
      <c r="B7" s="2" t="s">
        <v>116</v>
      </c>
      <c r="C7" s="115">
        <f>C3/C6</f>
        <v>3882.25</v>
      </c>
    </row>
    <row r="9" spans="2:7" ht="15" x14ac:dyDescent="0.25">
      <c r="B9" s="116" t="s">
        <v>174</v>
      </c>
      <c r="C9" s="116" t="s">
        <v>112</v>
      </c>
      <c r="D9" s="116" t="s">
        <v>103</v>
      </c>
      <c r="E9" s="116" t="s">
        <v>113</v>
      </c>
      <c r="F9" s="116" t="s">
        <v>114</v>
      </c>
      <c r="G9" s="116" t="s">
        <v>115</v>
      </c>
    </row>
    <row r="10" spans="2:7" x14ac:dyDescent="0.2">
      <c r="B10" s="141">
        <v>1</v>
      </c>
      <c r="C10" s="85">
        <f>C3</f>
        <v>11646.75</v>
      </c>
      <c r="D10" s="85">
        <f>$C$5*C10</f>
        <v>1356.9029126213586</v>
      </c>
      <c r="E10" s="107">
        <f>$C$7</f>
        <v>3882.25</v>
      </c>
      <c r="F10" s="107">
        <f>D10+E10</f>
        <v>5239.1529126213591</v>
      </c>
      <c r="G10" s="107">
        <f>C10-E10</f>
        <v>7764.5</v>
      </c>
    </row>
    <row r="11" spans="2:7" x14ac:dyDescent="0.2">
      <c r="B11" s="141">
        <v>2</v>
      </c>
      <c r="C11" s="107">
        <f>G10</f>
        <v>7764.5</v>
      </c>
      <c r="D11" s="85">
        <f>$C$5*C11</f>
        <v>904.60194174757237</v>
      </c>
      <c r="E11" s="107">
        <f>$C$7</f>
        <v>3882.25</v>
      </c>
      <c r="F11" s="107">
        <f>D11+E11</f>
        <v>4786.8519417475727</v>
      </c>
      <c r="G11" s="107">
        <f>C11-E11</f>
        <v>3882.25</v>
      </c>
    </row>
    <row r="12" spans="2:7" x14ac:dyDescent="0.2">
      <c r="B12" s="141">
        <v>3</v>
      </c>
      <c r="C12" s="107">
        <f>G11</f>
        <v>3882.25</v>
      </c>
      <c r="D12" s="85">
        <f>$C$5*C12</f>
        <v>452.30097087378618</v>
      </c>
      <c r="E12" s="107">
        <f>$C$7</f>
        <v>3882.25</v>
      </c>
      <c r="F12" s="107">
        <f>D12+E12</f>
        <v>4334.5509708737864</v>
      </c>
      <c r="G12" s="107">
        <f>C12-E12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4:J34"/>
  <sheetViews>
    <sheetView tabSelected="1" topLeftCell="A18" zoomScale="142" zoomScaleNormal="142" workbookViewId="0">
      <selection activeCell="G33" sqref="G33"/>
    </sheetView>
  </sheetViews>
  <sheetFormatPr baseColWidth="10" defaultRowHeight="12.75" x14ac:dyDescent="0.2"/>
  <cols>
    <col min="1" max="1" width="1.7109375" customWidth="1"/>
    <col min="2" max="2" width="2.42578125" customWidth="1"/>
    <col min="3" max="3" width="33.85546875" customWidth="1"/>
    <col min="4" max="4" width="7.7109375" customWidth="1"/>
    <col min="5" max="5" width="9.85546875" customWidth="1"/>
    <col min="6" max="6" width="9.28515625" customWidth="1"/>
    <col min="7" max="7" width="9.42578125" customWidth="1"/>
    <col min="8" max="8" width="8.140625" customWidth="1"/>
    <col min="9" max="9" width="7.7109375" customWidth="1"/>
  </cols>
  <sheetData>
    <row r="4" spans="3:10" ht="13.5" thickBot="1" x14ac:dyDescent="0.25"/>
    <row r="5" spans="3:10" ht="13.5" thickBot="1" x14ac:dyDescent="0.25">
      <c r="C5" s="304" t="s">
        <v>92</v>
      </c>
      <c r="D5" s="305"/>
      <c r="E5" s="305"/>
      <c r="F5" s="305"/>
      <c r="G5" s="305"/>
      <c r="H5" s="305"/>
      <c r="I5" s="306"/>
    </row>
    <row r="6" spans="3:10" x14ac:dyDescent="0.2">
      <c r="C6" s="95"/>
      <c r="D6" s="95"/>
      <c r="E6" s="95"/>
      <c r="F6" s="95"/>
      <c r="G6" s="95"/>
      <c r="H6" s="95"/>
      <c r="I6" s="95"/>
    </row>
    <row r="7" spans="3:10" x14ac:dyDescent="0.2">
      <c r="C7" s="307" t="s">
        <v>93</v>
      </c>
      <c r="D7" s="307">
        <v>0</v>
      </c>
      <c r="E7" s="308"/>
      <c r="F7" s="308"/>
      <c r="G7" s="308"/>
      <c r="H7" s="308"/>
      <c r="I7" s="308"/>
    </row>
    <row r="8" spans="3:10" x14ac:dyDescent="0.2">
      <c r="C8" s="307"/>
      <c r="D8" s="307"/>
      <c r="E8" s="96">
        <v>1</v>
      </c>
      <c r="F8" s="96">
        <v>2</v>
      </c>
      <c r="G8" s="96">
        <v>3</v>
      </c>
      <c r="H8" s="96">
        <v>4</v>
      </c>
      <c r="I8" s="96">
        <v>5</v>
      </c>
    </row>
    <row r="9" spans="3:10" x14ac:dyDescent="0.2">
      <c r="C9" s="309" t="s">
        <v>94</v>
      </c>
      <c r="D9" s="309"/>
      <c r="E9" s="309"/>
      <c r="F9" s="309"/>
      <c r="G9" s="309"/>
      <c r="H9" s="309"/>
      <c r="I9" s="309"/>
    </row>
    <row r="10" spans="3:10" x14ac:dyDescent="0.2">
      <c r="C10" s="97" t="s">
        <v>95</v>
      </c>
      <c r="D10" s="98">
        <f>-INVERSION!F6</f>
        <v>-21500</v>
      </c>
      <c r="E10" s="97"/>
      <c r="F10" s="97"/>
      <c r="G10" s="97"/>
      <c r="H10" s="97"/>
      <c r="I10" s="97"/>
    </row>
    <row r="11" spans="3:10" x14ac:dyDescent="0.2">
      <c r="C11" s="97" t="s">
        <v>96</v>
      </c>
      <c r="D11" s="98">
        <f>-INVERSION!F11</f>
        <v>-7500</v>
      </c>
      <c r="E11" s="97"/>
      <c r="F11" s="97"/>
      <c r="G11" s="97"/>
      <c r="H11" s="97"/>
      <c r="I11" s="97"/>
    </row>
    <row r="12" spans="3:10" x14ac:dyDescent="0.2">
      <c r="C12" s="97" t="s">
        <v>151</v>
      </c>
      <c r="D12" s="98">
        <f>-INVERSION!F16</f>
        <v>-9822.5</v>
      </c>
      <c r="E12" s="97"/>
      <c r="F12" s="97"/>
      <c r="G12" s="103">
        <f>D34</f>
        <v>1964.5</v>
      </c>
      <c r="H12" s="97"/>
      <c r="I12" s="97"/>
    </row>
    <row r="13" spans="3:10" x14ac:dyDescent="0.2">
      <c r="C13" s="97" t="s">
        <v>155</v>
      </c>
      <c r="D13" s="98"/>
      <c r="E13" s="97"/>
      <c r="F13" s="97"/>
      <c r="G13" s="97"/>
      <c r="H13" s="97"/>
      <c r="I13" s="158">
        <f>-(D12+G12)</f>
        <v>7858</v>
      </c>
    </row>
    <row r="14" spans="3:10" ht="13.5" thickBot="1" x14ac:dyDescent="0.25">
      <c r="C14" s="97" t="s">
        <v>97</v>
      </c>
      <c r="D14" s="97"/>
      <c r="E14" s="97"/>
      <c r="F14" s="97"/>
      <c r="G14" s="97"/>
      <c r="H14" s="97"/>
      <c r="I14" s="135">
        <f>DEPRECIACION!K11</f>
        <v>3750</v>
      </c>
    </row>
    <row r="15" spans="3:10" ht="13.5" thickBot="1" x14ac:dyDescent="0.25">
      <c r="C15" s="99" t="s">
        <v>98</v>
      </c>
      <c r="D15" s="159">
        <f t="shared" ref="D15:I15" si="0">SUM(D10:D14)</f>
        <v>-38822.5</v>
      </c>
      <c r="E15" s="100">
        <f t="shared" si="0"/>
        <v>0</v>
      </c>
      <c r="F15" s="100">
        <f t="shared" si="0"/>
        <v>0</v>
      </c>
      <c r="G15" s="100">
        <f t="shared" si="0"/>
        <v>1964.5</v>
      </c>
      <c r="H15" s="100">
        <f t="shared" si="0"/>
        <v>0</v>
      </c>
      <c r="I15" s="159">
        <f t="shared" si="0"/>
        <v>11608</v>
      </c>
    </row>
    <row r="16" spans="3:10" x14ac:dyDescent="0.2">
      <c r="C16" s="101" t="s">
        <v>99</v>
      </c>
      <c r="D16" s="102"/>
      <c r="E16" s="103">
        <f>VENTAS!C15</f>
        <v>60600</v>
      </c>
      <c r="F16" s="103">
        <f>VENTAS!D15</f>
        <v>60600</v>
      </c>
      <c r="G16" s="103">
        <f>VENTAS!E15</f>
        <v>60600</v>
      </c>
      <c r="H16" s="103">
        <f>VENTAS!F15</f>
        <v>48480</v>
      </c>
      <c r="I16" s="103">
        <f>VENTAS!G15</f>
        <v>48480</v>
      </c>
      <c r="J16">
        <f>E16/12</f>
        <v>5050</v>
      </c>
    </row>
    <row r="17" spans="3:9" x14ac:dyDescent="0.2">
      <c r="C17" s="101" t="s">
        <v>100</v>
      </c>
      <c r="D17" s="97"/>
      <c r="E17" s="97"/>
      <c r="F17" s="97"/>
      <c r="G17" s="97"/>
      <c r="H17" s="97"/>
      <c r="I17" s="97"/>
    </row>
    <row r="18" spans="3:9" x14ac:dyDescent="0.2">
      <c r="C18" s="97" t="s">
        <v>91</v>
      </c>
      <c r="D18" s="97"/>
      <c r="E18" s="103">
        <f>-'costo de produccion'!B15</f>
        <v>-9822.5</v>
      </c>
      <c r="F18" s="103">
        <f>-'costo de produccion'!C15</f>
        <v>-9822.5</v>
      </c>
      <c r="G18" s="103">
        <f>-'costo de produccion'!D15</f>
        <v>-9822.5</v>
      </c>
      <c r="H18" s="103">
        <f>-'costo de produccion'!E15</f>
        <v>-7858</v>
      </c>
      <c r="I18" s="103">
        <f>-'costo de produccion'!F15</f>
        <v>-7858</v>
      </c>
    </row>
    <row r="19" spans="3:9" x14ac:dyDescent="0.2">
      <c r="C19" s="97" t="s">
        <v>147</v>
      </c>
      <c r="D19" s="97"/>
      <c r="E19" s="97">
        <f>-'Manten Cent Acopio'!K4</f>
        <v>-1480</v>
      </c>
      <c r="F19" s="97">
        <f>-'Manten Cent Acopio'!$H$14</f>
        <v>-1480</v>
      </c>
      <c r="G19" s="97">
        <f>-'Manten Cent Acopio'!$H$14</f>
        <v>-1480</v>
      </c>
      <c r="H19" s="97">
        <f>-'Manten Cent Acopio'!K7</f>
        <v>-1184</v>
      </c>
      <c r="I19" s="97">
        <f>-'Manten Cent Acopio'!K8</f>
        <v>-1184</v>
      </c>
    </row>
    <row r="20" spans="3:9" x14ac:dyDescent="0.2">
      <c r="C20" s="97" t="s">
        <v>148</v>
      </c>
      <c r="D20" s="97"/>
      <c r="E20" s="97">
        <v>-600</v>
      </c>
      <c r="F20" s="97">
        <v>-600</v>
      </c>
      <c r="G20" s="97">
        <v>-600</v>
      </c>
      <c r="H20" s="97">
        <v>-240</v>
      </c>
      <c r="I20" s="97">
        <v>-240</v>
      </c>
    </row>
    <row r="21" spans="3:9" x14ac:dyDescent="0.2">
      <c r="C21" s="104" t="s">
        <v>101</v>
      </c>
      <c r="D21" s="105">
        <f t="shared" ref="D21:I21" si="1">SUM(D15:D20)</f>
        <v>-38822.5</v>
      </c>
      <c r="E21" s="105">
        <f t="shared" si="1"/>
        <v>48697.5</v>
      </c>
      <c r="F21" s="105">
        <f t="shared" si="1"/>
        <v>48697.5</v>
      </c>
      <c r="G21" s="105">
        <f t="shared" si="1"/>
        <v>50662</v>
      </c>
      <c r="H21" s="105">
        <f t="shared" si="1"/>
        <v>39198</v>
      </c>
      <c r="I21" s="105">
        <f t="shared" si="1"/>
        <v>50806</v>
      </c>
    </row>
    <row r="22" spans="3:9" x14ac:dyDescent="0.2">
      <c r="C22" s="101" t="s">
        <v>175</v>
      </c>
      <c r="D22" s="106"/>
      <c r="E22" s="106"/>
      <c r="F22" s="106"/>
      <c r="G22" s="106"/>
      <c r="H22" s="106"/>
      <c r="I22" s="106"/>
    </row>
    <row r="23" spans="3:9" x14ac:dyDescent="0.2">
      <c r="C23" s="97" t="s">
        <v>102</v>
      </c>
      <c r="D23" s="85">
        <f>deuda!C3</f>
        <v>11646.75</v>
      </c>
      <c r="E23" s="4"/>
      <c r="F23" s="4"/>
      <c r="G23" s="4"/>
      <c r="H23" s="4"/>
      <c r="I23" s="4"/>
    </row>
    <row r="24" spans="3:9" x14ac:dyDescent="0.2">
      <c r="C24" s="97" t="s">
        <v>156</v>
      </c>
      <c r="D24" s="4"/>
      <c r="E24" s="107">
        <f>-deuda!$E$10</f>
        <v>-3882.25</v>
      </c>
      <c r="F24" s="107">
        <f>-deuda!$E$10</f>
        <v>-3882.25</v>
      </c>
      <c r="G24" s="107">
        <f>-deuda!$E$10</f>
        <v>-3882.25</v>
      </c>
      <c r="H24" s="4"/>
      <c r="I24" s="4"/>
    </row>
    <row r="25" spans="3:9" x14ac:dyDescent="0.2">
      <c r="C25" s="97" t="s">
        <v>103</v>
      </c>
      <c r="D25" s="4"/>
      <c r="E25" s="85">
        <f>-deuda!D10</f>
        <v>-1356.9029126213586</v>
      </c>
      <c r="F25" s="85">
        <f>-deuda!D11</f>
        <v>-904.60194174757237</v>
      </c>
      <c r="G25" s="85">
        <f>-deuda!D12</f>
        <v>-452.30097087378618</v>
      </c>
      <c r="H25" s="4"/>
      <c r="I25" s="4"/>
    </row>
    <row r="26" spans="3:9" x14ac:dyDescent="0.2">
      <c r="C26" s="236" t="s">
        <v>183</v>
      </c>
      <c r="D26" s="136"/>
      <c r="E26" s="237">
        <v>0</v>
      </c>
      <c r="F26" s="237">
        <v>0</v>
      </c>
      <c r="G26" s="237">
        <v>0</v>
      </c>
      <c r="H26" s="136"/>
      <c r="I26" s="136"/>
    </row>
    <row r="27" spans="3:9" ht="15.75" thickBot="1" x14ac:dyDescent="0.3">
      <c r="C27" s="108" t="s">
        <v>104</v>
      </c>
      <c r="D27" s="109">
        <f>SUM(D23:D25)</f>
        <v>11646.75</v>
      </c>
      <c r="E27" s="109">
        <f>SUM(E23:E25)</f>
        <v>-5239.1529126213591</v>
      </c>
      <c r="F27" s="109">
        <f>SUM(F23:F25)</f>
        <v>-4786.8519417475727</v>
      </c>
      <c r="G27" s="109">
        <f>SUM(G23:G25)</f>
        <v>-4334.5509708737864</v>
      </c>
      <c r="H27" s="110"/>
      <c r="I27" s="110"/>
    </row>
    <row r="28" spans="3:9" ht="15.75" thickBot="1" x14ac:dyDescent="0.3">
      <c r="C28" s="111" t="s">
        <v>105</v>
      </c>
      <c r="D28" s="94">
        <f t="shared" ref="D28:I28" si="2">D21+D27</f>
        <v>-27175.75</v>
      </c>
      <c r="E28" s="94">
        <f t="shared" si="2"/>
        <v>43458.347087378643</v>
      </c>
      <c r="F28" s="94">
        <f t="shared" si="2"/>
        <v>43910.648058252424</v>
      </c>
      <c r="G28" s="94">
        <f t="shared" si="2"/>
        <v>46327.449029126212</v>
      </c>
      <c r="H28" s="94">
        <f t="shared" si="2"/>
        <v>39198</v>
      </c>
      <c r="I28" s="94">
        <f t="shared" si="2"/>
        <v>50806</v>
      </c>
    </row>
    <row r="29" spans="3:9" ht="13.5" thickBot="1" x14ac:dyDescent="0.25">
      <c r="C29" s="238" t="s">
        <v>181</v>
      </c>
    </row>
    <row r="30" spans="3:9" ht="13.5" thickBot="1" x14ac:dyDescent="0.25">
      <c r="C30" s="239" t="s">
        <v>182</v>
      </c>
      <c r="D30" s="240">
        <f t="shared" ref="D30:I30" si="3">D21+D26</f>
        <v>-38822.5</v>
      </c>
      <c r="E30" s="240">
        <f t="shared" si="3"/>
        <v>48697.5</v>
      </c>
      <c r="F30" s="240">
        <f t="shared" si="3"/>
        <v>48697.5</v>
      </c>
      <c r="G30" s="240">
        <f t="shared" si="3"/>
        <v>50662</v>
      </c>
      <c r="H30" s="240">
        <f t="shared" si="3"/>
        <v>39198</v>
      </c>
      <c r="I30" s="241">
        <f t="shared" si="3"/>
        <v>50806</v>
      </c>
    </row>
    <row r="32" spans="3:9" x14ac:dyDescent="0.2">
      <c r="C32" t="s">
        <v>180</v>
      </c>
      <c r="D32">
        <f>'costo de produccion'!D8</f>
        <v>9822.5</v>
      </c>
    </row>
    <row r="33" spans="3:4" x14ac:dyDescent="0.2">
      <c r="C33" t="s">
        <v>178</v>
      </c>
      <c r="D33">
        <f>'costo de produccion'!D9</f>
        <v>7858</v>
      </c>
    </row>
    <row r="34" spans="3:4" x14ac:dyDescent="0.2">
      <c r="C34" t="s">
        <v>179</v>
      </c>
      <c r="D34" s="235">
        <f>D32-D33</f>
        <v>1964.5</v>
      </c>
    </row>
  </sheetData>
  <mergeCells count="5">
    <mergeCell ref="C5:I5"/>
    <mergeCell ref="C7:C8"/>
    <mergeCell ref="D7:D8"/>
    <mergeCell ref="E7:I7"/>
    <mergeCell ref="C9:I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63"/>
  <sheetViews>
    <sheetView topLeftCell="A36" workbookViewId="0">
      <selection activeCell="F44" sqref="F44"/>
    </sheetView>
  </sheetViews>
  <sheetFormatPr baseColWidth="10" defaultRowHeight="12" x14ac:dyDescent="0.2"/>
  <cols>
    <col min="1" max="1" width="4.28515625" style="118" customWidth="1"/>
    <col min="2" max="2" width="22" style="118" customWidth="1"/>
    <col min="3" max="3" width="19" style="118" customWidth="1"/>
    <col min="4" max="4" width="13.28515625" style="118" customWidth="1"/>
    <col min="5" max="5" width="8.85546875" style="118" hidden="1" customWidth="1"/>
    <col min="6" max="6" width="13.140625" style="118" customWidth="1"/>
    <col min="7" max="7" width="12.28515625" style="118" bestFit="1" customWidth="1"/>
    <col min="8" max="16384" width="11.42578125" style="118"/>
  </cols>
  <sheetData>
    <row r="1" spans="1:8" ht="14.25" x14ac:dyDescent="0.2">
      <c r="A1" s="117"/>
      <c r="B1" s="117"/>
      <c r="C1" s="117"/>
      <c r="D1" s="117"/>
      <c r="E1" s="117"/>
      <c r="F1" s="117"/>
      <c r="G1" s="117"/>
      <c r="H1" s="117"/>
    </row>
    <row r="2" spans="1:8" ht="14.25" x14ac:dyDescent="0.2">
      <c r="A2" s="117"/>
      <c r="B2" s="119" t="s">
        <v>143</v>
      </c>
      <c r="C2" s="117"/>
      <c r="D2" s="117"/>
      <c r="E2" s="117"/>
      <c r="F2" s="117"/>
      <c r="G2" s="117"/>
      <c r="H2" s="117"/>
    </row>
    <row r="3" spans="1:8" ht="14.25" x14ac:dyDescent="0.2">
      <c r="A3" s="117"/>
      <c r="B3" s="117" t="s">
        <v>117</v>
      </c>
      <c r="C3" s="117"/>
      <c r="D3" s="134">
        <v>5.1700000000000003E-2</v>
      </c>
      <c r="E3" s="117"/>
      <c r="F3" s="117"/>
      <c r="G3" s="117"/>
      <c r="H3" s="117"/>
    </row>
    <row r="4" spans="1:8" ht="14.25" x14ac:dyDescent="0.2">
      <c r="A4" s="117"/>
      <c r="B4" s="117" t="s">
        <v>118</v>
      </c>
      <c r="C4" s="117"/>
      <c r="D4" s="134">
        <v>7.8E-2</v>
      </c>
      <c r="E4" s="117"/>
      <c r="F4" s="117"/>
      <c r="G4" s="117"/>
      <c r="H4" s="117"/>
    </row>
    <row r="5" spans="1:8" ht="14.25" x14ac:dyDescent="0.2">
      <c r="A5" s="117"/>
      <c r="B5" s="117" t="s">
        <v>119</v>
      </c>
      <c r="C5" s="117"/>
      <c r="D5" s="124">
        <f>D4-D3</f>
        <v>2.6299999999999997E-2</v>
      </c>
      <c r="E5" s="117"/>
      <c r="F5" s="117"/>
      <c r="G5" s="117"/>
      <c r="H5" s="117"/>
    </row>
    <row r="6" spans="1:8" ht="14.25" x14ac:dyDescent="0.2">
      <c r="A6" s="117"/>
      <c r="B6" s="117" t="s">
        <v>120</v>
      </c>
      <c r="C6" s="117"/>
      <c r="D6" s="134">
        <v>1.7000000000000001E-2</v>
      </c>
      <c r="E6" s="117"/>
      <c r="F6" s="117"/>
      <c r="G6" s="117"/>
      <c r="H6" s="117"/>
    </row>
    <row r="7" spans="1:8" ht="14.25" x14ac:dyDescent="0.2">
      <c r="A7" s="117"/>
      <c r="B7" s="117" t="s">
        <v>121</v>
      </c>
      <c r="C7" s="117"/>
      <c r="D7" s="122">
        <v>1.1599999999999999</v>
      </c>
      <c r="E7" s="117"/>
      <c r="F7" s="117"/>
      <c r="G7" s="117"/>
      <c r="H7" s="117"/>
    </row>
    <row r="8" spans="1:8" ht="14.25" x14ac:dyDescent="0.2">
      <c r="A8" s="117"/>
      <c r="B8" s="117" t="s">
        <v>122</v>
      </c>
      <c r="C8" s="117"/>
      <c r="D8" s="124">
        <v>0.13150000000000001</v>
      </c>
      <c r="E8" s="117"/>
      <c r="F8" s="117"/>
      <c r="G8" s="117"/>
      <c r="H8" s="117"/>
    </row>
    <row r="9" spans="1:8" ht="14.25" x14ac:dyDescent="0.2">
      <c r="A9" s="117"/>
      <c r="B9" s="117" t="s">
        <v>123</v>
      </c>
      <c r="C9" s="117"/>
      <c r="D9" s="124">
        <v>0.1923</v>
      </c>
      <c r="E9" s="117"/>
      <c r="F9" s="117"/>
      <c r="G9" s="117"/>
      <c r="H9" s="117"/>
    </row>
    <row r="10" spans="1:8" ht="14.25" x14ac:dyDescent="0.2">
      <c r="A10" s="117"/>
      <c r="B10" s="117" t="s">
        <v>124</v>
      </c>
      <c r="C10" s="117"/>
      <c r="D10" s="122">
        <f>D7*(1/(1+(1-D9)*(D8)))</f>
        <v>1.0486230697708139</v>
      </c>
      <c r="E10" s="117"/>
      <c r="F10" s="117"/>
      <c r="G10" s="117"/>
      <c r="H10" s="117"/>
    </row>
    <row r="11" spans="1:8" ht="14.25" x14ac:dyDescent="0.2">
      <c r="A11" s="117"/>
      <c r="B11" s="117"/>
      <c r="C11" s="117"/>
      <c r="D11" s="117"/>
      <c r="E11" s="117"/>
      <c r="F11" s="117"/>
      <c r="G11" s="117"/>
      <c r="H11" s="117"/>
    </row>
    <row r="12" spans="1:8" ht="14.25" x14ac:dyDescent="0.2">
      <c r="A12" s="117"/>
      <c r="B12" s="125" t="s">
        <v>125</v>
      </c>
      <c r="C12" s="126"/>
      <c r="D12" s="245">
        <f>+D3+(D10*D5)+D6</f>
        <v>9.6278786734972407E-2</v>
      </c>
      <c r="E12" s="117"/>
      <c r="F12" s="117"/>
      <c r="G12" s="117"/>
      <c r="H12" s="117"/>
    </row>
    <row r="13" spans="1:8" ht="14.25" x14ac:dyDescent="0.2">
      <c r="A13" s="117"/>
      <c r="B13" s="117"/>
      <c r="C13" s="117"/>
      <c r="D13" s="117"/>
      <c r="E13" s="117"/>
      <c r="F13" s="123"/>
      <c r="G13" s="117"/>
      <c r="H13" s="117"/>
    </row>
    <row r="14" spans="1:8" ht="14.25" x14ac:dyDescent="0.2">
      <c r="A14" s="117"/>
      <c r="B14" s="119" t="s">
        <v>144</v>
      </c>
      <c r="C14" s="117"/>
      <c r="D14" s="117"/>
      <c r="E14" s="117"/>
      <c r="F14" s="117"/>
      <c r="G14" s="117"/>
      <c r="H14" s="117"/>
    </row>
    <row r="15" spans="1:8" ht="14.25" x14ac:dyDescent="0.2">
      <c r="A15" s="117"/>
      <c r="B15" s="117" t="s">
        <v>117</v>
      </c>
      <c r="C15" s="117"/>
      <c r="D15" s="124">
        <f>+D3</f>
        <v>5.1700000000000003E-2</v>
      </c>
      <c r="E15" s="117"/>
      <c r="F15" s="117"/>
      <c r="G15" s="117"/>
      <c r="H15" s="117"/>
    </row>
    <row r="16" spans="1:8" ht="14.25" x14ac:dyDescent="0.2">
      <c r="A16" s="117"/>
      <c r="B16" s="117" t="s">
        <v>119</v>
      </c>
      <c r="C16" s="117"/>
      <c r="D16" s="124">
        <f>+D5</f>
        <v>2.6299999999999997E-2</v>
      </c>
      <c r="E16" s="117"/>
      <c r="F16" s="117"/>
      <c r="G16" s="117"/>
      <c r="H16" s="117"/>
    </row>
    <row r="17" spans="1:8" ht="14.25" x14ac:dyDescent="0.2">
      <c r="A17" s="117"/>
      <c r="B17" s="117" t="s">
        <v>120</v>
      </c>
      <c r="C17" s="117"/>
      <c r="D17" s="124">
        <f>+D6</f>
        <v>1.7000000000000001E-2</v>
      </c>
      <c r="E17" s="117"/>
      <c r="F17" s="117"/>
      <c r="G17" s="117"/>
      <c r="H17" s="117"/>
    </row>
    <row r="18" spans="1:8" ht="14.25" x14ac:dyDescent="0.2">
      <c r="A18" s="117"/>
      <c r="B18" s="117" t="s">
        <v>124</v>
      </c>
      <c r="C18" s="117"/>
      <c r="D18" s="117">
        <f>+D10</f>
        <v>1.0486230697708139</v>
      </c>
      <c r="E18" s="117"/>
      <c r="F18" s="117"/>
      <c r="G18" s="117"/>
      <c r="H18" s="117"/>
    </row>
    <row r="19" spans="1:8" ht="14.25" x14ac:dyDescent="0.2">
      <c r="A19" s="117"/>
      <c r="B19" s="117" t="s">
        <v>122</v>
      </c>
      <c r="C19" s="117"/>
      <c r="D19" s="117">
        <f>0.3/0.7</f>
        <v>0.4285714285714286</v>
      </c>
      <c r="E19" s="117"/>
      <c r="F19" s="117"/>
      <c r="G19" s="117"/>
      <c r="H19" s="117"/>
    </row>
    <row r="20" spans="1:8" ht="14.25" x14ac:dyDescent="0.2">
      <c r="A20" s="117"/>
      <c r="B20" s="117" t="s">
        <v>123</v>
      </c>
      <c r="C20" s="117"/>
      <c r="D20" s="198">
        <v>0</v>
      </c>
      <c r="E20" s="128" t="s">
        <v>171</v>
      </c>
      <c r="F20" s="197"/>
      <c r="G20" s="117"/>
      <c r="H20" s="117"/>
    </row>
    <row r="21" spans="1:8" ht="14.25" x14ac:dyDescent="0.2">
      <c r="A21" s="117"/>
      <c r="B21" s="117" t="s">
        <v>126</v>
      </c>
      <c r="C21" s="117"/>
      <c r="D21" s="126">
        <f>+D18*((1+(D19)*(1-D20)))</f>
        <v>1.4980329568154485</v>
      </c>
      <c r="E21" s="128"/>
      <c r="F21" s="197"/>
      <c r="G21" s="117"/>
      <c r="H21" s="117"/>
    </row>
    <row r="22" spans="1:8" ht="14.25" x14ac:dyDescent="0.2">
      <c r="A22" s="117"/>
      <c r="B22" s="117"/>
      <c r="C22" s="117"/>
      <c r="D22" s="117"/>
      <c r="E22" s="128"/>
      <c r="F22" s="197"/>
      <c r="G22" s="117"/>
      <c r="H22" s="117"/>
    </row>
    <row r="23" spans="1:8" ht="14.25" x14ac:dyDescent="0.2">
      <c r="A23" s="117"/>
      <c r="B23" s="125" t="s">
        <v>127</v>
      </c>
      <c r="C23" s="126"/>
      <c r="D23" s="127">
        <f>+D15+(D21*D16)+D17</f>
        <v>0.10809826676424629</v>
      </c>
      <c r="E23" s="128"/>
      <c r="F23" s="197"/>
      <c r="G23" s="117"/>
      <c r="H23" s="117"/>
    </row>
    <row r="24" spans="1:8" ht="14.25" x14ac:dyDescent="0.2">
      <c r="A24" s="117"/>
      <c r="B24" s="117"/>
      <c r="C24" s="117"/>
      <c r="D24" s="117"/>
      <c r="E24" s="128"/>
      <c r="F24" s="197"/>
      <c r="G24" s="117"/>
      <c r="H24" s="117"/>
    </row>
    <row r="25" spans="1:8" ht="14.25" x14ac:dyDescent="0.2">
      <c r="A25" s="117"/>
      <c r="B25" s="119" t="s">
        <v>128</v>
      </c>
      <c r="C25" s="117"/>
      <c r="D25" s="117"/>
      <c r="E25" s="128"/>
      <c r="F25" s="197"/>
      <c r="G25" s="117"/>
      <c r="H25" s="117"/>
    </row>
    <row r="26" spans="1:8" ht="14.25" x14ac:dyDescent="0.2">
      <c r="A26" s="117"/>
      <c r="B26" s="117" t="s">
        <v>129</v>
      </c>
      <c r="C26" s="117"/>
      <c r="D26" s="229">
        <f>INVERSION!C22</f>
        <v>11646.75</v>
      </c>
      <c r="E26" s="128" t="s">
        <v>130</v>
      </c>
      <c r="F26" s="197">
        <f>+D26/D28</f>
        <v>0.3</v>
      </c>
      <c r="G26" s="117"/>
      <c r="H26" s="117"/>
    </row>
    <row r="27" spans="1:8" ht="14.25" x14ac:dyDescent="0.2">
      <c r="A27" s="117"/>
      <c r="B27" s="117" t="s">
        <v>131</v>
      </c>
      <c r="C27" s="117"/>
      <c r="D27" s="229">
        <f>INVERSION!C21</f>
        <v>27175.75</v>
      </c>
      <c r="E27" s="128" t="s">
        <v>132</v>
      </c>
      <c r="F27" s="197">
        <f>+D27/D28</f>
        <v>0.7</v>
      </c>
      <c r="G27" s="117"/>
      <c r="H27" s="117"/>
    </row>
    <row r="28" spans="1:8" ht="14.25" x14ac:dyDescent="0.2">
      <c r="A28" s="117"/>
      <c r="B28" s="117" t="s">
        <v>133</v>
      </c>
      <c r="C28" s="117"/>
      <c r="D28" s="229">
        <f>+D26+D27</f>
        <v>38822.5</v>
      </c>
      <c r="E28" s="117"/>
      <c r="F28" s="117"/>
      <c r="G28" s="117"/>
      <c r="H28" s="117"/>
    </row>
    <row r="29" spans="1:8" ht="14.25" x14ac:dyDescent="0.2">
      <c r="A29" s="117"/>
      <c r="B29" s="117" t="s">
        <v>145</v>
      </c>
      <c r="C29" s="117"/>
      <c r="D29" s="127">
        <f>D23</f>
        <v>0.10809826676424629</v>
      </c>
      <c r="E29" s="117"/>
      <c r="F29" s="117"/>
      <c r="G29" s="117"/>
      <c r="H29" s="117"/>
    </row>
    <row r="30" spans="1:8" ht="14.25" x14ac:dyDescent="0.2">
      <c r="A30" s="117"/>
      <c r="B30" s="117" t="s">
        <v>146</v>
      </c>
      <c r="C30" s="117"/>
      <c r="D30" s="121">
        <f>deuda!C4</f>
        <v>0.15</v>
      </c>
      <c r="E30" s="117"/>
      <c r="F30" s="117"/>
      <c r="G30" s="117"/>
      <c r="H30" s="117"/>
    </row>
    <row r="31" spans="1:8" ht="14.25" x14ac:dyDescent="0.2">
      <c r="A31" s="117"/>
      <c r="B31" s="117" t="s">
        <v>134</v>
      </c>
      <c r="C31" s="117"/>
      <c r="D31" s="127">
        <v>0.3</v>
      </c>
      <c r="E31" s="117"/>
      <c r="F31" s="117"/>
      <c r="G31" s="117"/>
      <c r="H31" s="117"/>
    </row>
    <row r="32" spans="1:8" ht="14.25" x14ac:dyDescent="0.2">
      <c r="A32" s="117"/>
      <c r="B32" s="117"/>
      <c r="C32" s="117"/>
      <c r="D32" s="117"/>
      <c r="E32" s="117"/>
      <c r="F32" s="117"/>
      <c r="G32" s="117"/>
      <c r="H32" s="117"/>
    </row>
    <row r="33" spans="1:8" ht="14.25" x14ac:dyDescent="0.2">
      <c r="A33" s="117"/>
      <c r="B33" s="117"/>
      <c r="C33" s="117"/>
      <c r="D33" s="117"/>
      <c r="E33" s="117"/>
      <c r="F33" s="117"/>
      <c r="G33" s="117"/>
      <c r="H33" s="117"/>
    </row>
    <row r="34" spans="1:8" ht="14.25" x14ac:dyDescent="0.2">
      <c r="A34" s="117"/>
      <c r="B34" s="125" t="s">
        <v>135</v>
      </c>
      <c r="C34" s="125"/>
      <c r="D34" s="129">
        <f>+(F27*D29)+(F26*D30)</f>
        <v>0.1206687867349724</v>
      </c>
      <c r="E34" s="117"/>
      <c r="F34" s="130"/>
      <c r="G34" s="117"/>
      <c r="H34" s="117"/>
    </row>
    <row r="35" spans="1:8" ht="14.25" x14ac:dyDescent="0.2">
      <c r="A35" s="117"/>
      <c r="B35" s="117"/>
      <c r="C35" s="117"/>
      <c r="D35" s="130"/>
      <c r="E35" s="117"/>
      <c r="F35" s="130"/>
      <c r="G35" s="117"/>
      <c r="H35" s="117"/>
    </row>
    <row r="36" spans="1:8" ht="14.25" x14ac:dyDescent="0.2">
      <c r="A36" s="117"/>
      <c r="B36" s="119" t="s">
        <v>136</v>
      </c>
      <c r="C36" s="117"/>
      <c r="D36" s="117"/>
      <c r="E36" s="117"/>
      <c r="F36" s="117"/>
      <c r="G36" s="117"/>
      <c r="H36" s="117"/>
    </row>
    <row r="37" spans="1:8" ht="14.25" x14ac:dyDescent="0.2">
      <c r="A37" s="117"/>
      <c r="B37" s="117" t="s">
        <v>137</v>
      </c>
      <c r="C37" s="117"/>
      <c r="D37" s="120">
        <f>+D12</f>
        <v>9.6278786734972407E-2</v>
      </c>
      <c r="E37" s="117"/>
      <c r="F37" s="117"/>
      <c r="G37" s="117"/>
      <c r="H37" s="117"/>
    </row>
    <row r="38" spans="1:8" ht="14.25" x14ac:dyDescent="0.2">
      <c r="A38" s="117"/>
      <c r="B38" s="117" t="s">
        <v>138</v>
      </c>
      <c r="C38" s="117"/>
      <c r="D38" s="120">
        <v>0.03</v>
      </c>
      <c r="E38" s="117"/>
      <c r="F38" s="117"/>
      <c r="G38" s="117"/>
      <c r="H38" s="117"/>
    </row>
    <row r="39" spans="1:8" ht="14.25" x14ac:dyDescent="0.2">
      <c r="A39" s="117"/>
      <c r="B39" s="117" t="s">
        <v>139</v>
      </c>
      <c r="C39" s="117"/>
      <c r="D39" s="120">
        <f>+((1+D37)/(1+D38)-1)</f>
        <v>6.4348336635895453E-2</v>
      </c>
      <c r="E39" s="117"/>
      <c r="F39" s="117"/>
      <c r="G39" s="117"/>
      <c r="H39" s="117"/>
    </row>
    <row r="40" spans="1:8" ht="14.25" x14ac:dyDescent="0.2">
      <c r="A40" s="117"/>
      <c r="B40" s="117" t="s">
        <v>140</v>
      </c>
      <c r="C40" s="117"/>
      <c r="D40" s="133">
        <f>NPV(D39,'FLUJO DE CAJA'!E21:I21)+'FLUJO DE CAJA'!D21</f>
        <v>159675.80255280191</v>
      </c>
      <c r="E40" s="199"/>
      <c r="F40" s="199"/>
      <c r="G40" s="199"/>
      <c r="H40" s="117"/>
    </row>
    <row r="41" spans="1:8" ht="14.25" x14ac:dyDescent="0.2">
      <c r="A41" s="117"/>
      <c r="B41" s="117" t="s">
        <v>141</v>
      </c>
      <c r="C41" s="117"/>
      <c r="D41" s="142">
        <f>IRR('FLUJO DE CAJA'!D21:I21)</f>
        <v>1.2260389185643037</v>
      </c>
      <c r="E41" s="199"/>
      <c r="F41" s="242"/>
      <c r="G41" s="199"/>
      <c r="H41" s="117"/>
    </row>
    <row r="42" spans="1:8" ht="14.25" x14ac:dyDescent="0.2">
      <c r="A42" s="117"/>
      <c r="B42" s="117"/>
      <c r="C42" s="117"/>
      <c r="D42" s="131"/>
      <c r="E42" s="199"/>
      <c r="F42" s="199"/>
      <c r="G42" s="199"/>
      <c r="H42" s="117"/>
    </row>
    <row r="43" spans="1:8" ht="14.25" x14ac:dyDescent="0.2">
      <c r="A43" s="117"/>
      <c r="B43" s="119" t="s">
        <v>142</v>
      </c>
      <c r="C43" s="117"/>
      <c r="D43" s="131"/>
      <c r="E43" s="117"/>
      <c r="F43" s="117"/>
      <c r="G43" s="117"/>
      <c r="H43" s="117"/>
    </row>
    <row r="44" spans="1:8" ht="14.25" x14ac:dyDescent="0.2">
      <c r="A44" s="117"/>
      <c r="B44" s="117"/>
      <c r="C44" s="117"/>
      <c r="D44" s="132"/>
      <c r="E44" s="117"/>
      <c r="F44" s="117"/>
      <c r="G44" s="117"/>
      <c r="H44" s="117"/>
    </row>
    <row r="45" spans="1:8" ht="14.25" x14ac:dyDescent="0.2">
      <c r="A45" s="117"/>
      <c r="B45" s="117" t="s">
        <v>184</v>
      </c>
      <c r="C45" s="117"/>
      <c r="D45" s="121">
        <f>D34</f>
        <v>0.1206687867349724</v>
      </c>
      <c r="E45" s="117"/>
      <c r="F45" s="117"/>
      <c r="G45" s="117"/>
      <c r="H45" s="117"/>
    </row>
    <row r="46" spans="1:8" ht="14.25" x14ac:dyDescent="0.2">
      <c r="A46" s="117"/>
      <c r="B46" s="117" t="s">
        <v>185</v>
      </c>
      <c r="C46" s="117"/>
      <c r="D46" s="243">
        <f>((1+D45)/(1+D38))-1</f>
        <v>8.8027948286381053E-2</v>
      </c>
      <c r="E46" s="200"/>
      <c r="F46" s="200"/>
      <c r="G46" s="200"/>
      <c r="H46" s="117"/>
    </row>
    <row r="47" spans="1:8" ht="14.25" x14ac:dyDescent="0.2">
      <c r="A47" s="117"/>
      <c r="B47" s="117"/>
      <c r="C47" s="117"/>
      <c r="D47" s="142"/>
      <c r="E47" s="200"/>
      <c r="F47" s="200"/>
      <c r="G47" s="200"/>
      <c r="H47" s="117"/>
    </row>
    <row r="48" spans="1:8" ht="14.25" x14ac:dyDescent="0.2">
      <c r="A48" s="117"/>
      <c r="B48" s="117" t="s">
        <v>186</v>
      </c>
      <c r="C48" s="117"/>
      <c r="D48" s="229">
        <f>NPV(D46,'FLUJO DE CAJA'!E21:I21)+'FLUJO DE CAJA'!D21</f>
        <v>147696.44300330771</v>
      </c>
      <c r="E48" s="117"/>
      <c r="F48" s="117"/>
      <c r="G48" s="117"/>
      <c r="H48" s="117"/>
    </row>
    <row r="49" spans="1:8" ht="14.25" x14ac:dyDescent="0.2">
      <c r="A49" s="117"/>
      <c r="B49" s="117"/>
      <c r="C49" s="117"/>
      <c r="D49" s="117"/>
      <c r="E49" s="117"/>
      <c r="F49" s="117"/>
      <c r="G49" s="117"/>
      <c r="H49" s="117"/>
    </row>
    <row r="50" spans="1:8" ht="14.25" x14ac:dyDescent="0.2">
      <c r="A50" s="117"/>
      <c r="B50" s="117" t="s">
        <v>187</v>
      </c>
      <c r="C50" s="117"/>
      <c r="D50" s="121">
        <f>IRR('FLUJO DE CAJA'!D30:I30)</f>
        <v>1.2260389185643037</v>
      </c>
      <c r="E50" s="117"/>
      <c r="F50" s="121"/>
      <c r="G50" s="117"/>
      <c r="H50" s="117"/>
    </row>
    <row r="51" spans="1:8" ht="14.25" x14ac:dyDescent="0.2">
      <c r="A51" s="117"/>
      <c r="B51" s="117" t="s">
        <v>187</v>
      </c>
      <c r="C51" s="117"/>
      <c r="D51" s="121">
        <f>IRR('FLUJO DE CAJA'!D28:I28)</f>
        <v>1.5973473121487842</v>
      </c>
      <c r="E51" s="117"/>
      <c r="F51" s="117"/>
      <c r="G51" s="117"/>
      <c r="H51" s="117"/>
    </row>
    <row r="52" spans="1:8" ht="14.25" x14ac:dyDescent="0.2">
      <c r="A52" s="117"/>
      <c r="B52" s="117"/>
      <c r="C52" s="117"/>
      <c r="D52" s="117"/>
      <c r="E52" s="117"/>
      <c r="F52" s="117"/>
      <c r="G52" s="117"/>
      <c r="H52" s="117"/>
    </row>
    <row r="53" spans="1:8" ht="14.25" x14ac:dyDescent="0.2">
      <c r="A53" s="117"/>
      <c r="B53" s="117"/>
      <c r="C53" s="117"/>
      <c r="D53" s="117"/>
      <c r="E53" s="117"/>
      <c r="F53" s="117"/>
      <c r="G53" s="117"/>
      <c r="H53" s="117"/>
    </row>
    <row r="54" spans="1:8" ht="14.25" x14ac:dyDescent="0.2">
      <c r="A54" s="117"/>
      <c r="B54" s="117"/>
      <c r="C54" s="117"/>
      <c r="D54" s="117"/>
      <c r="E54" s="117"/>
      <c r="F54" s="117"/>
      <c r="G54" s="117"/>
      <c r="H54" s="117"/>
    </row>
    <row r="55" spans="1:8" ht="14.25" x14ac:dyDescent="0.2">
      <c r="A55" s="117"/>
      <c r="B55" s="117"/>
      <c r="C55" s="117"/>
      <c r="D55" s="117"/>
      <c r="E55" s="117"/>
      <c r="F55" s="117"/>
      <c r="G55" s="117"/>
      <c r="H55" s="117"/>
    </row>
    <row r="56" spans="1:8" ht="14.25" x14ac:dyDescent="0.2">
      <c r="A56" s="117"/>
      <c r="B56" s="117"/>
      <c r="C56" s="117"/>
      <c r="D56" s="117"/>
      <c r="E56" s="117"/>
      <c r="F56" s="117"/>
      <c r="G56" s="117"/>
      <c r="H56" s="117"/>
    </row>
    <row r="57" spans="1:8" ht="14.25" x14ac:dyDescent="0.2">
      <c r="A57" s="117"/>
      <c r="B57" s="117"/>
      <c r="C57" s="117"/>
      <c r="D57" s="117"/>
      <c r="E57" s="117"/>
      <c r="F57" s="117"/>
      <c r="G57" s="117"/>
      <c r="H57" s="117"/>
    </row>
    <row r="58" spans="1:8" ht="14.25" x14ac:dyDescent="0.2">
      <c r="A58" s="117"/>
      <c r="B58" s="117"/>
      <c r="C58" s="117"/>
      <c r="D58" s="117"/>
      <c r="E58" s="117"/>
      <c r="F58" s="117"/>
      <c r="G58" s="117"/>
      <c r="H58" s="117"/>
    </row>
    <row r="59" spans="1:8" ht="14.25" x14ac:dyDescent="0.2">
      <c r="A59" s="117"/>
      <c r="B59" s="117"/>
      <c r="C59" s="117"/>
      <c r="D59" s="117"/>
      <c r="E59" s="117"/>
      <c r="F59" s="117"/>
      <c r="G59" s="117"/>
      <c r="H59" s="117"/>
    </row>
    <row r="60" spans="1:8" ht="14.25" x14ac:dyDescent="0.2">
      <c r="A60" s="117"/>
      <c r="B60" s="117"/>
      <c r="C60" s="117"/>
      <c r="D60" s="117"/>
      <c r="E60" s="117"/>
      <c r="F60" s="117"/>
      <c r="G60" s="117"/>
      <c r="H60" s="117"/>
    </row>
    <row r="61" spans="1:8" ht="14.25" x14ac:dyDescent="0.2">
      <c r="A61" s="117"/>
      <c r="B61" s="117"/>
      <c r="C61" s="117"/>
      <c r="D61" s="117"/>
      <c r="E61" s="117"/>
      <c r="F61" s="117"/>
      <c r="G61" s="117"/>
      <c r="H61" s="117"/>
    </row>
    <row r="62" spans="1:8" ht="14.25" x14ac:dyDescent="0.2">
      <c r="A62" s="117"/>
      <c r="B62" s="117"/>
      <c r="C62" s="117"/>
      <c r="D62" s="117"/>
      <c r="E62" s="117"/>
      <c r="F62" s="117"/>
      <c r="G62" s="117"/>
      <c r="H62" s="117"/>
    </row>
    <row r="63" spans="1:8" ht="14.25" x14ac:dyDescent="0.2">
      <c r="A63" s="117"/>
      <c r="B63" s="117"/>
      <c r="C63" s="117"/>
      <c r="D63" s="117"/>
      <c r="E63" s="117"/>
      <c r="F63" s="117"/>
      <c r="G63" s="117"/>
      <c r="H63" s="117"/>
    </row>
    <row r="64" spans="1:8" ht="14.25" x14ac:dyDescent="0.2">
      <c r="A64" s="117"/>
      <c r="B64" s="117"/>
      <c r="C64" s="117"/>
      <c r="D64" s="117"/>
      <c r="E64" s="117"/>
      <c r="F64" s="117"/>
      <c r="G64" s="117"/>
      <c r="H64" s="117"/>
    </row>
    <row r="65" spans="1:8" ht="14.25" x14ac:dyDescent="0.2">
      <c r="A65" s="117"/>
      <c r="B65" s="117"/>
      <c r="C65" s="117"/>
      <c r="D65" s="117"/>
      <c r="E65" s="117"/>
      <c r="F65" s="117"/>
      <c r="G65" s="117"/>
      <c r="H65" s="117"/>
    </row>
    <row r="66" spans="1:8" ht="14.25" x14ac:dyDescent="0.2">
      <c r="A66" s="117"/>
      <c r="B66" s="117"/>
      <c r="C66" s="117"/>
      <c r="D66" s="117"/>
      <c r="E66" s="117"/>
      <c r="F66" s="117"/>
      <c r="G66" s="117"/>
      <c r="H66" s="117"/>
    </row>
    <row r="67" spans="1:8" ht="14.25" x14ac:dyDescent="0.2">
      <c r="A67" s="117"/>
      <c r="B67" s="117"/>
      <c r="C67" s="117"/>
      <c r="D67" s="117"/>
      <c r="E67" s="117"/>
      <c r="F67" s="117"/>
      <c r="G67" s="117"/>
      <c r="H67" s="117"/>
    </row>
    <row r="68" spans="1:8" ht="14.25" x14ac:dyDescent="0.2">
      <c r="A68" s="117"/>
      <c r="B68" s="117"/>
      <c r="C68" s="117"/>
      <c r="D68" s="117"/>
      <c r="E68" s="117"/>
      <c r="F68" s="117"/>
      <c r="G68" s="117"/>
      <c r="H68" s="117"/>
    </row>
    <row r="69" spans="1:8" ht="14.25" x14ac:dyDescent="0.2">
      <c r="A69" s="117"/>
      <c r="B69" s="117"/>
      <c r="C69" s="117"/>
      <c r="D69" s="117"/>
      <c r="E69" s="117"/>
      <c r="F69" s="117"/>
      <c r="G69" s="117"/>
      <c r="H69" s="117"/>
    </row>
    <row r="70" spans="1:8" ht="14.25" x14ac:dyDescent="0.2">
      <c r="A70" s="117"/>
      <c r="B70" s="117"/>
      <c r="C70" s="117"/>
      <c r="D70" s="117"/>
      <c r="E70" s="117"/>
      <c r="F70" s="117"/>
      <c r="G70" s="117"/>
      <c r="H70" s="117"/>
    </row>
    <row r="71" spans="1:8" ht="14.25" x14ac:dyDescent="0.2">
      <c r="A71" s="117"/>
      <c r="B71" s="117"/>
      <c r="C71" s="117"/>
      <c r="D71" s="117"/>
      <c r="E71" s="117"/>
      <c r="F71" s="117"/>
      <c r="G71" s="117"/>
      <c r="H71" s="117"/>
    </row>
    <row r="72" spans="1:8" ht="14.25" x14ac:dyDescent="0.2">
      <c r="A72" s="117"/>
      <c r="B72" s="117"/>
      <c r="C72" s="117"/>
      <c r="D72" s="117"/>
      <c r="E72" s="117"/>
      <c r="F72" s="117"/>
      <c r="G72" s="117"/>
      <c r="H72" s="117"/>
    </row>
    <row r="73" spans="1:8" ht="14.25" x14ac:dyDescent="0.2">
      <c r="A73" s="117"/>
      <c r="B73" s="117"/>
      <c r="C73" s="117"/>
      <c r="D73" s="117"/>
      <c r="E73" s="117"/>
      <c r="F73" s="117"/>
      <c r="G73" s="117"/>
      <c r="H73" s="117"/>
    </row>
    <row r="74" spans="1:8" ht="14.25" x14ac:dyDescent="0.2">
      <c r="A74" s="117"/>
      <c r="B74" s="117"/>
      <c r="C74" s="117"/>
      <c r="D74" s="117"/>
      <c r="E74" s="117"/>
      <c r="F74" s="117"/>
      <c r="G74" s="117"/>
      <c r="H74" s="117"/>
    </row>
    <row r="75" spans="1:8" ht="14.25" x14ac:dyDescent="0.2">
      <c r="A75" s="117"/>
      <c r="B75" s="117"/>
      <c r="C75" s="117"/>
      <c r="D75" s="117"/>
      <c r="E75" s="117"/>
      <c r="F75" s="117"/>
      <c r="G75" s="117"/>
      <c r="H75" s="117"/>
    </row>
    <row r="76" spans="1:8" ht="14.25" x14ac:dyDescent="0.2">
      <c r="A76" s="117"/>
      <c r="B76" s="117"/>
      <c r="C76" s="117"/>
      <c r="D76" s="117"/>
      <c r="E76" s="117"/>
      <c r="F76" s="117"/>
      <c r="G76" s="117"/>
      <c r="H76" s="117"/>
    </row>
    <row r="77" spans="1:8" ht="14.25" x14ac:dyDescent="0.2">
      <c r="A77" s="117"/>
      <c r="B77" s="117"/>
      <c r="C77" s="117"/>
      <c r="D77" s="117"/>
      <c r="E77" s="117"/>
      <c r="F77" s="117"/>
      <c r="G77" s="117"/>
      <c r="H77" s="117"/>
    </row>
    <row r="78" spans="1:8" ht="14.25" x14ac:dyDescent="0.2">
      <c r="A78" s="117"/>
      <c r="B78" s="117"/>
      <c r="C78" s="117"/>
      <c r="D78" s="117"/>
      <c r="E78" s="117"/>
      <c r="F78" s="117"/>
      <c r="G78" s="117"/>
      <c r="H78" s="117"/>
    </row>
    <row r="79" spans="1:8" ht="14.25" x14ac:dyDescent="0.2">
      <c r="A79" s="117"/>
      <c r="B79" s="117"/>
      <c r="C79" s="117"/>
      <c r="D79" s="117"/>
      <c r="E79" s="117"/>
      <c r="F79" s="117"/>
      <c r="G79" s="117"/>
      <c r="H79" s="117"/>
    </row>
    <row r="80" spans="1:8" ht="14.25" x14ac:dyDescent="0.2">
      <c r="A80" s="117"/>
      <c r="B80" s="117"/>
      <c r="C80" s="117"/>
      <c r="D80" s="117"/>
      <c r="E80" s="117"/>
      <c r="F80" s="117"/>
      <c r="G80" s="117"/>
      <c r="H80" s="117"/>
    </row>
    <row r="81" spans="1:8" ht="14.25" x14ac:dyDescent="0.2">
      <c r="A81" s="117"/>
      <c r="B81" s="117"/>
      <c r="C81" s="117"/>
      <c r="D81" s="117"/>
      <c r="E81" s="117"/>
      <c r="F81" s="117"/>
      <c r="G81" s="117"/>
      <c r="H81" s="117"/>
    </row>
    <row r="82" spans="1:8" ht="14.25" x14ac:dyDescent="0.2">
      <c r="A82" s="117"/>
      <c r="B82" s="117"/>
      <c r="C82" s="117"/>
      <c r="D82" s="117"/>
      <c r="E82" s="117"/>
      <c r="F82" s="117"/>
      <c r="G82" s="117"/>
      <c r="H82" s="117"/>
    </row>
    <row r="83" spans="1:8" ht="14.25" x14ac:dyDescent="0.2">
      <c r="A83" s="117"/>
      <c r="B83" s="117"/>
      <c r="C83" s="117"/>
      <c r="D83" s="117"/>
      <c r="E83" s="117"/>
      <c r="F83" s="117"/>
      <c r="G83" s="117"/>
      <c r="H83" s="117"/>
    </row>
    <row r="84" spans="1:8" ht="14.25" x14ac:dyDescent="0.2">
      <c r="A84" s="117"/>
      <c r="B84" s="117"/>
      <c r="C84" s="117"/>
      <c r="D84" s="117"/>
      <c r="E84" s="117"/>
      <c r="F84" s="117"/>
      <c r="G84" s="117"/>
      <c r="H84" s="117"/>
    </row>
    <row r="85" spans="1:8" ht="14.25" x14ac:dyDescent="0.2">
      <c r="A85" s="117"/>
      <c r="B85" s="117"/>
      <c r="C85" s="117"/>
      <c r="D85" s="117"/>
      <c r="E85" s="117"/>
      <c r="F85" s="117"/>
      <c r="G85" s="117"/>
      <c r="H85" s="117"/>
    </row>
    <row r="86" spans="1:8" ht="14.25" x14ac:dyDescent="0.2">
      <c r="A86" s="117"/>
      <c r="B86" s="117"/>
      <c r="C86" s="117"/>
      <c r="D86" s="117"/>
      <c r="E86" s="117"/>
      <c r="F86" s="117"/>
      <c r="G86" s="117"/>
      <c r="H86" s="117"/>
    </row>
    <row r="87" spans="1:8" ht="14.25" x14ac:dyDescent="0.2">
      <c r="A87" s="117"/>
      <c r="B87" s="117"/>
      <c r="C87" s="117"/>
      <c r="D87" s="117"/>
      <c r="E87" s="117"/>
      <c r="F87" s="117"/>
      <c r="G87" s="117"/>
      <c r="H87" s="117"/>
    </row>
    <row r="88" spans="1:8" ht="14.25" x14ac:dyDescent="0.2">
      <c r="A88" s="117"/>
      <c r="B88" s="117"/>
      <c r="C88" s="117"/>
      <c r="D88" s="117"/>
      <c r="E88" s="117"/>
      <c r="F88" s="117"/>
      <c r="G88" s="117"/>
      <c r="H88" s="117"/>
    </row>
    <row r="89" spans="1:8" ht="14.25" x14ac:dyDescent="0.2">
      <c r="A89" s="117"/>
      <c r="B89" s="117"/>
      <c r="C89" s="117"/>
      <c r="D89" s="117"/>
      <c r="E89" s="117"/>
      <c r="F89" s="117"/>
      <c r="G89" s="117"/>
      <c r="H89" s="117"/>
    </row>
    <row r="90" spans="1:8" ht="14.25" x14ac:dyDescent="0.2">
      <c r="A90" s="117"/>
      <c r="B90" s="117"/>
      <c r="C90" s="117"/>
      <c r="D90" s="117"/>
      <c r="E90" s="117"/>
      <c r="F90" s="117"/>
      <c r="G90" s="117"/>
      <c r="H90" s="117"/>
    </row>
    <row r="91" spans="1:8" ht="14.25" x14ac:dyDescent="0.2">
      <c r="A91" s="117"/>
      <c r="B91" s="117"/>
      <c r="C91" s="117"/>
      <c r="D91" s="117"/>
      <c r="E91" s="117"/>
      <c r="F91" s="117"/>
      <c r="G91" s="117"/>
      <c r="H91" s="117"/>
    </row>
    <row r="92" spans="1:8" ht="14.25" x14ac:dyDescent="0.2">
      <c r="A92" s="117"/>
      <c r="B92" s="117"/>
      <c r="C92" s="117"/>
      <c r="D92" s="117"/>
      <c r="E92" s="117"/>
      <c r="F92" s="117"/>
      <c r="G92" s="117"/>
      <c r="H92" s="117"/>
    </row>
    <row r="93" spans="1:8" ht="14.25" x14ac:dyDescent="0.2">
      <c r="A93" s="117"/>
      <c r="B93" s="117"/>
      <c r="C93" s="117"/>
      <c r="D93" s="117"/>
      <c r="E93" s="117"/>
      <c r="F93" s="117"/>
      <c r="G93" s="117"/>
      <c r="H93" s="117"/>
    </row>
    <row r="94" spans="1:8" ht="14.25" x14ac:dyDescent="0.2">
      <c r="A94" s="117"/>
      <c r="B94" s="117"/>
      <c r="C94" s="117"/>
      <c r="D94" s="117"/>
      <c r="E94" s="117"/>
      <c r="F94" s="117"/>
      <c r="G94" s="117"/>
      <c r="H94" s="117"/>
    </row>
    <row r="95" spans="1:8" ht="14.25" x14ac:dyDescent="0.2">
      <c r="A95" s="117"/>
      <c r="B95" s="117"/>
      <c r="C95" s="117"/>
      <c r="D95" s="117"/>
      <c r="E95" s="117"/>
      <c r="F95" s="117"/>
      <c r="G95" s="117"/>
      <c r="H95" s="117"/>
    </row>
    <row r="96" spans="1:8" ht="14.25" x14ac:dyDescent="0.2">
      <c r="A96" s="117"/>
      <c r="B96" s="117"/>
      <c r="C96" s="117"/>
      <c r="D96" s="117"/>
      <c r="E96" s="117"/>
      <c r="F96" s="117"/>
      <c r="G96" s="117"/>
      <c r="H96" s="117"/>
    </row>
    <row r="97" spans="1:8" ht="14.25" x14ac:dyDescent="0.2">
      <c r="A97" s="117"/>
      <c r="B97" s="117"/>
      <c r="C97" s="117"/>
      <c r="D97" s="117"/>
      <c r="E97" s="117"/>
      <c r="F97" s="117"/>
      <c r="G97" s="117"/>
      <c r="H97" s="117"/>
    </row>
    <row r="98" spans="1:8" ht="14.25" x14ac:dyDescent="0.2">
      <c r="A98" s="117"/>
      <c r="B98" s="117"/>
      <c r="C98" s="117"/>
      <c r="D98" s="117"/>
      <c r="E98" s="117"/>
      <c r="F98" s="117"/>
      <c r="G98" s="117"/>
      <c r="H98" s="117"/>
    </row>
    <row r="99" spans="1:8" ht="14.25" x14ac:dyDescent="0.2">
      <c r="A99" s="117"/>
      <c r="B99" s="117"/>
      <c r="C99" s="117"/>
      <c r="D99" s="117"/>
      <c r="E99" s="117"/>
      <c r="F99" s="117"/>
      <c r="G99" s="117"/>
      <c r="H99" s="117"/>
    </row>
    <row r="100" spans="1:8" ht="14.25" x14ac:dyDescent="0.2">
      <c r="A100" s="117"/>
      <c r="B100" s="117"/>
      <c r="C100" s="117"/>
      <c r="D100" s="117"/>
      <c r="E100" s="117"/>
      <c r="F100" s="117"/>
      <c r="G100" s="117"/>
      <c r="H100" s="117"/>
    </row>
    <row r="101" spans="1:8" ht="14.25" x14ac:dyDescent="0.2">
      <c r="A101" s="117"/>
      <c r="B101" s="117"/>
      <c r="C101" s="117"/>
      <c r="D101" s="117"/>
      <c r="E101" s="117"/>
      <c r="F101" s="117"/>
      <c r="G101" s="117"/>
      <c r="H101" s="117"/>
    </row>
    <row r="102" spans="1:8" ht="14.25" x14ac:dyDescent="0.2">
      <c r="A102" s="117"/>
      <c r="B102" s="117"/>
      <c r="C102" s="117"/>
      <c r="D102" s="117"/>
      <c r="E102" s="117"/>
      <c r="F102" s="117"/>
      <c r="G102" s="117"/>
      <c r="H102" s="117"/>
    </row>
    <row r="103" spans="1:8" ht="14.25" x14ac:dyDescent="0.2">
      <c r="A103" s="117"/>
      <c r="B103" s="117"/>
      <c r="C103" s="117"/>
      <c r="D103" s="117"/>
      <c r="E103" s="117"/>
      <c r="F103" s="117"/>
      <c r="G103" s="117"/>
      <c r="H103" s="117"/>
    </row>
    <row r="104" spans="1:8" ht="14.25" x14ac:dyDescent="0.2">
      <c r="A104" s="117"/>
      <c r="B104" s="117"/>
      <c r="C104" s="117"/>
      <c r="D104" s="117"/>
      <c r="E104" s="117"/>
      <c r="F104" s="117"/>
      <c r="G104" s="117"/>
      <c r="H104" s="117"/>
    </row>
    <row r="105" spans="1:8" ht="14.25" x14ac:dyDescent="0.2">
      <c r="A105" s="117"/>
      <c r="B105" s="117"/>
      <c r="C105" s="117"/>
      <c r="D105" s="117"/>
      <c r="E105" s="117"/>
      <c r="F105" s="117"/>
      <c r="G105" s="117"/>
      <c r="H105" s="117"/>
    </row>
    <row r="106" spans="1:8" ht="14.25" x14ac:dyDescent="0.2">
      <c r="A106" s="117"/>
      <c r="B106" s="117"/>
      <c r="C106" s="117"/>
      <c r="D106" s="117"/>
      <c r="E106" s="117"/>
      <c r="F106" s="117"/>
      <c r="G106" s="117"/>
      <c r="H106" s="117"/>
    </row>
    <row r="107" spans="1:8" ht="14.25" x14ac:dyDescent="0.2">
      <c r="A107" s="117"/>
      <c r="B107" s="117"/>
      <c r="C107" s="117"/>
      <c r="D107" s="117"/>
      <c r="E107" s="117"/>
      <c r="F107" s="117"/>
      <c r="G107" s="117"/>
      <c r="H107" s="117"/>
    </row>
    <row r="108" spans="1:8" ht="14.25" x14ac:dyDescent="0.2">
      <c r="A108" s="117"/>
      <c r="B108" s="117"/>
      <c r="C108" s="117"/>
      <c r="D108" s="117"/>
      <c r="E108" s="117"/>
      <c r="F108" s="117"/>
      <c r="G108" s="117"/>
      <c r="H108" s="117"/>
    </row>
    <row r="109" spans="1:8" ht="14.25" x14ac:dyDescent="0.2">
      <c r="A109" s="117"/>
      <c r="B109" s="117"/>
      <c r="C109" s="117"/>
      <c r="D109" s="117"/>
      <c r="E109" s="117"/>
      <c r="F109" s="117"/>
      <c r="G109" s="117"/>
      <c r="H109" s="117"/>
    </row>
    <row r="110" spans="1:8" ht="14.25" x14ac:dyDescent="0.2">
      <c r="A110" s="117"/>
      <c r="B110" s="117"/>
      <c r="C110" s="117"/>
      <c r="D110" s="117"/>
      <c r="E110" s="117"/>
      <c r="F110" s="117"/>
      <c r="G110" s="117"/>
      <c r="H110" s="117"/>
    </row>
    <row r="111" spans="1:8" ht="14.25" x14ac:dyDescent="0.2">
      <c r="A111" s="117"/>
      <c r="B111" s="117"/>
      <c r="C111" s="117"/>
      <c r="D111" s="117"/>
      <c r="E111" s="117"/>
      <c r="F111" s="117"/>
      <c r="G111" s="117"/>
      <c r="H111" s="117"/>
    </row>
    <row r="112" spans="1:8" ht="14.25" x14ac:dyDescent="0.2">
      <c r="A112" s="117"/>
      <c r="B112" s="117"/>
      <c r="C112" s="117"/>
      <c r="D112" s="117"/>
      <c r="E112" s="117"/>
      <c r="F112" s="117"/>
      <c r="G112" s="117"/>
      <c r="H112" s="117"/>
    </row>
    <row r="113" spans="1:8" ht="14.25" x14ac:dyDescent="0.2">
      <c r="A113" s="117"/>
      <c r="B113" s="117"/>
      <c r="C113" s="117"/>
      <c r="D113" s="117"/>
      <c r="E113" s="117"/>
      <c r="F113" s="117"/>
      <c r="G113" s="117"/>
      <c r="H113" s="117"/>
    </row>
    <row r="114" spans="1:8" ht="14.25" x14ac:dyDescent="0.2">
      <c r="A114" s="117"/>
      <c r="B114" s="117"/>
      <c r="C114" s="117"/>
      <c r="D114" s="117"/>
      <c r="E114" s="117"/>
      <c r="F114" s="117"/>
      <c r="G114" s="117"/>
      <c r="H114" s="117"/>
    </row>
    <row r="115" spans="1:8" ht="14.25" x14ac:dyDescent="0.2">
      <c r="A115" s="117"/>
      <c r="B115" s="117"/>
      <c r="C115" s="117"/>
      <c r="D115" s="117"/>
      <c r="E115" s="117"/>
      <c r="F115" s="117"/>
      <c r="G115" s="117"/>
      <c r="H115" s="117"/>
    </row>
    <row r="116" spans="1:8" ht="14.25" x14ac:dyDescent="0.2">
      <c r="A116" s="117"/>
      <c r="B116" s="117"/>
      <c r="C116" s="117"/>
      <c r="D116" s="117"/>
      <c r="E116" s="117"/>
      <c r="F116" s="117"/>
      <c r="G116" s="117"/>
      <c r="H116" s="117"/>
    </row>
    <row r="117" spans="1:8" ht="14.25" x14ac:dyDescent="0.2">
      <c r="A117" s="117"/>
      <c r="B117" s="117"/>
      <c r="C117" s="117"/>
      <c r="D117" s="117"/>
      <c r="E117" s="117"/>
      <c r="F117" s="117"/>
      <c r="G117" s="117"/>
      <c r="H117" s="117"/>
    </row>
    <row r="118" spans="1:8" ht="14.25" x14ac:dyDescent="0.2">
      <c r="A118" s="117"/>
      <c r="B118" s="117"/>
      <c r="C118" s="117"/>
      <c r="D118" s="117"/>
      <c r="E118" s="117"/>
      <c r="F118" s="117"/>
      <c r="G118" s="117"/>
      <c r="H118" s="117"/>
    </row>
    <row r="119" spans="1:8" ht="14.25" x14ac:dyDescent="0.2">
      <c r="A119" s="117"/>
      <c r="B119" s="117"/>
      <c r="C119" s="117"/>
      <c r="D119" s="117"/>
      <c r="E119" s="117"/>
      <c r="F119" s="117"/>
      <c r="G119" s="117"/>
      <c r="H119" s="117"/>
    </row>
    <row r="120" spans="1:8" ht="14.25" x14ac:dyDescent="0.2">
      <c r="A120" s="117"/>
      <c r="B120" s="117"/>
      <c r="C120" s="117"/>
      <c r="D120" s="117"/>
      <c r="E120" s="117"/>
      <c r="F120" s="117"/>
      <c r="G120" s="117"/>
      <c r="H120" s="117"/>
    </row>
    <row r="121" spans="1:8" ht="14.25" x14ac:dyDescent="0.2">
      <c r="A121" s="117"/>
      <c r="B121" s="117"/>
      <c r="C121" s="117"/>
      <c r="D121" s="117"/>
      <c r="E121" s="117"/>
      <c r="F121" s="117"/>
      <c r="G121" s="117"/>
      <c r="H121" s="117"/>
    </row>
    <row r="122" spans="1:8" ht="14.25" x14ac:dyDescent="0.2">
      <c r="A122" s="117"/>
      <c r="B122" s="117"/>
      <c r="C122" s="117"/>
      <c r="D122" s="117"/>
      <c r="E122" s="117"/>
      <c r="F122" s="117"/>
      <c r="G122" s="117"/>
      <c r="H122" s="117"/>
    </row>
    <row r="123" spans="1:8" ht="14.25" x14ac:dyDescent="0.2">
      <c r="A123" s="117"/>
      <c r="B123" s="117"/>
      <c r="C123" s="117"/>
      <c r="D123" s="117"/>
      <c r="E123" s="117"/>
      <c r="F123" s="117"/>
      <c r="G123" s="117"/>
      <c r="H123" s="117"/>
    </row>
    <row r="124" spans="1:8" ht="14.25" x14ac:dyDescent="0.2">
      <c r="A124" s="117"/>
      <c r="B124" s="117"/>
      <c r="C124" s="117"/>
      <c r="D124" s="117"/>
      <c r="E124" s="117"/>
      <c r="F124" s="117"/>
      <c r="G124" s="117"/>
      <c r="H124" s="117"/>
    </row>
    <row r="125" spans="1:8" ht="14.25" x14ac:dyDescent="0.2">
      <c r="A125" s="117"/>
      <c r="B125" s="117"/>
      <c r="C125" s="117"/>
      <c r="D125" s="117"/>
      <c r="E125" s="117"/>
      <c r="F125" s="117"/>
      <c r="G125" s="117"/>
      <c r="H125" s="117"/>
    </row>
    <row r="126" spans="1:8" ht="14.25" x14ac:dyDescent="0.2">
      <c r="A126" s="117"/>
      <c r="B126" s="117"/>
      <c r="C126" s="117"/>
      <c r="D126" s="117"/>
      <c r="E126" s="117"/>
      <c r="F126" s="117"/>
      <c r="G126" s="117"/>
      <c r="H126" s="117"/>
    </row>
    <row r="127" spans="1:8" ht="14.25" x14ac:dyDescent="0.2">
      <c r="A127" s="117"/>
      <c r="B127" s="117"/>
      <c r="C127" s="117"/>
      <c r="D127" s="117"/>
      <c r="E127" s="117"/>
      <c r="F127" s="117"/>
      <c r="G127" s="117"/>
      <c r="H127" s="117"/>
    </row>
    <row r="128" spans="1:8" ht="14.25" x14ac:dyDescent="0.2">
      <c r="A128" s="117"/>
      <c r="B128" s="117"/>
      <c r="C128" s="117"/>
      <c r="D128" s="117"/>
      <c r="E128" s="117"/>
      <c r="F128" s="117"/>
      <c r="G128" s="117"/>
      <c r="H128" s="117"/>
    </row>
    <row r="129" spans="1:8" ht="14.25" x14ac:dyDescent="0.2">
      <c r="A129" s="117"/>
      <c r="B129" s="117"/>
      <c r="C129" s="117"/>
      <c r="D129" s="117"/>
      <c r="E129" s="117"/>
      <c r="F129" s="117"/>
      <c r="G129" s="117"/>
      <c r="H129" s="117"/>
    </row>
    <row r="130" spans="1:8" ht="14.25" x14ac:dyDescent="0.2">
      <c r="A130" s="117"/>
      <c r="B130" s="117"/>
      <c r="C130" s="117"/>
      <c r="D130" s="117"/>
      <c r="E130" s="117"/>
      <c r="F130" s="117"/>
      <c r="G130" s="117"/>
      <c r="H130" s="117"/>
    </row>
    <row r="131" spans="1:8" ht="14.25" x14ac:dyDescent="0.2">
      <c r="A131" s="117"/>
      <c r="B131" s="117"/>
      <c r="C131" s="117"/>
      <c r="D131" s="117"/>
      <c r="E131" s="117"/>
      <c r="F131" s="117"/>
      <c r="G131" s="117"/>
      <c r="H131" s="117"/>
    </row>
    <row r="132" spans="1:8" ht="14.25" x14ac:dyDescent="0.2">
      <c r="A132" s="117"/>
      <c r="B132" s="117"/>
      <c r="C132" s="117"/>
      <c r="D132" s="117"/>
      <c r="E132" s="117"/>
      <c r="F132" s="117"/>
      <c r="G132" s="117"/>
      <c r="H132" s="117"/>
    </row>
    <row r="133" spans="1:8" ht="14.25" x14ac:dyDescent="0.2">
      <c r="A133" s="117"/>
      <c r="B133" s="117"/>
      <c r="C133" s="117"/>
      <c r="D133" s="117"/>
      <c r="E133" s="117"/>
      <c r="F133" s="117"/>
      <c r="G133" s="117"/>
      <c r="H133" s="117"/>
    </row>
    <row r="134" spans="1:8" ht="14.25" x14ac:dyDescent="0.2">
      <c r="A134" s="117"/>
      <c r="B134" s="117"/>
      <c r="C134" s="117"/>
      <c r="D134" s="117"/>
      <c r="E134" s="117"/>
      <c r="F134" s="117"/>
      <c r="G134" s="117"/>
      <c r="H134" s="117"/>
    </row>
    <row r="135" spans="1:8" ht="14.25" x14ac:dyDescent="0.2">
      <c r="A135" s="117"/>
      <c r="B135" s="117"/>
      <c r="C135" s="117"/>
      <c r="D135" s="117"/>
      <c r="E135" s="117"/>
      <c r="F135" s="117"/>
      <c r="G135" s="117"/>
      <c r="H135" s="117"/>
    </row>
    <row r="136" spans="1:8" ht="14.25" x14ac:dyDescent="0.2">
      <c r="A136" s="117"/>
      <c r="B136" s="117"/>
      <c r="C136" s="117"/>
      <c r="D136" s="117"/>
      <c r="E136" s="117"/>
      <c r="F136" s="117"/>
      <c r="G136" s="117"/>
      <c r="H136" s="117"/>
    </row>
    <row r="137" spans="1:8" ht="14.25" x14ac:dyDescent="0.2">
      <c r="A137" s="117"/>
      <c r="B137" s="117"/>
      <c r="C137" s="117"/>
      <c r="D137" s="117"/>
      <c r="E137" s="117"/>
      <c r="F137" s="117"/>
      <c r="G137" s="117"/>
      <c r="H137" s="117"/>
    </row>
    <row r="138" spans="1:8" ht="14.25" x14ac:dyDescent="0.2">
      <c r="A138" s="117"/>
      <c r="B138" s="117"/>
      <c r="C138" s="117"/>
      <c r="D138" s="117"/>
      <c r="E138" s="117"/>
      <c r="F138" s="117"/>
      <c r="G138" s="117"/>
      <c r="H138" s="117"/>
    </row>
    <row r="139" spans="1:8" ht="14.25" x14ac:dyDescent="0.2">
      <c r="A139" s="117"/>
      <c r="B139" s="117"/>
      <c r="C139" s="117"/>
      <c r="D139" s="117"/>
      <c r="E139" s="117"/>
      <c r="F139" s="117"/>
      <c r="G139" s="117"/>
      <c r="H139" s="117"/>
    </row>
    <row r="140" spans="1:8" ht="14.25" x14ac:dyDescent="0.2">
      <c r="A140" s="117"/>
      <c r="B140" s="117"/>
      <c r="C140" s="117"/>
      <c r="D140" s="117"/>
      <c r="E140" s="117"/>
      <c r="F140" s="117"/>
      <c r="G140" s="117"/>
      <c r="H140" s="117"/>
    </row>
    <row r="141" spans="1:8" ht="14.25" x14ac:dyDescent="0.2">
      <c r="A141" s="117"/>
      <c r="B141" s="117"/>
      <c r="C141" s="117"/>
      <c r="D141" s="117"/>
      <c r="E141" s="117"/>
      <c r="F141" s="117"/>
    </row>
    <row r="142" spans="1:8" ht="14.25" x14ac:dyDescent="0.2">
      <c r="A142" s="117"/>
      <c r="B142" s="117"/>
      <c r="C142" s="117"/>
      <c r="D142" s="117"/>
      <c r="E142" s="117"/>
      <c r="F142" s="117"/>
    </row>
    <row r="143" spans="1:8" ht="14.25" x14ac:dyDescent="0.2">
      <c r="A143" s="117"/>
      <c r="B143" s="117"/>
      <c r="C143" s="117"/>
      <c r="D143" s="117"/>
      <c r="E143" s="117"/>
      <c r="F143" s="117"/>
    </row>
    <row r="144" spans="1:8" ht="14.25" x14ac:dyDescent="0.2">
      <c r="A144" s="117"/>
      <c r="B144" s="117"/>
      <c r="C144" s="117"/>
      <c r="D144" s="117"/>
      <c r="E144" s="117"/>
      <c r="F144" s="117"/>
    </row>
    <row r="145" spans="1:6" ht="14.25" x14ac:dyDescent="0.2">
      <c r="A145" s="117"/>
      <c r="B145" s="117"/>
      <c r="C145" s="117"/>
      <c r="D145" s="117"/>
      <c r="E145" s="117"/>
      <c r="F145" s="117"/>
    </row>
    <row r="146" spans="1:6" ht="14.25" x14ac:dyDescent="0.2">
      <c r="A146" s="117"/>
      <c r="B146" s="117"/>
      <c r="C146" s="117"/>
      <c r="D146" s="117"/>
      <c r="E146" s="117"/>
      <c r="F146" s="117"/>
    </row>
    <row r="147" spans="1:6" ht="14.25" x14ac:dyDescent="0.2">
      <c r="A147" s="117"/>
      <c r="B147" s="117"/>
      <c r="C147" s="117"/>
      <c r="D147" s="117"/>
      <c r="E147" s="117"/>
      <c r="F147" s="117"/>
    </row>
    <row r="148" spans="1:6" ht="14.25" x14ac:dyDescent="0.2">
      <c r="A148" s="117"/>
      <c r="B148" s="117"/>
      <c r="C148" s="117"/>
      <c r="D148" s="117"/>
      <c r="E148" s="117"/>
      <c r="F148" s="117"/>
    </row>
    <row r="149" spans="1:6" ht="14.25" x14ac:dyDescent="0.2">
      <c r="A149" s="117"/>
      <c r="B149" s="117"/>
      <c r="C149" s="117"/>
      <c r="D149" s="117"/>
      <c r="E149" s="117"/>
      <c r="F149" s="117"/>
    </row>
    <row r="150" spans="1:6" ht="14.25" x14ac:dyDescent="0.2">
      <c r="A150" s="117"/>
      <c r="B150" s="117"/>
      <c r="C150" s="117"/>
      <c r="D150" s="117"/>
      <c r="E150" s="117"/>
      <c r="F150" s="117"/>
    </row>
    <row r="151" spans="1:6" ht="14.25" x14ac:dyDescent="0.2">
      <c r="A151" s="117"/>
      <c r="B151" s="117"/>
      <c r="C151" s="117"/>
      <c r="D151" s="117"/>
      <c r="E151" s="117"/>
      <c r="F151" s="117"/>
    </row>
    <row r="152" spans="1:6" ht="14.25" x14ac:dyDescent="0.2">
      <c r="A152" s="117"/>
      <c r="B152" s="117"/>
      <c r="C152" s="117"/>
      <c r="D152" s="117"/>
      <c r="E152" s="117"/>
      <c r="F152" s="117"/>
    </row>
    <row r="153" spans="1:6" ht="14.25" x14ac:dyDescent="0.2">
      <c r="A153" s="117"/>
      <c r="B153" s="117"/>
      <c r="C153" s="117"/>
      <c r="D153" s="117"/>
      <c r="E153" s="117"/>
      <c r="F153" s="117"/>
    </row>
    <row r="154" spans="1:6" ht="14.25" x14ac:dyDescent="0.2">
      <c r="A154" s="117"/>
      <c r="B154" s="117"/>
      <c r="C154" s="117"/>
      <c r="D154" s="117"/>
      <c r="E154" s="117"/>
      <c r="F154" s="117"/>
    </row>
    <row r="155" spans="1:6" ht="14.25" x14ac:dyDescent="0.2">
      <c r="A155" s="117"/>
      <c r="B155" s="117"/>
      <c r="C155" s="117"/>
      <c r="D155" s="117"/>
      <c r="E155" s="117"/>
      <c r="F155" s="117"/>
    </row>
    <row r="156" spans="1:6" ht="14.25" x14ac:dyDescent="0.2">
      <c r="A156" s="117"/>
      <c r="B156" s="117"/>
      <c r="C156" s="117"/>
      <c r="D156" s="117"/>
      <c r="E156" s="117"/>
      <c r="F156" s="117"/>
    </row>
    <row r="157" spans="1:6" ht="14.25" x14ac:dyDescent="0.2">
      <c r="A157" s="117"/>
      <c r="B157" s="117"/>
      <c r="C157" s="117"/>
      <c r="D157" s="117"/>
      <c r="E157" s="117"/>
      <c r="F157" s="117"/>
    </row>
    <row r="158" spans="1:6" ht="14.25" x14ac:dyDescent="0.2">
      <c r="A158" s="117"/>
      <c r="B158" s="117"/>
      <c r="C158" s="117"/>
      <c r="D158" s="117"/>
      <c r="E158" s="117"/>
      <c r="F158" s="117"/>
    </row>
    <row r="159" spans="1:6" ht="14.25" x14ac:dyDescent="0.2">
      <c r="A159" s="117"/>
      <c r="B159" s="117"/>
      <c r="C159" s="117"/>
      <c r="D159" s="117"/>
      <c r="E159" s="117"/>
      <c r="F159" s="117"/>
    </row>
    <row r="160" spans="1:6" ht="14.25" x14ac:dyDescent="0.2">
      <c r="A160" s="117"/>
      <c r="B160" s="117"/>
      <c r="C160" s="117"/>
      <c r="D160" s="117"/>
      <c r="E160" s="117"/>
      <c r="F160" s="117"/>
    </row>
    <row r="161" spans="1:6" ht="14.25" x14ac:dyDescent="0.2">
      <c r="A161" s="117"/>
      <c r="B161" s="117"/>
      <c r="C161" s="117"/>
      <c r="D161" s="117"/>
      <c r="E161" s="117"/>
      <c r="F161" s="117"/>
    </row>
    <row r="162" spans="1:6" ht="14.25" x14ac:dyDescent="0.2">
      <c r="A162" s="117"/>
      <c r="B162" s="117"/>
      <c r="C162" s="117"/>
      <c r="D162" s="117"/>
      <c r="E162" s="117"/>
      <c r="F162" s="117"/>
    </row>
    <row r="163" spans="1:6" ht="14.25" x14ac:dyDescent="0.2">
      <c r="A163" s="117"/>
      <c r="B163" s="117"/>
      <c r="C163" s="117"/>
      <c r="D163" s="117"/>
      <c r="E163" s="117"/>
      <c r="F163" s="1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5"/>
  <sheetViews>
    <sheetView topLeftCell="A13" workbookViewId="0">
      <selection activeCell="G30" sqref="G30"/>
    </sheetView>
  </sheetViews>
  <sheetFormatPr baseColWidth="10" defaultRowHeight="12.75" x14ac:dyDescent="0.2"/>
  <cols>
    <col min="4" max="4" width="16.85546875" customWidth="1"/>
    <col min="5" max="5" width="6.85546875" customWidth="1"/>
  </cols>
  <sheetData>
    <row r="1" spans="1:1" x14ac:dyDescent="0.2">
      <c r="A1" s="2" t="s">
        <v>157</v>
      </c>
    </row>
    <row r="19" spans="3:7" ht="13.5" thickBot="1" x14ac:dyDescent="0.25"/>
    <row r="20" spans="3:7" x14ac:dyDescent="0.2">
      <c r="C20" s="170"/>
      <c r="D20" s="171"/>
      <c r="E20" s="172"/>
    </row>
    <row r="21" spans="3:7" ht="13.5" thickBot="1" x14ac:dyDescent="0.25">
      <c r="C21" s="310" t="s">
        <v>169</v>
      </c>
      <c r="D21" s="169" t="s">
        <v>167</v>
      </c>
      <c r="E21" s="173"/>
    </row>
    <row r="22" spans="3:7" x14ac:dyDescent="0.2">
      <c r="C22" s="310"/>
      <c r="D22" s="174" t="s">
        <v>168</v>
      </c>
      <c r="E22" s="173"/>
    </row>
    <row r="23" spans="3:7" ht="13.5" thickBot="1" x14ac:dyDescent="0.25">
      <c r="C23" s="175"/>
      <c r="D23" s="176"/>
      <c r="E23" s="177"/>
    </row>
    <row r="24" spans="3:7" ht="13.5" thickBot="1" x14ac:dyDescent="0.25"/>
    <row r="25" spans="3:7" ht="15.75" thickBot="1" x14ac:dyDescent="0.25">
      <c r="C25" s="194" t="s">
        <v>166</v>
      </c>
      <c r="D25" s="195">
        <f>(('Manten Cent Acopio'!H14)/(VENTAS!F6-'COST PROD TRUCHA'!I17))</f>
        <v>176.6294126335483</v>
      </c>
      <c r="E25" s="196" t="s">
        <v>170</v>
      </c>
      <c r="F25" s="311"/>
      <c r="G25" s="311"/>
    </row>
  </sheetData>
  <mergeCells count="2">
    <mergeCell ref="C21:C22"/>
    <mergeCell ref="F25:G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INVERSION</vt:lpstr>
      <vt:lpstr>DEPRECIACION</vt:lpstr>
      <vt:lpstr>COST PROD TRUCHA</vt:lpstr>
      <vt:lpstr>costo de produccion</vt:lpstr>
      <vt:lpstr>Manten Cent Acopio</vt:lpstr>
      <vt:lpstr>VENTAS</vt:lpstr>
      <vt:lpstr>deuda</vt:lpstr>
      <vt:lpstr>FLUJO DE CAJA</vt:lpstr>
      <vt:lpstr>COK</vt:lpstr>
      <vt:lpstr>p. equi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EDISON ACHALMA</cp:lastModifiedBy>
  <dcterms:created xsi:type="dcterms:W3CDTF">1996-11-27T10:00:04Z</dcterms:created>
  <dcterms:modified xsi:type="dcterms:W3CDTF">2021-08-04T00:05:43Z</dcterms:modified>
</cp:coreProperties>
</file>