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Collaboration Space/Shared Resources/14 CASOS DE PROYECTOS EN EMPRESAS EN MARCHA/"/>
    </mc:Choice>
  </mc:AlternateContent>
  <xr:revisionPtr revIDLastSave="0" documentId="8_{FEDAA1E4-B74A-4F7A-B17E-B3B782B4F0E9}" xr6:coauthVersionLast="47" xr6:coauthVersionMax="47" xr10:uidLastSave="{00000000-0000-0000-0000-000000000000}"/>
  <bookViews>
    <workbookView xWindow="-120" yWindow="-16320" windowWidth="29040" windowHeight="15720" activeTab="1"/>
  </bookViews>
  <sheets>
    <sheet name="Alter Sin Py" sheetId="5" r:id="rId1"/>
    <sheet name="Alter Con py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9" l="1"/>
  <c r="G20" i="9"/>
  <c r="H20" i="9"/>
  <c r="C20" i="9"/>
  <c r="E19" i="9"/>
  <c r="F19" i="9" s="1"/>
  <c r="F77" i="9"/>
  <c r="G77" i="9"/>
  <c r="J35" i="9"/>
  <c r="C80" i="9" s="1"/>
  <c r="C62" i="9"/>
  <c r="C45" i="9"/>
  <c r="D29" i="9"/>
  <c r="D50" i="9"/>
  <c r="E29" i="9"/>
  <c r="F29" i="9" s="1"/>
  <c r="D28" i="9"/>
  <c r="D15" i="5"/>
  <c r="D14" i="5"/>
  <c r="E29" i="5" s="1"/>
  <c r="E30" i="5" s="1"/>
  <c r="D31" i="9"/>
  <c r="D30" i="9"/>
  <c r="E28" i="9"/>
  <c r="E49" i="9" s="1"/>
  <c r="H18" i="9"/>
  <c r="I18" i="9" s="1"/>
  <c r="G47" i="9"/>
  <c r="G48" i="9"/>
  <c r="E18" i="9"/>
  <c r="F18" i="9" s="1"/>
  <c r="F20" i="9" s="1"/>
  <c r="J37" i="9"/>
  <c r="K41" i="9" s="1"/>
  <c r="D49" i="9"/>
  <c r="B71" i="9"/>
  <c r="C48" i="9"/>
  <c r="C55" i="9" s="1"/>
  <c r="C61" i="9" s="1"/>
  <c r="D48" i="9"/>
  <c r="E48" i="9"/>
  <c r="F48" i="9"/>
  <c r="E32" i="5"/>
  <c r="E15" i="5"/>
  <c r="F32" i="5" s="1"/>
  <c r="F15" i="5"/>
  <c r="G32" i="5"/>
  <c r="G15" i="5"/>
  <c r="H32" i="5" s="1"/>
  <c r="C73" i="9"/>
  <c r="C77" i="9" s="1"/>
  <c r="J41" i="9"/>
  <c r="G60" i="9"/>
  <c r="F60" i="9"/>
  <c r="E60" i="9"/>
  <c r="D60" i="9"/>
  <c r="C60" i="9"/>
  <c r="B51" i="9"/>
  <c r="B52" i="9"/>
  <c r="B49" i="9"/>
  <c r="B50" i="9"/>
  <c r="C50" i="9"/>
  <c r="C54" i="9"/>
  <c r="D34" i="5"/>
  <c r="D36" i="5"/>
  <c r="F16" i="5"/>
  <c r="G33" i="5"/>
  <c r="C53" i="9"/>
  <c r="G16" i="5"/>
  <c r="H33" i="5"/>
  <c r="C34" i="9"/>
  <c r="C35" i="9" s="1"/>
  <c r="C37" i="9" s="1"/>
  <c r="N41" i="9" l="1"/>
  <c r="J42" i="9" s="1"/>
  <c r="F50" i="9"/>
  <c r="G29" i="9"/>
  <c r="G50" i="9" s="1"/>
  <c r="E34" i="5"/>
  <c r="I20" i="9"/>
  <c r="G33" i="9"/>
  <c r="G32" i="9"/>
  <c r="D32" i="9"/>
  <c r="D34" i="9" s="1"/>
  <c r="D35" i="9" s="1"/>
  <c r="E32" i="9"/>
  <c r="F32" i="9"/>
  <c r="C71" i="9"/>
  <c r="C78" i="9" s="1"/>
  <c r="C63" i="9"/>
  <c r="D74" i="9"/>
  <c r="D77" i="9" s="1"/>
  <c r="E74" i="9"/>
  <c r="E14" i="5"/>
  <c r="E31" i="9"/>
  <c r="D52" i="9" s="1"/>
  <c r="E16" i="5"/>
  <c r="F33" i="5" s="1"/>
  <c r="D17" i="5"/>
  <c r="K42" i="9"/>
  <c r="E30" i="9"/>
  <c r="L41" i="9"/>
  <c r="D75" i="9" s="1"/>
  <c r="D76" i="9" s="1"/>
  <c r="F28" i="9"/>
  <c r="E50" i="9"/>
  <c r="D16" i="5"/>
  <c r="D36" i="9" l="1"/>
  <c r="D53" i="9" s="1"/>
  <c r="C81" i="9"/>
  <c r="F49" i="9"/>
  <c r="G28" i="9"/>
  <c r="F31" i="9"/>
  <c r="E52" i="9" s="1"/>
  <c r="F30" i="9"/>
  <c r="E51" i="9" s="1"/>
  <c r="M41" i="9"/>
  <c r="D51" i="9"/>
  <c r="D54" i="9" s="1"/>
  <c r="D55" i="9" s="1"/>
  <c r="D61" i="9" s="1"/>
  <c r="E34" i="9"/>
  <c r="E35" i="9" s="1"/>
  <c r="M42" i="9"/>
  <c r="E77" i="9"/>
  <c r="D18" i="5"/>
  <c r="E33" i="5"/>
  <c r="L42" i="9"/>
  <c r="E75" i="9" s="1"/>
  <c r="E76" i="9" s="1"/>
  <c r="N42" i="9"/>
  <c r="F29" i="5"/>
  <c r="F30" i="5" s="1"/>
  <c r="E17" i="5"/>
  <c r="F14" i="5"/>
  <c r="G31" i="9" l="1"/>
  <c r="F52" i="9" s="1"/>
  <c r="G52" i="9" s="1"/>
  <c r="G49" i="9"/>
  <c r="G30" i="9"/>
  <c r="F51" i="9" s="1"/>
  <c r="G51" i="9" s="1"/>
  <c r="F17" i="5"/>
  <c r="G14" i="5"/>
  <c r="G29" i="5"/>
  <c r="G30" i="5" s="1"/>
  <c r="F34" i="9"/>
  <c r="F35" i="9" s="1"/>
  <c r="G20" i="5"/>
  <c r="D20" i="5"/>
  <c r="F20" i="5"/>
  <c r="E20" i="5"/>
  <c r="E18" i="5"/>
  <c r="F18" i="5" s="1"/>
  <c r="G18" i="5" s="1"/>
  <c r="F34" i="5"/>
  <c r="D71" i="9"/>
  <c r="D78" i="9" s="1"/>
  <c r="E36" i="9"/>
  <c r="E53" i="9" s="1"/>
  <c r="E54" i="9" s="1"/>
  <c r="E55" i="9" s="1"/>
  <c r="E61" i="9" s="1"/>
  <c r="D37" i="9"/>
  <c r="E71" i="9" l="1"/>
  <c r="E78" i="9" s="1"/>
  <c r="G17" i="5"/>
  <c r="H29" i="5"/>
  <c r="H30" i="5" s="1"/>
  <c r="G34" i="5"/>
  <c r="E37" i="9"/>
  <c r="D21" i="5"/>
  <c r="E35" i="5" s="1"/>
  <c r="E36" i="5" s="1"/>
  <c r="E37" i="5" s="1"/>
  <c r="D62" i="9" s="1"/>
  <c r="D63" i="9" s="1"/>
  <c r="G21" i="5"/>
  <c r="H35" i="5" s="1"/>
  <c r="E21" i="5"/>
  <c r="F35" i="5" s="1"/>
  <c r="F36" i="5" s="1"/>
  <c r="F37" i="5" s="1"/>
  <c r="E62" i="9" s="1"/>
  <c r="E63" i="9" s="1"/>
  <c r="F21" i="5"/>
  <c r="G35" i="5" s="1"/>
  <c r="G22" i="5"/>
  <c r="G34" i="9"/>
  <c r="G35" i="9" s="1"/>
  <c r="F36" i="9"/>
  <c r="F53" i="9" s="1"/>
  <c r="F54" i="9" s="1"/>
  <c r="F55" i="9" s="1"/>
  <c r="F61" i="9" s="1"/>
  <c r="F22" i="5" l="1"/>
  <c r="G36" i="5"/>
  <c r="G37" i="5" s="1"/>
  <c r="F62" i="9" s="1"/>
  <c r="F63" i="9" s="1"/>
  <c r="F37" i="9"/>
  <c r="D22" i="5"/>
  <c r="H34" i="5"/>
  <c r="H36" i="5" s="1"/>
  <c r="H37" i="5"/>
  <c r="G62" i="9" s="1"/>
  <c r="F71" i="9"/>
  <c r="F78" i="9" s="1"/>
  <c r="G36" i="9"/>
  <c r="G53" i="9" s="1"/>
  <c r="G54" i="9" s="1"/>
  <c r="G55" i="9" s="1"/>
  <c r="G61" i="9" s="1"/>
  <c r="E22" i="5"/>
  <c r="G63" i="9" l="1"/>
  <c r="C65" i="9" s="1"/>
  <c r="C83" i="9" s="1"/>
  <c r="G71" i="9"/>
  <c r="G78" i="9" s="1"/>
  <c r="G37" i="9"/>
</calcChain>
</file>

<file path=xl/comments1.xml><?xml version="1.0" encoding="utf-8"?>
<comments xmlns="http://schemas.openxmlformats.org/spreadsheetml/2006/main">
  <authors>
    <author>Henry</author>
  </authors>
  <commentList>
    <comment ref="K36" authorId="0" shapeId="0">
      <text>
        <r>
          <rPr>
            <sz val="9"/>
            <color indexed="81"/>
            <rFont val="Tahoma"/>
            <family val="2"/>
          </rPr>
          <t xml:space="preserve">Debido a que la tasa de inflación tiene tendencia a la alza (BCRP).
</t>
        </r>
      </text>
    </comment>
  </commentList>
</comments>
</file>

<file path=xl/sharedStrings.xml><?xml version="1.0" encoding="utf-8"?>
<sst xmlns="http://schemas.openxmlformats.org/spreadsheetml/2006/main" count="124" uniqueCount="93">
  <si>
    <t>Nueva</t>
  </si>
  <si>
    <t>Horizonte de evaluacion: 4 años</t>
  </si>
  <si>
    <t>Utilidad Neta</t>
  </si>
  <si>
    <t>jugo especial</t>
  </si>
  <si>
    <t xml:space="preserve">jugo de toronja </t>
  </si>
  <si>
    <t>jugo de pasto de trigo</t>
  </si>
  <si>
    <t xml:space="preserve">Cantidad (vasos de jugo) al mes </t>
  </si>
  <si>
    <t xml:space="preserve">Utilidad operativa </t>
  </si>
  <si>
    <t>Utilidad imponible</t>
  </si>
  <si>
    <t>Ingresos</t>
  </si>
  <si>
    <t xml:space="preserve">total de ingresos </t>
  </si>
  <si>
    <t>Egresos</t>
  </si>
  <si>
    <t xml:space="preserve">Flujo de Caja Economico </t>
  </si>
  <si>
    <t>Inversión Inicial</t>
  </si>
  <si>
    <t>Monto</t>
  </si>
  <si>
    <t>Vida util</t>
  </si>
  <si>
    <t>Valor  Residual</t>
  </si>
  <si>
    <t>Valor Mercado</t>
  </si>
  <si>
    <t>tasa de Deprec</t>
  </si>
  <si>
    <t>DESCRIPCIÓN DE CATEGORÍA</t>
  </si>
  <si>
    <t>PERIODO (EN AÑOS)</t>
  </si>
  <si>
    <t xml:space="preserve">(-) Costos de ventas </t>
  </si>
  <si>
    <t xml:space="preserve">(+) Ventas netas en s/. </t>
  </si>
  <si>
    <t>(-) Costos de ventas</t>
  </si>
  <si>
    <t xml:space="preserve">(-) Impuestos </t>
  </si>
  <si>
    <t>Total Egresos</t>
  </si>
  <si>
    <t>DATOS:</t>
  </si>
  <si>
    <t>DEPRECIACIÓN DE ACTIVOS</t>
  </si>
  <si>
    <t>(-) Depreciaciones</t>
  </si>
  <si>
    <t xml:space="preserve">Utilidad venta maquinas </t>
  </si>
  <si>
    <t>1/ Se considera Horizonte de proyeccción de 4 años, ya que el activo fijo (maquinas electrodomestico tiene una vida útil de 4años).</t>
  </si>
  <si>
    <t>PRÉSTAMO</t>
  </si>
  <si>
    <t>Monto del préstamo</t>
  </si>
  <si>
    <t>Tasa Efectiva Anual (TEA)</t>
  </si>
  <si>
    <t>Plazo Devolución</t>
  </si>
  <si>
    <t>Tasa de Interés Real</t>
  </si>
  <si>
    <t>Tasa Inflación Anual</t>
  </si>
  <si>
    <t>Cuota de Capital</t>
  </si>
  <si>
    <t>Periodo</t>
  </si>
  <si>
    <t>Saldo Inicial</t>
  </si>
  <si>
    <t>Interes</t>
  </si>
  <si>
    <t>Principal</t>
  </si>
  <si>
    <t>Saldo Final</t>
  </si>
  <si>
    <t>Inversiones y Liquidación</t>
  </si>
  <si>
    <t>Impuestos (-)</t>
  </si>
  <si>
    <t>Flujo de Caja Operativo</t>
  </si>
  <si>
    <t>Flujo de Caja Económico (FCE)</t>
  </si>
  <si>
    <t>Maquinarias (-)</t>
  </si>
  <si>
    <t>FCE Incremental</t>
  </si>
  <si>
    <t>Financiamiento Neto</t>
  </si>
  <si>
    <t>Préstamos (+)</t>
  </si>
  <si>
    <t>Amortizaciones (-)</t>
  </si>
  <si>
    <t>Intereses (-)</t>
  </si>
  <si>
    <t>Escudo Fiscal por Intereses(+)</t>
  </si>
  <si>
    <t>Flujo Financiamiento Neto</t>
  </si>
  <si>
    <t>CANTIDADES</t>
  </si>
  <si>
    <t>PRECIO</t>
  </si>
  <si>
    <t>COSTO</t>
  </si>
  <si>
    <t xml:space="preserve">Actual </t>
  </si>
  <si>
    <t>(-) Gastos administrativos (15%)</t>
  </si>
  <si>
    <t>(-) Impuestos (30%)</t>
  </si>
  <si>
    <t xml:space="preserve">intereses </t>
  </si>
  <si>
    <t>(-) Gastos de Ventas (6%)</t>
  </si>
  <si>
    <t>(-) Gastos de ventas 6%)</t>
  </si>
  <si>
    <t>equipos electrodomesticos</t>
  </si>
  <si>
    <t>(-) Gastos de ventas (6%)</t>
  </si>
  <si>
    <t>Acondicionamiento de local</t>
  </si>
  <si>
    <t>Venta de Activo Fijo (+)</t>
  </si>
  <si>
    <t>cuota</t>
  </si>
  <si>
    <t>Información para la Situación Con Proyecto</t>
  </si>
  <si>
    <t>Se obtiene el EGP y FC de la opcion de maquina nueva y local renovado</t>
  </si>
  <si>
    <t xml:space="preserve">FLUJO DE CAJA FINANCIERO   CON EQUIPOS NUEVOS </t>
  </si>
  <si>
    <t>DATOS</t>
  </si>
  <si>
    <t>ESTADO DE GANANCIAS Y PERDIDAS CON EQUIPO ACTUAL</t>
  </si>
  <si>
    <t>FLUJO DE CAJA ECONÓMICO  CON EQUIPO ACTUAL</t>
  </si>
  <si>
    <t>ESTADO DE GANANCIAS Y PÉRDIDAS  CON EQUIPOS NUEVOS</t>
  </si>
  <si>
    <t>FLUJO DE CAJA ECONÓMICO CON EQUIPOS NUEVOS</t>
  </si>
  <si>
    <t xml:space="preserve">FLUJO DE CAJA ECONOMICO  INCREMENTAL </t>
  </si>
  <si>
    <t>FCE Con Equipos Nuevos</t>
  </si>
  <si>
    <r>
      <t>Alternativa B:</t>
    </r>
    <r>
      <rPr>
        <sz val="10"/>
        <rFont val="Arial Narrow"/>
        <family val="2"/>
      </rPr>
      <t xml:space="preserve"> Producir con los equipos nuevos </t>
    </r>
  </si>
  <si>
    <t xml:space="preserve">Se obtiene el EGP y FCE de opcion  de seguir con la maquina actual </t>
  </si>
  <si>
    <t>Flujo de Caja Financiero</t>
  </si>
  <si>
    <t>TABLA DE AMORTIZACIÓN DE LA DEUDA REAL</t>
  </si>
  <si>
    <t>Deprec. Anual</t>
  </si>
  <si>
    <t>Utilidad venta AF</t>
  </si>
  <si>
    <t>Flujo de Inversion y liquidacion</t>
  </si>
  <si>
    <t>FCE Sin Equipos Actuales</t>
  </si>
  <si>
    <t>TOTAL</t>
  </si>
  <si>
    <t>Ru real =</t>
  </si>
  <si>
    <t>VANE Incremental =</t>
  </si>
  <si>
    <t>Rd real =</t>
  </si>
  <si>
    <t>VAND =</t>
  </si>
  <si>
    <t>VANF 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</si>
</sst>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7" formatCode="&quot;$&quot;\ #,##0.00;[Red]&quot;$&quot;\ \-#,##0.00"/>
    <numFmt numFmtId="171" formatCode="_ * #,##0.00_ ;_ * \-#,##0.00_ ;_ * &quot;-&quot;??_ ;_ @_ "/>
    <numFmt numFmtId="175" formatCode="&quot;S/.&quot;\ #,##0.00;[Red]&quot;S/.&quot;\ \-#,##0.00"/>
    <numFmt numFmtId="181" formatCode="_(* #,##0_);_(* \(#,##0\);_(* &quot;-&quot;??_);_(@_)"/>
    <numFmt numFmtId="182" formatCode="0.0"/>
    <numFmt numFmtId="194" formatCode="_ * #,##0.0_ ;_ * \-#,##0.0_ ;_ * &quot;-&quot;??_ ;_ @_ "/>
    <numFmt numFmtId="196" formatCode="#,##0.0"/>
    <numFmt numFmtId="200" formatCode="0.00000"/>
    <numFmt numFmtId="214" formatCode="_ * #,##0_ ;_ * \-#,##0_ ;_ * &quot;-&quot;??_ ;_ @_ "/>
    <numFmt numFmtId="215" formatCode="&quot;S/.&quot;\ #,##0_);[Red]\(&quot;S/.&quot;\ #,##0\)"/>
    <numFmt numFmtId="224" formatCode="_(* #,##0.0000_);_(* \(#,##0.0000\);_(* &quot;-&quot;??_);_(@_)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9"/>
      <name val="Arial Narrow"/>
      <family val="2"/>
    </font>
    <font>
      <sz val="9.5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6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7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gradientFill degree="270">
        <stop position="0">
          <color theme="0" tint="0.80001220740379042"/>
        </stop>
        <stop position="1">
          <color theme="6" tint="0.40000610370189521"/>
        </stop>
      </gradientFill>
    </fill>
    <fill>
      <gradientFill degree="90">
        <stop position="0">
          <color theme="0" tint="0.80001220740379042"/>
        </stop>
        <stop position="1">
          <color theme="6" tint="0.40000610370189521"/>
        </stop>
      </gradient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7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2" fillId="0" borderId="0" applyFont="0" applyFill="0" applyBorder="0" applyAlignment="0" applyProtection="0"/>
  </cellStyleXfs>
  <cellXfs count="169">
    <xf numFmtId="0" fontId="0" fillId="0" borderId="0" xfId="0"/>
    <xf numFmtId="0" fontId="16" fillId="0" borderId="0" xfId="0" applyFont="1"/>
    <xf numFmtId="0" fontId="2" fillId="0" borderId="0" xfId="3" applyFont="1"/>
    <xf numFmtId="0" fontId="3" fillId="0" borderId="0" xfId="3" applyFont="1"/>
    <xf numFmtId="181" fontId="3" fillId="0" borderId="1" xfId="2" applyNumberFormat="1" applyFont="1" applyBorder="1"/>
    <xf numFmtId="0" fontId="3" fillId="0" borderId="0" xfId="3" applyFont="1" applyFill="1" applyBorder="1"/>
    <xf numFmtId="0" fontId="3" fillId="0" borderId="1" xfId="3" applyFont="1" applyBorder="1"/>
    <xf numFmtId="181" fontId="3" fillId="0" borderId="1" xfId="3" applyNumberFormat="1" applyFont="1" applyBorder="1"/>
    <xf numFmtId="0" fontId="2" fillId="0" borderId="1" xfId="3" applyFont="1" applyBorder="1"/>
    <xf numFmtId="0" fontId="15" fillId="0" borderId="0" xfId="0" applyFont="1"/>
    <xf numFmtId="171" fontId="16" fillId="0" borderId="0" xfId="0" applyNumberFormat="1" applyFont="1"/>
    <xf numFmtId="0" fontId="16" fillId="0" borderId="0" xfId="0" applyFont="1" applyFill="1" applyBorder="1"/>
    <xf numFmtId="0" fontId="0" fillId="0" borderId="0" xfId="0" applyFill="1" applyBorder="1"/>
    <xf numFmtId="0" fontId="4" fillId="0" borderId="0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171" fontId="2" fillId="0" borderId="0" xfId="3" applyNumberFormat="1" applyFont="1" applyFill="1" applyBorder="1"/>
    <xf numFmtId="0" fontId="0" fillId="0" borderId="0" xfId="0" applyFill="1"/>
    <xf numFmtId="9" fontId="0" fillId="0" borderId="0" xfId="0" applyNumberFormat="1"/>
    <xf numFmtId="0" fontId="3" fillId="0" borderId="1" xfId="3" applyFont="1" applyBorder="1" applyAlignment="1">
      <alignment horizontal="left" indent="3"/>
    </xf>
    <xf numFmtId="1" fontId="1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18" fillId="0" borderId="0" xfId="0" applyFont="1"/>
    <xf numFmtId="0" fontId="3" fillId="0" borderId="1" xfId="3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3" fillId="0" borderId="0" xfId="0" applyFont="1" applyFill="1" applyAlignment="1"/>
    <xf numFmtId="0" fontId="16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214" fontId="3" fillId="0" borderId="1" xfId="3" applyNumberFormat="1" applyFont="1" applyBorder="1"/>
    <xf numFmtId="0" fontId="14" fillId="0" borderId="0" xfId="0" applyFont="1" applyFill="1" applyAlignment="1">
      <alignment wrapText="1"/>
    </xf>
    <xf numFmtId="181" fontId="0" fillId="0" borderId="1" xfId="0" applyNumberFormat="1" applyFill="1" applyBorder="1"/>
    <xf numFmtId="181" fontId="6" fillId="0" borderId="1" xfId="3" applyNumberFormat="1" applyFont="1" applyFill="1" applyBorder="1" applyAlignment="1">
      <alignment horizontal="center"/>
    </xf>
    <xf numFmtId="0" fontId="2" fillId="0" borderId="1" xfId="3" applyFont="1" applyFill="1" applyBorder="1" applyAlignment="1">
      <alignment horizontal="left"/>
    </xf>
    <xf numFmtId="181" fontId="4" fillId="0" borderId="1" xfId="3" applyNumberFormat="1" applyFont="1" applyFill="1" applyBorder="1" applyAlignment="1">
      <alignment horizontal="center"/>
    </xf>
    <xf numFmtId="214" fontId="4" fillId="3" borderId="1" xfId="3" applyNumberFormat="1" applyFont="1" applyFill="1" applyBorder="1"/>
    <xf numFmtId="181" fontId="4" fillId="0" borderId="1" xfId="3" applyNumberFormat="1" applyFont="1" applyBorder="1"/>
    <xf numFmtId="0" fontId="21" fillId="2" borderId="2" xfId="0" applyFont="1" applyFill="1" applyBorder="1" applyAlignment="1">
      <alignment horizontal="center"/>
    </xf>
    <xf numFmtId="2" fontId="19" fillId="0" borderId="1" xfId="0" applyNumberFormat="1" applyFont="1" applyBorder="1" applyAlignment="1">
      <alignment vertical="center"/>
    </xf>
    <xf numFmtId="214" fontId="2" fillId="0" borderId="1" xfId="3" applyNumberFormat="1" applyFont="1" applyBorder="1"/>
    <xf numFmtId="181" fontId="0" fillId="0" borderId="0" xfId="0" applyNumberFormat="1"/>
    <xf numFmtId="0" fontId="22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/>
    </xf>
    <xf numFmtId="3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200" fontId="7" fillId="0" borderId="0" xfId="0" applyNumberFormat="1" applyFont="1" applyFill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171" fontId="7" fillId="0" borderId="0" xfId="1" applyFont="1" applyFill="1" applyBorder="1" applyAlignment="1">
      <alignment horizontal="right"/>
    </xf>
    <xf numFmtId="0" fontId="22" fillId="0" borderId="0" xfId="0" applyFont="1" applyFill="1" applyBorder="1" applyAlignment="1"/>
    <xf numFmtId="3" fontId="23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/>
    <xf numFmtId="171" fontId="23" fillId="0" borderId="0" xfId="1" applyFont="1" applyFill="1" applyBorder="1" applyAlignment="1">
      <alignment horizontal="right"/>
    </xf>
    <xf numFmtId="0" fontId="3" fillId="4" borderId="1" xfId="0" applyFont="1" applyFill="1" applyBorder="1"/>
    <xf numFmtId="0" fontId="24" fillId="0" borderId="0" xfId="0" applyFont="1"/>
    <xf numFmtId="0" fontId="25" fillId="0" borderId="0" xfId="0" applyFont="1" applyFill="1" applyBorder="1" applyAlignment="1">
      <alignment horizontal="center"/>
    </xf>
    <xf numFmtId="3" fontId="25" fillId="0" borderId="0" xfId="0" applyNumberFormat="1" applyFont="1" applyFill="1" applyBorder="1"/>
    <xf numFmtId="4" fontId="25" fillId="0" borderId="0" xfId="0" applyNumberFormat="1" applyFont="1" applyFill="1" applyBorder="1" applyAlignment="1">
      <alignment horizontal="right"/>
    </xf>
    <xf numFmtId="196" fontId="25" fillId="0" borderId="0" xfId="0" applyNumberFormat="1" applyFont="1" applyFill="1" applyBorder="1"/>
    <xf numFmtId="4" fontId="16" fillId="0" borderId="0" xfId="0" applyNumberFormat="1" applyFont="1" applyFill="1" applyBorder="1"/>
    <xf numFmtId="4" fontId="18" fillId="0" borderId="0" xfId="0" applyNumberFormat="1" applyFont="1" applyFill="1" applyBorder="1"/>
    <xf numFmtId="4" fontId="26" fillId="0" borderId="0" xfId="0" applyNumberFormat="1" applyFont="1" applyFill="1" applyBorder="1"/>
    <xf numFmtId="0" fontId="16" fillId="0" borderId="1" xfId="0" applyFont="1" applyBorder="1"/>
    <xf numFmtId="0" fontId="2" fillId="5" borderId="1" xfId="0" applyFont="1" applyFill="1" applyBorder="1"/>
    <xf numFmtId="0" fontId="3" fillId="0" borderId="1" xfId="0" applyFont="1" applyFill="1" applyBorder="1"/>
    <xf numFmtId="0" fontId="2" fillId="2" borderId="1" xfId="0" applyFont="1" applyFill="1" applyBorder="1" applyAlignment="1">
      <alignment horizontal="center"/>
    </xf>
    <xf numFmtId="4" fontId="27" fillId="5" borderId="1" xfId="0" applyNumberFormat="1" applyFont="1" applyFill="1" applyBorder="1"/>
    <xf numFmtId="4" fontId="19" fillId="0" borderId="1" xfId="0" applyNumberFormat="1" applyFont="1" applyFill="1" applyBorder="1"/>
    <xf numFmtId="171" fontId="4" fillId="3" borderId="1" xfId="3" applyNumberFormat="1" applyFont="1" applyFill="1" applyBorder="1"/>
    <xf numFmtId="0" fontId="21" fillId="0" borderId="0" xfId="0" applyFont="1" applyFill="1" applyBorder="1" applyAlignment="1">
      <alignment horizontal="center"/>
    </xf>
    <xf numFmtId="4" fontId="0" fillId="0" borderId="0" xfId="0" applyNumberFormat="1" applyFill="1" applyBorder="1"/>
    <xf numFmtId="214" fontId="3" fillId="0" borderId="1" xfId="0" applyNumberFormat="1" applyFont="1" applyFill="1" applyBorder="1"/>
    <xf numFmtId="182" fontId="2" fillId="2" borderId="1" xfId="0" applyNumberFormat="1" applyFont="1" applyFill="1" applyBorder="1" applyAlignment="1">
      <alignment horizontal="center"/>
    </xf>
    <xf numFmtId="194" fontId="4" fillId="3" borderId="1" xfId="3" applyNumberFormat="1" applyFont="1" applyFill="1" applyBorder="1"/>
    <xf numFmtId="0" fontId="15" fillId="5" borderId="1" xfId="0" applyFont="1" applyFill="1" applyBorder="1"/>
    <xf numFmtId="0" fontId="9" fillId="0" borderId="1" xfId="0" applyFont="1" applyFill="1" applyBorder="1"/>
    <xf numFmtId="4" fontId="15" fillId="0" borderId="1" xfId="0" applyNumberFormat="1" applyFont="1" applyBorder="1"/>
    <xf numFmtId="0" fontId="7" fillId="0" borderId="1" xfId="0" applyFont="1" applyFill="1" applyBorder="1"/>
    <xf numFmtId="0" fontId="9" fillId="5" borderId="1" xfId="0" applyFont="1" applyFill="1" applyBorder="1"/>
    <xf numFmtId="196" fontId="27" fillId="0" borderId="1" xfId="0" applyNumberFormat="1" applyFont="1" applyFill="1" applyBorder="1"/>
    <xf numFmtId="196" fontId="28" fillId="5" borderId="1" xfId="0" applyNumberFormat="1" applyFont="1" applyFill="1" applyBorder="1"/>
    <xf numFmtId="196" fontId="0" fillId="0" borderId="1" xfId="0" applyNumberFormat="1" applyBorder="1"/>
    <xf numFmtId="0" fontId="21" fillId="2" borderId="1" xfId="0" applyFont="1" applyFill="1" applyBorder="1" applyAlignment="1">
      <alignment horizontal="center"/>
    </xf>
    <xf numFmtId="3" fontId="25" fillId="0" borderId="0" xfId="0" applyNumberFormat="1" applyFont="1" applyFill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3" fontId="11" fillId="0" borderId="1" xfId="0" applyNumberFormat="1" applyFont="1" applyFill="1" applyBorder="1" applyAlignment="1">
      <alignment horizontal="right"/>
    </xf>
    <xf numFmtId="3" fontId="11" fillId="0" borderId="1" xfId="0" applyNumberFormat="1" applyFont="1" applyFill="1" applyBorder="1"/>
    <xf numFmtId="196" fontId="11" fillId="0" borderId="1" xfId="0" applyNumberFormat="1" applyFont="1" applyFill="1" applyBorder="1"/>
    <xf numFmtId="3" fontId="17" fillId="0" borderId="1" xfId="0" applyNumberFormat="1" applyFont="1" applyFill="1" applyBorder="1"/>
    <xf numFmtId="10" fontId="17" fillId="0" borderId="1" xfId="4" applyNumberFormat="1" applyFont="1" applyFill="1" applyBorder="1"/>
    <xf numFmtId="0" fontId="17" fillId="0" borderId="1" xfId="0" applyFont="1" applyFill="1" applyBorder="1"/>
    <xf numFmtId="10" fontId="17" fillId="0" borderId="1" xfId="4" applyNumberFormat="1" applyFont="1" applyBorder="1"/>
    <xf numFmtId="9" fontId="17" fillId="0" borderId="1" xfId="0" applyNumberFormat="1" applyFont="1" applyBorder="1"/>
    <xf numFmtId="215" fontId="17" fillId="0" borderId="1" xfId="0" applyNumberFormat="1" applyFont="1" applyFill="1" applyBorder="1"/>
    <xf numFmtId="0" fontId="21" fillId="2" borderId="0" xfId="0" applyFont="1" applyFill="1" applyBorder="1" applyAlignment="1">
      <alignment horizontal="center"/>
    </xf>
    <xf numFmtId="181" fontId="3" fillId="0" borderId="0" xfId="3" applyNumberFormat="1" applyFont="1" applyBorder="1"/>
    <xf numFmtId="214" fontId="3" fillId="0" borderId="0" xfId="3" applyNumberFormat="1" applyFont="1" applyBorder="1"/>
    <xf numFmtId="214" fontId="2" fillId="0" borderId="0" xfId="3" applyNumberFormat="1" applyFont="1" applyBorder="1"/>
    <xf numFmtId="0" fontId="3" fillId="0" borderId="0" xfId="3" applyFont="1" applyBorder="1"/>
    <xf numFmtId="214" fontId="4" fillId="3" borderId="0" xfId="3" applyNumberFormat="1" applyFont="1" applyFill="1" applyBorder="1"/>
    <xf numFmtId="0" fontId="21" fillId="2" borderId="3" xfId="0" applyFont="1" applyFill="1" applyBorder="1" applyAlignment="1">
      <alignment horizontal="center"/>
    </xf>
    <xf numFmtId="0" fontId="3" fillId="0" borderId="4" xfId="3" applyFont="1" applyBorder="1"/>
    <xf numFmtId="181" fontId="3" fillId="0" borderId="3" xfId="3" applyNumberFormat="1" applyFont="1" applyBorder="1"/>
    <xf numFmtId="214" fontId="3" fillId="0" borderId="3" xfId="3" applyNumberFormat="1" applyFont="1" applyBorder="1"/>
    <xf numFmtId="214" fontId="2" fillId="0" borderId="3" xfId="3" applyNumberFormat="1" applyFont="1" applyBorder="1"/>
    <xf numFmtId="0" fontId="3" fillId="0" borderId="3" xfId="3" applyFont="1" applyBorder="1"/>
    <xf numFmtId="0" fontId="21" fillId="2" borderId="5" xfId="0" applyFont="1" applyFill="1" applyBorder="1" applyAlignment="1">
      <alignment horizontal="center"/>
    </xf>
    <xf numFmtId="214" fontId="4" fillId="3" borderId="6" xfId="3" applyNumberFormat="1" applyFont="1" applyFill="1" applyBorder="1"/>
    <xf numFmtId="214" fontId="4" fillId="3" borderId="7" xfId="3" applyNumberFormat="1" applyFont="1" applyFill="1" applyBorder="1"/>
    <xf numFmtId="214" fontId="16" fillId="0" borderId="1" xfId="0" applyNumberFormat="1" applyFont="1" applyBorder="1"/>
    <xf numFmtId="0" fontId="3" fillId="0" borderId="0" xfId="3" applyFont="1" applyFill="1" applyBorder="1" applyAlignment="1">
      <alignment horizontal="left" indent="3"/>
    </xf>
    <xf numFmtId="2" fontId="3" fillId="0" borderId="0" xfId="3" applyNumberFormat="1" applyFont="1" applyFill="1" applyBorder="1"/>
    <xf numFmtId="182" fontId="5" fillId="0" borderId="0" xfId="3" applyNumberFormat="1" applyFont="1" applyFill="1" applyBorder="1"/>
    <xf numFmtId="0" fontId="15" fillId="0" borderId="0" xfId="0" applyFont="1" applyFill="1" applyBorder="1"/>
    <xf numFmtId="1" fontId="15" fillId="5" borderId="1" xfId="0" applyNumberFormat="1" applyFont="1" applyFill="1" applyBorder="1"/>
    <xf numFmtId="3" fontId="0" fillId="0" borderId="1" xfId="0" applyNumberFormat="1" applyBorder="1"/>
    <xf numFmtId="3" fontId="27" fillId="0" borderId="1" xfId="0" applyNumberFormat="1" applyFont="1" applyFill="1" applyBorder="1"/>
    <xf numFmtId="175" fontId="4" fillId="0" borderId="0" xfId="3" applyNumberFormat="1" applyFont="1" applyFill="1" applyBorder="1" applyAlignment="1">
      <alignment horizontal="center"/>
    </xf>
    <xf numFmtId="10" fontId="0" fillId="0" borderId="0" xfId="0" applyNumberFormat="1" applyFill="1"/>
    <xf numFmtId="0" fontId="2" fillId="6" borderId="1" xfId="0" applyFont="1" applyFill="1" applyBorder="1"/>
    <xf numFmtId="214" fontId="3" fillId="6" borderId="1" xfId="3" applyNumberFormat="1" applyFont="1" applyFill="1" applyBorder="1"/>
    <xf numFmtId="181" fontId="3" fillId="6" borderId="1" xfId="2" applyNumberFormat="1" applyFont="1" applyFill="1" applyBorder="1"/>
    <xf numFmtId="181" fontId="2" fillId="7" borderId="1" xfId="2" applyNumberFormat="1" applyFont="1" applyFill="1" applyBorder="1"/>
    <xf numFmtId="0" fontId="21" fillId="8" borderId="1" xfId="0" applyFont="1" applyFill="1" applyBorder="1" applyAlignment="1">
      <alignment horizontal="center"/>
    </xf>
    <xf numFmtId="0" fontId="4" fillId="8" borderId="1" xfId="3" applyFont="1" applyFill="1" applyBorder="1" applyAlignment="1">
      <alignment horizontal="center"/>
    </xf>
    <xf numFmtId="0" fontId="4" fillId="8" borderId="1" xfId="3" applyFont="1" applyFill="1" applyBorder="1" applyAlignment="1">
      <alignment horizontal="center" wrapText="1"/>
    </xf>
    <xf numFmtId="0" fontId="29" fillId="8" borderId="1" xfId="0" applyFont="1" applyFill="1" applyBorder="1" applyAlignment="1">
      <alignment horizontal="center" wrapText="1"/>
    </xf>
    <xf numFmtId="224" fontId="3" fillId="0" borderId="0" xfId="3" applyNumberFormat="1" applyFont="1" applyFill="1" applyBorder="1"/>
    <xf numFmtId="0" fontId="0" fillId="0" borderId="1" xfId="0" applyBorder="1"/>
    <xf numFmtId="0" fontId="2" fillId="2" borderId="0" xfId="0" applyFont="1" applyFill="1" applyBorder="1" applyAlignment="1">
      <alignment horizontal="center"/>
    </xf>
    <xf numFmtId="182" fontId="2" fillId="2" borderId="0" xfId="0" applyNumberFormat="1" applyFont="1" applyFill="1" applyBorder="1" applyAlignment="1">
      <alignment horizontal="center"/>
    </xf>
    <xf numFmtId="167" fontId="0" fillId="0" borderId="0" xfId="0" applyNumberFormat="1"/>
    <xf numFmtId="10" fontId="0" fillId="0" borderId="0" xfId="0" applyNumberFormat="1"/>
    <xf numFmtId="0" fontId="16" fillId="6" borderId="1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/>
    </xf>
    <xf numFmtId="0" fontId="20" fillId="9" borderId="0" xfId="0" applyFont="1" applyFill="1" applyAlignment="1">
      <alignment horizontal="center"/>
    </xf>
    <xf numFmtId="0" fontId="21" fillId="2" borderId="1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1" fillId="2" borderId="12" xfId="0" applyFont="1" applyFill="1" applyBorder="1" applyAlignment="1">
      <alignment horizontal="center"/>
    </xf>
    <xf numFmtId="0" fontId="21" fillId="2" borderId="13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3" fillId="6" borderId="1" xfId="3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/>
    </xf>
    <xf numFmtId="0" fontId="20" fillId="9" borderId="0" xfId="0" applyFont="1" applyFill="1" applyAlignment="1">
      <alignment horizontal="center" vertical="center"/>
    </xf>
    <xf numFmtId="0" fontId="21" fillId="8" borderId="2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" fillId="7" borderId="1" xfId="3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 vertical="center"/>
    </xf>
    <xf numFmtId="0" fontId="4" fillId="8" borderId="2" xfId="3" applyFont="1" applyFill="1" applyBorder="1" applyAlignment="1">
      <alignment horizontal="center" vertical="center"/>
    </xf>
    <xf numFmtId="0" fontId="4" fillId="8" borderId="11" xfId="3" applyFont="1" applyFill="1" applyBorder="1" applyAlignment="1">
      <alignment horizontal="center" vertical="center"/>
    </xf>
    <xf numFmtId="0" fontId="4" fillId="8" borderId="12" xfId="3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2" borderId="1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/>
    </xf>
    <xf numFmtId="0" fontId="30" fillId="0" borderId="14" xfId="0" applyFont="1" applyBorder="1" applyAlignment="1">
      <alignment horizontal="left" wrapText="1"/>
    </xf>
  </cellXfs>
  <cellStyles count="5">
    <cellStyle name="Millares" xfId="1" builtinId="3"/>
    <cellStyle name="Millares 2" xfId="2"/>
    <cellStyle name="Normal" xfId="0" builtinId="0"/>
    <cellStyle name="Normal 2" xfId="3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topLeftCell="C29" zoomScale="148" zoomScaleNormal="148" workbookViewId="0">
      <selection activeCell="E43" sqref="E43"/>
    </sheetView>
  </sheetViews>
  <sheetFormatPr baseColWidth="10" defaultRowHeight="15" x14ac:dyDescent="0.25"/>
  <cols>
    <col min="2" max="2" width="11.42578125" customWidth="1"/>
    <col min="3" max="3" width="26.7109375" customWidth="1"/>
    <col min="4" max="4" width="10.28515625" customWidth="1"/>
    <col min="5" max="5" width="8.140625" customWidth="1"/>
    <col min="6" max="6" width="7.5703125" customWidth="1"/>
    <col min="7" max="7" width="8" customWidth="1"/>
    <col min="8" max="8" width="8.42578125" customWidth="1"/>
    <col min="9" max="9" width="8" customWidth="1"/>
    <col min="10" max="10" width="8.5703125" customWidth="1"/>
  </cols>
  <sheetData>
    <row r="1" spans="2:14" x14ac:dyDescent="0.25">
      <c r="C1" s="9" t="s">
        <v>72</v>
      </c>
    </row>
    <row r="2" spans="2:14" ht="16.5" x14ac:dyDescent="0.3">
      <c r="B2" s="1"/>
      <c r="C2" s="150" t="s">
        <v>6</v>
      </c>
      <c r="D2" s="150" t="s">
        <v>55</v>
      </c>
      <c r="E2" s="150"/>
      <c r="F2" s="139" t="s">
        <v>56</v>
      </c>
      <c r="G2" s="139" t="s">
        <v>57</v>
      </c>
      <c r="H2" s="1"/>
      <c r="I2" s="9"/>
    </row>
    <row r="3" spans="2:14" ht="16.5" x14ac:dyDescent="0.3">
      <c r="B3" s="1"/>
      <c r="C3" s="150"/>
      <c r="D3" s="127" t="s">
        <v>58</v>
      </c>
      <c r="E3" s="127" t="s">
        <v>0</v>
      </c>
      <c r="F3" s="139"/>
      <c r="G3" s="139"/>
      <c r="H3" s="1"/>
      <c r="I3" s="9"/>
    </row>
    <row r="4" spans="2:14" ht="16.5" x14ac:dyDescent="0.3">
      <c r="B4" s="1"/>
      <c r="C4" s="18" t="s">
        <v>3</v>
      </c>
      <c r="D4" s="4">
        <v>400</v>
      </c>
      <c r="E4" s="19">
        <v>560</v>
      </c>
      <c r="F4" s="115">
        <v>4</v>
      </c>
      <c r="G4" s="66">
        <v>3</v>
      </c>
      <c r="H4" s="1"/>
      <c r="I4" s="9"/>
    </row>
    <row r="5" spans="2:14" ht="16.5" x14ac:dyDescent="0.3">
      <c r="B5" s="1"/>
      <c r="C5" s="18" t="s">
        <v>5</v>
      </c>
      <c r="D5" s="4">
        <v>180</v>
      </c>
      <c r="E5" s="19">
        <v>252</v>
      </c>
      <c r="F5" s="66">
        <v>2.5</v>
      </c>
      <c r="G5" s="66">
        <v>1.4</v>
      </c>
      <c r="H5" s="1"/>
      <c r="I5" s="9"/>
      <c r="J5" s="20"/>
    </row>
    <row r="6" spans="2:14" ht="16.5" x14ac:dyDescent="0.3">
      <c r="B6" s="1"/>
      <c r="C6" s="18" t="s">
        <v>4</v>
      </c>
      <c r="D6" s="4">
        <v>180</v>
      </c>
      <c r="E6" s="19">
        <v>252</v>
      </c>
      <c r="F6" s="66">
        <v>3</v>
      </c>
      <c r="G6" s="66">
        <v>1.6</v>
      </c>
      <c r="H6" s="1"/>
      <c r="I6" s="9"/>
    </row>
    <row r="7" spans="2:14" ht="16.5" x14ac:dyDescent="0.3">
      <c r="B7" s="1"/>
      <c r="C7" s="3" t="s">
        <v>1</v>
      </c>
      <c r="D7" s="3"/>
      <c r="E7" s="3"/>
      <c r="F7" s="1"/>
      <c r="G7" s="1"/>
      <c r="H7" s="1"/>
      <c r="I7" s="1"/>
      <c r="J7" s="1"/>
      <c r="K7" s="1"/>
    </row>
    <row r="8" spans="2:14" ht="16.5" x14ac:dyDescent="0.3">
      <c r="B8" s="1"/>
      <c r="C8" s="2" t="s">
        <v>80</v>
      </c>
      <c r="D8" s="2"/>
      <c r="E8" s="2"/>
      <c r="F8" s="3"/>
      <c r="G8" s="3"/>
      <c r="H8" s="3"/>
      <c r="I8" s="1"/>
      <c r="J8" s="1"/>
      <c r="K8" s="1"/>
    </row>
    <row r="9" spans="2:14" ht="12.75" customHeight="1" x14ac:dyDescent="0.3">
      <c r="B9" s="1"/>
      <c r="C9" s="2"/>
      <c r="D9" s="2"/>
      <c r="E9" s="2"/>
      <c r="F9" s="3"/>
      <c r="G9" s="3"/>
      <c r="H9" s="3"/>
      <c r="I9" s="1"/>
      <c r="J9" s="1"/>
      <c r="K9" s="1"/>
    </row>
    <row r="10" spans="2:14" ht="16.5" x14ac:dyDescent="0.3">
      <c r="B10" s="1"/>
      <c r="C10" s="143" t="s">
        <v>73</v>
      </c>
      <c r="D10" s="143"/>
      <c r="E10" s="143"/>
      <c r="F10" s="143"/>
      <c r="G10" s="143"/>
      <c r="H10" s="143"/>
      <c r="I10" s="27"/>
      <c r="J10" s="27"/>
      <c r="K10" s="27"/>
      <c r="L10" s="24"/>
      <c r="M10" s="24"/>
      <c r="N10" s="24"/>
    </row>
    <row r="11" spans="2:14" s="16" customFormat="1" ht="6.75" customHeight="1" thickBot="1" x14ac:dyDescent="0.35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4"/>
      <c r="M11" s="24"/>
      <c r="N11" s="24"/>
    </row>
    <row r="12" spans="2:14" s="16" customFormat="1" ht="16.5" x14ac:dyDescent="0.3">
      <c r="B12" s="25"/>
      <c r="C12" s="148" t="s">
        <v>19</v>
      </c>
      <c r="D12" s="140" t="s">
        <v>20</v>
      </c>
      <c r="E12" s="141"/>
      <c r="F12" s="141"/>
      <c r="G12" s="142"/>
      <c r="H12" s="100"/>
      <c r="I12" s="28"/>
      <c r="J12" s="28"/>
      <c r="K12" s="28"/>
      <c r="L12" s="28"/>
      <c r="M12" s="28"/>
      <c r="N12" s="28"/>
    </row>
    <row r="13" spans="2:14" ht="14.25" customHeight="1" x14ac:dyDescent="0.3">
      <c r="B13" s="1"/>
      <c r="C13" s="149"/>
      <c r="D13" s="86">
        <v>1</v>
      </c>
      <c r="E13" s="86">
        <v>2</v>
      </c>
      <c r="F13" s="86">
        <v>3</v>
      </c>
      <c r="G13" s="106">
        <v>4</v>
      </c>
      <c r="H13" s="100"/>
      <c r="I13" s="29"/>
      <c r="J13" s="29"/>
      <c r="K13" s="29"/>
      <c r="L13" s="29"/>
      <c r="M13" s="29"/>
      <c r="N13" s="29"/>
    </row>
    <row r="14" spans="2:14" ht="13.5" customHeight="1" x14ac:dyDescent="0.3">
      <c r="B14" s="1"/>
      <c r="C14" s="107" t="s">
        <v>22</v>
      </c>
      <c r="D14" s="7">
        <f>(D4*F4+D5*F5+D6*F6)*12</f>
        <v>31080</v>
      </c>
      <c r="E14" s="7">
        <f>+D14</f>
        <v>31080</v>
      </c>
      <c r="F14" s="7">
        <f>+E14</f>
        <v>31080</v>
      </c>
      <c r="G14" s="108">
        <f>+F14</f>
        <v>31080</v>
      </c>
      <c r="H14" s="101"/>
      <c r="I14" s="10"/>
      <c r="J14" s="1"/>
      <c r="K14" s="1"/>
    </row>
    <row r="15" spans="2:14" ht="13.5" customHeight="1" x14ac:dyDescent="0.3">
      <c r="B15" s="1"/>
      <c r="C15" s="107" t="s">
        <v>21</v>
      </c>
      <c r="D15" s="7">
        <f>($D$4*$G$4+$D$5*$G$5+$D$6*$G$6)*12</f>
        <v>20880</v>
      </c>
      <c r="E15" s="7">
        <f>($D$4*$G$4+$D$5*$G$5+$D$6*$G$6)*12</f>
        <v>20880</v>
      </c>
      <c r="F15" s="7">
        <f>($D$4*$G$4+$D$5*$G$5+$D$6*$G$6)*12</f>
        <v>20880</v>
      </c>
      <c r="G15" s="108">
        <f>($D$4*$G$4+$D$5*$G$5+$D$6*$G$6)*12</f>
        <v>20880</v>
      </c>
      <c r="H15" s="101"/>
      <c r="I15" s="1"/>
      <c r="J15" s="1"/>
      <c r="K15" s="1"/>
    </row>
    <row r="16" spans="2:14" ht="13.5" customHeight="1" x14ac:dyDescent="0.3">
      <c r="B16" s="1"/>
      <c r="C16" s="107" t="s">
        <v>59</v>
      </c>
      <c r="D16" s="31">
        <f>0.15*$D$14</f>
        <v>4662</v>
      </c>
      <c r="E16" s="31">
        <f>0.15*$D$14</f>
        <v>4662</v>
      </c>
      <c r="F16" s="31">
        <f>0.15*$D$14</f>
        <v>4662</v>
      </c>
      <c r="G16" s="109">
        <f>0.15*$D$14</f>
        <v>4662</v>
      </c>
      <c r="H16" s="102"/>
      <c r="I16" s="1"/>
      <c r="J16" s="1"/>
      <c r="K16" s="1"/>
    </row>
    <row r="17" spans="2:14" ht="13.5" customHeight="1" x14ac:dyDescent="0.3">
      <c r="B17" s="1"/>
      <c r="C17" s="107" t="s">
        <v>62</v>
      </c>
      <c r="D17" s="31">
        <f>0.06*D14</f>
        <v>1864.8</v>
      </c>
      <c r="E17" s="31">
        <f>0.06*E14</f>
        <v>1864.8</v>
      </c>
      <c r="F17" s="31">
        <f>0.06*F14</f>
        <v>1864.8</v>
      </c>
      <c r="G17" s="109">
        <f>0.06*G14</f>
        <v>1864.8</v>
      </c>
      <c r="H17" s="102"/>
      <c r="I17" s="1"/>
      <c r="J17" s="1"/>
      <c r="K17" s="1"/>
    </row>
    <row r="18" spans="2:14" ht="13.5" customHeight="1" x14ac:dyDescent="0.3">
      <c r="B18" s="1"/>
      <c r="C18" s="107" t="s">
        <v>7</v>
      </c>
      <c r="D18" s="41">
        <f>+D14-(D15+D16+D17)</f>
        <v>3673.2000000000007</v>
      </c>
      <c r="E18" s="41">
        <f>+D18</f>
        <v>3673.2000000000007</v>
      </c>
      <c r="F18" s="41">
        <f>+E18</f>
        <v>3673.2000000000007</v>
      </c>
      <c r="G18" s="110">
        <f>+F18</f>
        <v>3673.2000000000007</v>
      </c>
      <c r="H18" s="103"/>
      <c r="I18" s="1"/>
      <c r="J18" s="1"/>
      <c r="K18" s="1"/>
    </row>
    <row r="19" spans="2:14" ht="13.5" customHeight="1" x14ac:dyDescent="0.3">
      <c r="B19" s="1"/>
      <c r="C19" s="107" t="s">
        <v>61</v>
      </c>
      <c r="D19" s="6">
        <v>0</v>
      </c>
      <c r="E19" s="6">
        <v>0</v>
      </c>
      <c r="F19" s="6">
        <v>0</v>
      </c>
      <c r="G19" s="111">
        <v>0</v>
      </c>
      <c r="H19" s="104"/>
      <c r="I19" s="1"/>
      <c r="J19" s="1"/>
      <c r="K19" s="1"/>
    </row>
    <row r="20" spans="2:14" ht="13.5" customHeight="1" x14ac:dyDescent="0.3">
      <c r="B20" s="1"/>
      <c r="C20" s="107" t="s">
        <v>8</v>
      </c>
      <c r="D20" s="31">
        <f>+$D$18</f>
        <v>3673.2000000000007</v>
      </c>
      <c r="E20" s="31">
        <f>+$D$18</f>
        <v>3673.2000000000007</v>
      </c>
      <c r="F20" s="31">
        <f>+$D$18</f>
        <v>3673.2000000000007</v>
      </c>
      <c r="G20" s="109">
        <f>+$D$18</f>
        <v>3673.2000000000007</v>
      </c>
      <c r="H20" s="102"/>
      <c r="I20" s="1"/>
      <c r="J20" s="1"/>
      <c r="K20" s="1"/>
    </row>
    <row r="21" spans="2:14" ht="13.5" customHeight="1" x14ac:dyDescent="0.3">
      <c r="B21" s="1"/>
      <c r="C21" s="107" t="s">
        <v>60</v>
      </c>
      <c r="D21" s="7">
        <f>+$D$20*0.3</f>
        <v>1101.9600000000003</v>
      </c>
      <c r="E21" s="7">
        <f>+$D$20*0.3</f>
        <v>1101.9600000000003</v>
      </c>
      <c r="F21" s="7">
        <f>+$D$20*0.3</f>
        <v>1101.9600000000003</v>
      </c>
      <c r="G21" s="108">
        <f>+$D$20*0.3</f>
        <v>1101.9600000000003</v>
      </c>
      <c r="H21" s="101"/>
      <c r="I21" s="1"/>
      <c r="J21" s="1"/>
      <c r="K21" s="1"/>
    </row>
    <row r="22" spans="2:14" ht="17.25" thickBot="1" x14ac:dyDescent="0.35">
      <c r="B22" s="1"/>
      <c r="C22" s="112" t="s">
        <v>2</v>
      </c>
      <c r="D22" s="113">
        <f>+D20-D21</f>
        <v>2571.2400000000007</v>
      </c>
      <c r="E22" s="113">
        <f>+E20-E21</f>
        <v>2571.2400000000007</v>
      </c>
      <c r="F22" s="113">
        <f>+F20-F21</f>
        <v>2571.2400000000007</v>
      </c>
      <c r="G22" s="114">
        <f>+G20-G21</f>
        <v>2571.2400000000007</v>
      </c>
      <c r="H22" s="105"/>
      <c r="I22" s="1"/>
      <c r="J22" s="1"/>
      <c r="K22" s="1"/>
    </row>
    <row r="23" spans="2:14" s="12" customFormat="1" ht="16.5" x14ac:dyDescent="0.3">
      <c r="B23" s="11"/>
      <c r="H23" s="5"/>
      <c r="I23" s="11"/>
      <c r="J23" s="11"/>
      <c r="K23" s="11"/>
    </row>
    <row r="24" spans="2:14" s="12" customFormat="1" ht="16.5" customHeight="1" x14ac:dyDescent="0.3">
      <c r="B24" s="11"/>
      <c r="C24" s="143" t="s">
        <v>74</v>
      </c>
      <c r="D24" s="143"/>
      <c r="E24" s="143"/>
      <c r="F24" s="143"/>
      <c r="G24" s="143"/>
      <c r="H24" s="143"/>
      <c r="I24" s="32"/>
      <c r="J24" s="32"/>
      <c r="K24" s="32"/>
      <c r="L24" s="32"/>
      <c r="M24" s="32"/>
      <c r="N24" s="32"/>
    </row>
    <row r="25" spans="2:14" s="12" customFormat="1" ht="12.75" customHeight="1" x14ac:dyDescent="0.3">
      <c r="B25" s="11"/>
      <c r="C25" s="26"/>
      <c r="D25" s="26"/>
      <c r="E25" s="26"/>
      <c r="F25" s="26"/>
      <c r="G25" s="26"/>
      <c r="H25" s="26"/>
      <c r="I25" s="32"/>
      <c r="J25" s="32"/>
      <c r="K25" s="32"/>
      <c r="L25" s="32"/>
      <c r="M25" s="32"/>
      <c r="N25" s="32"/>
    </row>
    <row r="26" spans="2:14" s="12" customFormat="1" ht="16.5" x14ac:dyDescent="0.3">
      <c r="B26" s="11"/>
      <c r="C26" s="144" t="s">
        <v>19</v>
      </c>
      <c r="D26" s="145" t="s">
        <v>20</v>
      </c>
      <c r="E26" s="146"/>
      <c r="F26" s="146"/>
      <c r="G26" s="146"/>
      <c r="H26" s="147"/>
      <c r="I26" s="11"/>
      <c r="J26" s="11"/>
      <c r="K26" s="11"/>
    </row>
    <row r="27" spans="2:14" s="12" customFormat="1" ht="15.75" customHeight="1" x14ac:dyDescent="0.3">
      <c r="B27" s="11"/>
      <c r="C27" s="144"/>
      <c r="D27" s="30">
        <v>0</v>
      </c>
      <c r="E27" s="30">
        <v>1</v>
      </c>
      <c r="F27" s="30">
        <v>2</v>
      </c>
      <c r="G27" s="30">
        <v>3</v>
      </c>
      <c r="H27" s="30">
        <v>4</v>
      </c>
      <c r="I27" s="11"/>
      <c r="J27" s="11"/>
      <c r="K27" s="11"/>
    </row>
    <row r="28" spans="2:14" s="12" customFormat="1" ht="15.75" customHeight="1" x14ac:dyDescent="0.3">
      <c r="B28" s="11"/>
      <c r="C28" s="35" t="s">
        <v>9</v>
      </c>
      <c r="D28" s="33"/>
      <c r="E28" s="33"/>
      <c r="F28" s="33"/>
      <c r="G28" s="33"/>
      <c r="H28" s="33"/>
      <c r="I28" s="11"/>
      <c r="J28" s="11"/>
      <c r="K28" s="11"/>
    </row>
    <row r="29" spans="2:14" s="12" customFormat="1" ht="15" customHeight="1" x14ac:dyDescent="0.3">
      <c r="B29" s="11"/>
      <c r="C29" s="6" t="s">
        <v>22</v>
      </c>
      <c r="D29" s="34"/>
      <c r="E29" s="34">
        <f>D14</f>
        <v>31080</v>
      </c>
      <c r="F29" s="34">
        <f>E14</f>
        <v>31080</v>
      </c>
      <c r="G29" s="34">
        <f>F14</f>
        <v>31080</v>
      </c>
      <c r="H29" s="34">
        <f>G14</f>
        <v>31080</v>
      </c>
      <c r="I29" s="11"/>
      <c r="J29" s="11"/>
      <c r="K29" s="11"/>
    </row>
    <row r="30" spans="2:14" s="12" customFormat="1" ht="15" customHeight="1" x14ac:dyDescent="0.3">
      <c r="B30" s="11"/>
      <c r="C30" s="8" t="s">
        <v>10</v>
      </c>
      <c r="D30" s="36">
        <v>0</v>
      </c>
      <c r="E30" s="36">
        <f>+E29</f>
        <v>31080</v>
      </c>
      <c r="F30" s="36">
        <f>+F29</f>
        <v>31080</v>
      </c>
      <c r="G30" s="36">
        <f>+G29</f>
        <v>31080</v>
      </c>
      <c r="H30" s="36">
        <f>+H29</f>
        <v>31080</v>
      </c>
      <c r="I30" s="11"/>
      <c r="J30" s="11"/>
      <c r="K30" s="11"/>
    </row>
    <row r="31" spans="2:14" s="12" customFormat="1" ht="15" customHeight="1" x14ac:dyDescent="0.3">
      <c r="B31" s="11"/>
      <c r="C31" s="8" t="s">
        <v>11</v>
      </c>
      <c r="D31" s="36"/>
      <c r="E31" s="36"/>
      <c r="F31" s="36"/>
      <c r="G31" s="36"/>
      <c r="H31" s="36"/>
      <c r="I31" s="11"/>
      <c r="J31" s="11"/>
      <c r="K31" s="11"/>
    </row>
    <row r="32" spans="2:14" s="12" customFormat="1" ht="15" customHeight="1" x14ac:dyDescent="0.3">
      <c r="B32" s="11"/>
      <c r="C32" s="6" t="s">
        <v>23</v>
      </c>
      <c r="D32" s="7"/>
      <c r="E32" s="7">
        <f t="shared" ref="E32:H33" si="0">D15</f>
        <v>20880</v>
      </c>
      <c r="F32" s="7">
        <f t="shared" si="0"/>
        <v>20880</v>
      </c>
      <c r="G32" s="7">
        <f t="shared" si="0"/>
        <v>20880</v>
      </c>
      <c r="H32" s="7">
        <f t="shared" si="0"/>
        <v>20880</v>
      </c>
      <c r="I32" s="11"/>
      <c r="J32" s="11"/>
      <c r="K32" s="11"/>
    </row>
    <row r="33" spans="2:11" s="12" customFormat="1" ht="15" customHeight="1" x14ac:dyDescent="0.3">
      <c r="B33" s="11"/>
      <c r="C33" s="6" t="s">
        <v>59</v>
      </c>
      <c r="D33" s="31"/>
      <c r="E33" s="31">
        <f t="shared" si="0"/>
        <v>4662</v>
      </c>
      <c r="F33" s="31">
        <f t="shared" si="0"/>
        <v>4662</v>
      </c>
      <c r="G33" s="31">
        <f t="shared" si="0"/>
        <v>4662</v>
      </c>
      <c r="H33" s="31">
        <f t="shared" si="0"/>
        <v>4662</v>
      </c>
      <c r="I33" s="11"/>
      <c r="J33" s="11"/>
      <c r="K33" s="11"/>
    </row>
    <row r="34" spans="2:11" s="12" customFormat="1" ht="15" customHeight="1" x14ac:dyDescent="0.3">
      <c r="B34" s="11"/>
      <c r="C34" s="6" t="s">
        <v>63</v>
      </c>
      <c r="D34" s="31">
        <f>0.06*D30</f>
        <v>0</v>
      </c>
      <c r="E34" s="31">
        <f>0.06*E30</f>
        <v>1864.8</v>
      </c>
      <c r="F34" s="31">
        <f>0.06*F30</f>
        <v>1864.8</v>
      </c>
      <c r="G34" s="31">
        <f>0.06*G30</f>
        <v>1864.8</v>
      </c>
      <c r="H34" s="31">
        <f>0.06*H30</f>
        <v>1864.8</v>
      </c>
      <c r="I34" s="11"/>
      <c r="J34" s="11"/>
      <c r="K34" s="11"/>
    </row>
    <row r="35" spans="2:11" s="12" customFormat="1" ht="15" customHeight="1" x14ac:dyDescent="0.3">
      <c r="B35" s="11"/>
      <c r="C35" s="6" t="s">
        <v>24</v>
      </c>
      <c r="D35" s="31"/>
      <c r="E35" s="31">
        <f>D21</f>
        <v>1101.9600000000003</v>
      </c>
      <c r="F35" s="31">
        <f>E21</f>
        <v>1101.9600000000003</v>
      </c>
      <c r="G35" s="31">
        <f>F21</f>
        <v>1101.9600000000003</v>
      </c>
      <c r="H35" s="31">
        <f>G21</f>
        <v>1101.9600000000003</v>
      </c>
      <c r="I35" s="11"/>
      <c r="J35" s="11"/>
      <c r="K35" s="11"/>
    </row>
    <row r="36" spans="2:11" s="12" customFormat="1" ht="15" customHeight="1" x14ac:dyDescent="0.3">
      <c r="B36" s="11"/>
      <c r="C36" s="8" t="s">
        <v>25</v>
      </c>
      <c r="D36" s="38">
        <f>+(D32+D33+D34+D35)</f>
        <v>0</v>
      </c>
      <c r="E36" s="38">
        <f>+(E32+E33+E34+E35)</f>
        <v>28508.76</v>
      </c>
      <c r="F36" s="38">
        <f>+(F32+F33+F34+F35)</f>
        <v>28508.76</v>
      </c>
      <c r="G36" s="38">
        <f>+(G32+G33+G34+G35)</f>
        <v>28508.76</v>
      </c>
      <c r="H36" s="38">
        <f>+(H32+H33+H34+H35)</f>
        <v>28508.76</v>
      </c>
      <c r="I36" s="11"/>
      <c r="J36" s="11"/>
      <c r="K36" s="11"/>
    </row>
    <row r="37" spans="2:11" s="12" customFormat="1" ht="16.5" x14ac:dyDescent="0.3">
      <c r="B37" s="11"/>
      <c r="C37" s="30" t="s">
        <v>12</v>
      </c>
      <c r="D37" s="37">
        <v>0</v>
      </c>
      <c r="E37" s="37">
        <f>+(E30-E36)</f>
        <v>2571.2400000000016</v>
      </c>
      <c r="F37" s="37">
        <f>+(F30-F36)</f>
        <v>2571.2400000000016</v>
      </c>
      <c r="G37" s="37">
        <f>+(G30-G36)</f>
        <v>2571.2400000000016</v>
      </c>
      <c r="H37" s="37">
        <f>+(H30-H36)</f>
        <v>2571.2400000000016</v>
      </c>
      <c r="I37" s="11"/>
      <c r="J37" s="11"/>
      <c r="K37" s="11"/>
    </row>
    <row r="38" spans="2:11" s="12" customFormat="1" ht="16.5" x14ac:dyDescent="0.3">
      <c r="B38" s="11"/>
      <c r="C38" s="14"/>
      <c r="D38" s="15"/>
      <c r="E38" s="15"/>
      <c r="F38" s="15"/>
      <c r="G38" s="15"/>
      <c r="H38" s="15"/>
      <c r="I38" s="11"/>
      <c r="J38" s="11"/>
      <c r="K38" s="11"/>
    </row>
    <row r="39" spans="2:11" s="12" customFormat="1" ht="16.5" x14ac:dyDescent="0.3">
      <c r="B39" s="11"/>
      <c r="C39" s="13"/>
      <c r="D39" s="123"/>
      <c r="E39" s="13"/>
      <c r="F39" s="13"/>
      <c r="G39" s="13"/>
      <c r="H39" s="13"/>
      <c r="I39" s="11"/>
      <c r="J39" s="11"/>
      <c r="K39" s="11"/>
    </row>
    <row r="41" spans="2:11" x14ac:dyDescent="0.25">
      <c r="D41" s="17"/>
    </row>
  </sheetData>
  <mergeCells count="10">
    <mergeCell ref="F2:F3"/>
    <mergeCell ref="G2:G3"/>
    <mergeCell ref="D12:G12"/>
    <mergeCell ref="C10:H10"/>
    <mergeCell ref="C24:H24"/>
    <mergeCell ref="C26:C27"/>
    <mergeCell ref="D26:H26"/>
    <mergeCell ref="C12:C13"/>
    <mergeCell ref="D2:E2"/>
    <mergeCell ref="C2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83"/>
  <sheetViews>
    <sheetView tabSelected="1" topLeftCell="A54" zoomScale="142" zoomScaleNormal="142" workbookViewId="0">
      <selection activeCell="I62" sqref="I62"/>
    </sheetView>
  </sheetViews>
  <sheetFormatPr baseColWidth="10" defaultRowHeight="15" x14ac:dyDescent="0.25"/>
  <cols>
    <col min="2" max="2" width="26.7109375" customWidth="1"/>
    <col min="3" max="3" width="12" customWidth="1"/>
    <col min="5" max="6" width="9" customWidth="1"/>
    <col min="7" max="7" width="9.42578125" customWidth="1"/>
    <col min="8" max="8" width="7" customWidth="1"/>
    <col min="9" max="9" width="18.28515625" customWidth="1"/>
    <col min="11" max="11" width="19.85546875" customWidth="1"/>
    <col min="12" max="12" width="8.7109375" customWidth="1"/>
    <col min="13" max="15" width="7.42578125" customWidth="1"/>
    <col min="16" max="16" width="8" customWidth="1"/>
    <col min="17" max="17" width="10.7109375" customWidth="1"/>
  </cols>
  <sheetData>
    <row r="2" spans="2:17" ht="16.5" x14ac:dyDescent="0.3">
      <c r="B2" s="21" t="s">
        <v>69</v>
      </c>
      <c r="C2" s="1"/>
      <c r="D2" s="1"/>
      <c r="E2" s="1"/>
      <c r="F2" s="1"/>
      <c r="G2" s="1"/>
      <c r="H2" s="1"/>
    </row>
    <row r="3" spans="2:17" ht="16.5" x14ac:dyDescent="0.3">
      <c r="B3" s="2" t="s">
        <v>79</v>
      </c>
      <c r="C3" s="3"/>
      <c r="D3" s="3"/>
      <c r="E3" s="1"/>
      <c r="F3" s="1"/>
      <c r="G3" s="1"/>
      <c r="H3" s="1"/>
    </row>
    <row r="4" spans="2:17" ht="16.5" x14ac:dyDescent="0.3">
      <c r="B4" s="2" t="s">
        <v>26</v>
      </c>
      <c r="C4" s="3"/>
      <c r="D4" s="3"/>
      <c r="E4" s="1"/>
      <c r="F4" s="1"/>
      <c r="G4" s="1"/>
      <c r="H4" s="1"/>
    </row>
    <row r="5" spans="2:17" ht="13.5" customHeight="1" x14ac:dyDescent="0.3">
      <c r="G5" s="11"/>
      <c r="H5" s="11"/>
      <c r="I5" s="12"/>
    </row>
    <row r="6" spans="2:17" ht="16.5" x14ac:dyDescent="0.3">
      <c r="B6" s="160" t="s">
        <v>6</v>
      </c>
      <c r="C6" s="160" t="s">
        <v>55</v>
      </c>
      <c r="D6" s="160"/>
      <c r="E6" s="161" t="s">
        <v>56</v>
      </c>
      <c r="F6" s="161" t="s">
        <v>57</v>
      </c>
      <c r="G6" s="11"/>
      <c r="H6" s="11"/>
      <c r="I6" s="12"/>
    </row>
    <row r="7" spans="2:17" ht="16.5" x14ac:dyDescent="0.3">
      <c r="B7" s="160"/>
      <c r="C7" s="128" t="s">
        <v>58</v>
      </c>
      <c r="D7" s="128" t="s">
        <v>0</v>
      </c>
      <c r="E7" s="161"/>
      <c r="F7" s="161"/>
      <c r="G7" s="11"/>
      <c r="H7" s="11"/>
      <c r="I7" s="12"/>
    </row>
    <row r="8" spans="2:17" ht="16.5" x14ac:dyDescent="0.3">
      <c r="B8" s="18" t="s">
        <v>3</v>
      </c>
      <c r="C8" s="4">
        <v>400</v>
      </c>
      <c r="D8" s="19">
        <v>560</v>
      </c>
      <c r="E8" s="115">
        <v>4</v>
      </c>
      <c r="F8" s="66">
        <v>3</v>
      </c>
      <c r="G8" s="11"/>
      <c r="H8" s="11"/>
      <c r="I8" s="12"/>
    </row>
    <row r="9" spans="2:17" ht="13.5" hidden="1" customHeight="1" x14ac:dyDescent="0.3">
      <c r="B9" s="18" t="s">
        <v>5</v>
      </c>
      <c r="C9" s="4">
        <v>180</v>
      </c>
      <c r="D9" s="19">
        <v>230.4</v>
      </c>
      <c r="E9" s="66">
        <v>2.5</v>
      </c>
      <c r="F9" s="66">
        <v>1.4</v>
      </c>
      <c r="G9" s="11"/>
      <c r="H9" s="11"/>
      <c r="I9" s="12"/>
    </row>
    <row r="10" spans="2:17" ht="13.5" hidden="1" customHeight="1" x14ac:dyDescent="0.3">
      <c r="B10" s="18" t="s">
        <v>4</v>
      </c>
      <c r="C10" s="4">
        <v>180</v>
      </c>
      <c r="D10" s="19">
        <v>230.4</v>
      </c>
      <c r="E10" s="66">
        <v>3</v>
      </c>
      <c r="F10" s="66">
        <v>1.6</v>
      </c>
      <c r="G10" s="116"/>
      <c r="H10" s="118"/>
      <c r="I10" s="12"/>
    </row>
    <row r="11" spans="2:17" ht="13.5" hidden="1" customHeight="1" x14ac:dyDescent="0.3">
      <c r="B11" s="116"/>
      <c r="C11" s="117"/>
      <c r="D11" s="117"/>
      <c r="E11" s="11"/>
      <c r="F11" s="11"/>
      <c r="G11" s="11"/>
      <c r="H11" s="12"/>
      <c r="I11" s="12"/>
    </row>
    <row r="12" spans="2:17" ht="16.5" x14ac:dyDescent="0.3">
      <c r="B12" s="18" t="s">
        <v>5</v>
      </c>
      <c r="C12" s="4">
        <v>180</v>
      </c>
      <c r="D12" s="19">
        <v>252</v>
      </c>
      <c r="E12" s="66">
        <v>2.5</v>
      </c>
      <c r="F12" s="66">
        <v>1.4</v>
      </c>
      <c r="G12" s="11"/>
      <c r="H12" s="12"/>
      <c r="I12" s="12"/>
    </row>
    <row r="13" spans="2:17" ht="16.5" x14ac:dyDescent="0.3">
      <c r="B13" s="18" t="s">
        <v>4</v>
      </c>
      <c r="C13" s="4">
        <v>180</v>
      </c>
      <c r="D13" s="19">
        <v>252</v>
      </c>
      <c r="E13" s="66">
        <v>3</v>
      </c>
      <c r="F13" s="66">
        <v>1.6</v>
      </c>
      <c r="G13" s="11"/>
      <c r="H13" s="119"/>
      <c r="I13" s="12"/>
    </row>
    <row r="14" spans="2:17" ht="16.5" x14ac:dyDescent="0.3">
      <c r="B14" s="5"/>
      <c r="C14" s="5"/>
      <c r="D14" s="5"/>
      <c r="E14" s="11"/>
      <c r="F14" s="11"/>
      <c r="G14" s="11"/>
      <c r="H14" s="119"/>
      <c r="I14" s="12"/>
    </row>
    <row r="15" spans="2:17" x14ac:dyDescent="0.25">
      <c r="K15" s="155"/>
      <c r="L15" s="155"/>
      <c r="M15" s="155"/>
      <c r="N15" s="155"/>
      <c r="O15" s="155"/>
      <c r="P15" s="155"/>
      <c r="Q15" s="155"/>
    </row>
    <row r="16" spans="2:17" x14ac:dyDescent="0.25">
      <c r="B16" s="162" t="s">
        <v>27</v>
      </c>
      <c r="C16" s="163"/>
      <c r="D16" s="163"/>
      <c r="E16" s="163"/>
      <c r="F16" s="163"/>
      <c r="G16" s="163"/>
      <c r="H16" s="163"/>
      <c r="I16" s="164"/>
      <c r="K16" s="43"/>
      <c r="L16" s="44"/>
      <c r="M16" s="45"/>
      <c r="N16" s="45"/>
      <c r="O16" s="46"/>
      <c r="P16" s="46"/>
      <c r="Q16" s="46"/>
    </row>
    <row r="17" spans="2:19" ht="27" x14ac:dyDescent="0.25">
      <c r="B17" s="130" t="s">
        <v>13</v>
      </c>
      <c r="C17" s="130" t="s">
        <v>14</v>
      </c>
      <c r="D17" s="131" t="s">
        <v>15</v>
      </c>
      <c r="E17" s="132" t="s">
        <v>18</v>
      </c>
      <c r="F17" s="132" t="s">
        <v>83</v>
      </c>
      <c r="G17" s="132" t="s">
        <v>16</v>
      </c>
      <c r="H17" s="132" t="s">
        <v>17</v>
      </c>
      <c r="I17" s="132" t="s">
        <v>84</v>
      </c>
      <c r="K17" s="47"/>
      <c r="L17" s="48"/>
      <c r="M17" s="49"/>
      <c r="N17" s="50"/>
      <c r="O17" s="51"/>
      <c r="P17" s="52"/>
      <c r="Q17" s="52"/>
      <c r="R17" s="12"/>
      <c r="S17" s="12"/>
    </row>
    <row r="18" spans="2:19" x14ac:dyDescent="0.25">
      <c r="B18" s="22" t="s">
        <v>64</v>
      </c>
      <c r="C18" s="22">
        <v>6850</v>
      </c>
      <c r="D18" s="22">
        <v>4</v>
      </c>
      <c r="E18" s="40">
        <f>1/D18</f>
        <v>0.25</v>
      </c>
      <c r="F18" s="23">
        <f>C18*E18</f>
        <v>1712.5</v>
      </c>
      <c r="G18" s="23">
        <v>0</v>
      </c>
      <c r="H18" s="23">
        <f>(C18-3000)*0.2</f>
        <v>770</v>
      </c>
      <c r="I18" s="23">
        <f>H18</f>
        <v>770</v>
      </c>
      <c r="K18" s="53"/>
      <c r="L18" s="54"/>
      <c r="M18" s="55"/>
      <c r="N18" s="55"/>
      <c r="O18" s="55"/>
      <c r="P18" s="56"/>
      <c r="Q18" s="56"/>
      <c r="R18" s="12"/>
      <c r="S18" s="12"/>
    </row>
    <row r="19" spans="2:19" x14ac:dyDescent="0.25">
      <c r="B19" s="134" t="s">
        <v>66</v>
      </c>
      <c r="C19" s="134">
        <v>3000</v>
      </c>
      <c r="D19" s="134">
        <v>4</v>
      </c>
      <c r="E19" s="40">
        <f>1/D19</f>
        <v>0.25</v>
      </c>
      <c r="F19" s="23">
        <f>C19*E19</f>
        <v>750</v>
      </c>
      <c r="G19" s="134">
        <v>0</v>
      </c>
      <c r="H19" s="134">
        <v>0</v>
      </c>
      <c r="I19" s="134">
        <v>0</v>
      </c>
      <c r="K19" s="12"/>
      <c r="L19" s="12"/>
      <c r="M19" s="12"/>
      <c r="N19" s="12"/>
      <c r="O19" s="12"/>
      <c r="P19" s="12"/>
      <c r="Q19" s="12"/>
    </row>
    <row r="20" spans="2:19" x14ac:dyDescent="0.25">
      <c r="B20" s="134" t="s">
        <v>87</v>
      </c>
      <c r="C20" s="134">
        <f>C18+C19</f>
        <v>9850</v>
      </c>
      <c r="D20" s="134">
        <f t="shared" ref="D20:I20" si="0">D18+D19</f>
        <v>8</v>
      </c>
      <c r="E20" s="134"/>
      <c r="F20" s="134">
        <f t="shared" si="0"/>
        <v>2462.5</v>
      </c>
      <c r="G20" s="134">
        <f t="shared" si="0"/>
        <v>0</v>
      </c>
      <c r="H20" s="134">
        <f t="shared" si="0"/>
        <v>770</v>
      </c>
      <c r="I20" s="134">
        <f t="shared" si="0"/>
        <v>770</v>
      </c>
      <c r="K20" s="12"/>
      <c r="L20" s="12"/>
      <c r="M20" s="12"/>
      <c r="N20" s="12"/>
      <c r="O20" s="12"/>
      <c r="P20" s="12"/>
      <c r="Q20" s="12"/>
    </row>
    <row r="21" spans="2:19" x14ac:dyDescent="0.25">
      <c r="B21" s="2" t="s">
        <v>70</v>
      </c>
      <c r="C21" s="2"/>
      <c r="D21" s="2"/>
      <c r="E21" s="3"/>
      <c r="F21" s="3"/>
      <c r="G21" s="3"/>
    </row>
    <row r="22" spans="2:19" x14ac:dyDescent="0.25">
      <c r="B22" s="3"/>
      <c r="C22" s="2"/>
      <c r="D22" s="2"/>
      <c r="E22" s="3"/>
      <c r="F22" s="3"/>
      <c r="G22" s="3"/>
    </row>
    <row r="23" spans="2:19" x14ac:dyDescent="0.25">
      <c r="B23" s="2"/>
      <c r="C23" s="2"/>
      <c r="D23" s="2"/>
      <c r="E23" s="3"/>
      <c r="F23" s="3"/>
      <c r="G23" s="3"/>
    </row>
    <row r="24" spans="2:19" x14ac:dyDescent="0.25">
      <c r="B24" s="153" t="s">
        <v>75</v>
      </c>
      <c r="C24" s="153"/>
      <c r="D24" s="153"/>
      <c r="E24" s="153"/>
      <c r="F24" s="153"/>
      <c r="G24" s="153"/>
    </row>
    <row r="25" spans="2:19" x14ac:dyDescent="0.25">
      <c r="B25" s="26"/>
      <c r="C25" s="26"/>
      <c r="D25" s="26"/>
      <c r="E25" s="26"/>
      <c r="F25" s="26"/>
      <c r="G25" s="26"/>
    </row>
    <row r="26" spans="2:19" x14ac:dyDescent="0.25">
      <c r="B26" s="154" t="s">
        <v>19</v>
      </c>
      <c r="C26" s="157" t="s">
        <v>20</v>
      </c>
      <c r="D26" s="158"/>
      <c r="E26" s="158"/>
      <c r="F26" s="158"/>
      <c r="G26" s="159"/>
    </row>
    <row r="27" spans="2:19" x14ac:dyDescent="0.25">
      <c r="B27" s="154"/>
      <c r="C27" s="129">
        <v>0</v>
      </c>
      <c r="D27" s="129">
        <v>1</v>
      </c>
      <c r="E27" s="129">
        <v>2</v>
      </c>
      <c r="F27" s="129">
        <v>3</v>
      </c>
      <c r="G27" s="129">
        <v>4</v>
      </c>
    </row>
    <row r="28" spans="2:19" x14ac:dyDescent="0.25">
      <c r="B28" s="6" t="s">
        <v>22</v>
      </c>
      <c r="C28" s="7"/>
      <c r="D28" s="7">
        <f>(D8*E8+D12*E12+D13*E13)*12</f>
        <v>43512</v>
      </c>
      <c r="E28" s="7">
        <f t="shared" ref="E28:G29" si="1">D28</f>
        <v>43512</v>
      </c>
      <c r="F28" s="7">
        <f t="shared" si="1"/>
        <v>43512</v>
      </c>
      <c r="G28" s="7">
        <f t="shared" si="1"/>
        <v>43512</v>
      </c>
    </row>
    <row r="29" spans="2:19" x14ac:dyDescent="0.25">
      <c r="B29" s="6" t="s">
        <v>21</v>
      </c>
      <c r="C29" s="7"/>
      <c r="D29" s="7">
        <f>(D8*F8+D12*F12+D13*F13)*12</f>
        <v>29232</v>
      </c>
      <c r="E29" s="7">
        <f t="shared" si="1"/>
        <v>29232</v>
      </c>
      <c r="F29" s="7">
        <f t="shared" si="1"/>
        <v>29232</v>
      </c>
      <c r="G29" s="7">
        <f t="shared" si="1"/>
        <v>29232</v>
      </c>
      <c r="I29" s="42"/>
    </row>
    <row r="30" spans="2:19" x14ac:dyDescent="0.25">
      <c r="B30" s="6" t="s">
        <v>59</v>
      </c>
      <c r="C30" s="31"/>
      <c r="D30" s="31">
        <f>D28*0.15</f>
        <v>6526.8</v>
      </c>
      <c r="E30" s="31">
        <f>E28*0.15</f>
        <v>6526.8</v>
      </c>
      <c r="F30" s="31">
        <f>F28*0.15</f>
        <v>6526.8</v>
      </c>
      <c r="G30" s="31">
        <f>G28*0.15</f>
        <v>6526.8</v>
      </c>
    </row>
    <row r="31" spans="2:19" x14ac:dyDescent="0.25">
      <c r="B31" s="6" t="s">
        <v>65</v>
      </c>
      <c r="C31" s="31"/>
      <c r="D31" s="31">
        <f>D28*0.06</f>
        <v>2610.7199999999998</v>
      </c>
      <c r="E31" s="31">
        <f>E28*0.06</f>
        <v>2610.7199999999998</v>
      </c>
      <c r="F31" s="31">
        <f>F28*0.06</f>
        <v>2610.7199999999998</v>
      </c>
      <c r="G31" s="31">
        <f>G28*0.06</f>
        <v>2610.7199999999998</v>
      </c>
      <c r="I31" s="9" t="s">
        <v>31</v>
      </c>
    </row>
    <row r="32" spans="2:19" x14ac:dyDescent="0.25">
      <c r="B32" s="6" t="s">
        <v>28</v>
      </c>
      <c r="C32" s="31"/>
      <c r="D32" s="31">
        <f>$F$20</f>
        <v>2462.5</v>
      </c>
      <c r="E32" s="31">
        <f>$F$20</f>
        <v>2462.5</v>
      </c>
      <c r="F32" s="31">
        <f>$F$20</f>
        <v>2462.5</v>
      </c>
      <c r="G32" s="31">
        <f>$F$20</f>
        <v>2462.5</v>
      </c>
      <c r="I32" s="57" t="s">
        <v>32</v>
      </c>
      <c r="J32" s="94">
        <v>5000</v>
      </c>
    </row>
    <row r="33" spans="2:16" x14ac:dyDescent="0.25">
      <c r="B33" s="6" t="s">
        <v>29</v>
      </c>
      <c r="C33" s="31"/>
      <c r="D33" s="31"/>
      <c r="E33" s="31"/>
      <c r="F33" s="31"/>
      <c r="G33" s="31">
        <f>I18</f>
        <v>770</v>
      </c>
      <c r="I33" s="57" t="s">
        <v>33</v>
      </c>
      <c r="J33" s="95">
        <v>0.15390000000000001</v>
      </c>
      <c r="L33" s="16"/>
      <c r="M33" s="124"/>
    </row>
    <row r="34" spans="2:16" x14ac:dyDescent="0.25">
      <c r="B34" s="6" t="s">
        <v>7</v>
      </c>
      <c r="C34" s="41">
        <f>+SUM(C28+C33)-SUM(C29:C32)</f>
        <v>0</v>
      </c>
      <c r="D34" s="41">
        <f>D28-D29-D30-D31-D32+D33</f>
        <v>2679.9799999999996</v>
      </c>
      <c r="E34" s="41">
        <f>E28-E29-E30-E31-E32+E33</f>
        <v>2679.9799999999996</v>
      </c>
      <c r="F34" s="41">
        <f>F28-F29-F30-F31-F32+F33</f>
        <v>2679.9799999999996</v>
      </c>
      <c r="G34" s="41">
        <f>G28-G29-G30-G31-G32+G33</f>
        <v>3449.9799999999996</v>
      </c>
      <c r="I34" s="57" t="s">
        <v>34</v>
      </c>
      <c r="J34" s="96">
        <v>2</v>
      </c>
    </row>
    <row r="35" spans="2:16" x14ac:dyDescent="0.25">
      <c r="B35" s="6" t="s">
        <v>8</v>
      </c>
      <c r="C35" s="31">
        <f>+C34</f>
        <v>0</v>
      </c>
      <c r="D35" s="31">
        <f>+D34</f>
        <v>2679.9799999999996</v>
      </c>
      <c r="E35" s="31">
        <f>+E34</f>
        <v>2679.9799999999996</v>
      </c>
      <c r="F35" s="31">
        <f>+F34</f>
        <v>2679.9799999999996</v>
      </c>
      <c r="G35" s="31">
        <f>+G34</f>
        <v>3449.9799999999996</v>
      </c>
      <c r="I35" s="57" t="s">
        <v>35</v>
      </c>
      <c r="J35" s="97">
        <f>((1+J33)/(1+J36))-1</f>
        <v>0.12029126213592223</v>
      </c>
    </row>
    <row r="36" spans="2:16" x14ac:dyDescent="0.25">
      <c r="B36" s="6" t="s">
        <v>60</v>
      </c>
      <c r="C36" s="31"/>
      <c r="D36" s="7">
        <f>D35*0.3</f>
        <v>803.9939999999998</v>
      </c>
      <c r="E36" s="7">
        <f>E35*0.3</f>
        <v>803.9939999999998</v>
      </c>
      <c r="F36" s="7">
        <f>F35*0.3</f>
        <v>803.9939999999998</v>
      </c>
      <c r="G36" s="7">
        <f>G35*0.3</f>
        <v>1034.9939999999999</v>
      </c>
      <c r="I36" s="57" t="s">
        <v>36</v>
      </c>
      <c r="J36" s="98">
        <v>0.03</v>
      </c>
      <c r="K36" s="58"/>
    </row>
    <row r="37" spans="2:16" x14ac:dyDescent="0.25">
      <c r="B37" s="30" t="s">
        <v>2</v>
      </c>
      <c r="C37" s="37">
        <f>+C35-C36</f>
        <v>0</v>
      </c>
      <c r="D37" s="37">
        <f>D35-D36</f>
        <v>1875.9859999999999</v>
      </c>
      <c r="E37" s="37">
        <f>E35-E36</f>
        <v>1875.9859999999999</v>
      </c>
      <c r="F37" s="37">
        <f>F35-F36</f>
        <v>1875.9859999999999</v>
      </c>
      <c r="G37" s="37">
        <f>G35-G36</f>
        <v>2414.9859999999999</v>
      </c>
      <c r="I37" s="57" t="s">
        <v>37</v>
      </c>
      <c r="J37" s="99">
        <f>J32/2</f>
        <v>2500</v>
      </c>
    </row>
    <row r="38" spans="2:16" ht="21" customHeight="1" x14ac:dyDescent="0.25">
      <c r="B38" s="168" t="s">
        <v>30</v>
      </c>
      <c r="C38" s="168"/>
      <c r="D38" s="168"/>
      <c r="E38" s="168"/>
      <c r="F38" s="168"/>
      <c r="G38" s="168"/>
    </row>
    <row r="39" spans="2:16" x14ac:dyDescent="0.25">
      <c r="B39" s="5"/>
      <c r="C39" s="133"/>
      <c r="D39" s="133"/>
      <c r="E39" s="133"/>
      <c r="F39" s="133"/>
      <c r="I39" s="9" t="s">
        <v>82</v>
      </c>
    </row>
    <row r="40" spans="2:16" ht="22.5" customHeight="1" x14ac:dyDescent="0.25">
      <c r="B40" s="165" t="s">
        <v>76</v>
      </c>
      <c r="C40" s="165"/>
      <c r="D40" s="165"/>
      <c r="E40" s="165"/>
      <c r="F40" s="165"/>
      <c r="G40" s="165"/>
      <c r="I40" s="88" t="s">
        <v>38</v>
      </c>
      <c r="J40" s="89" t="s">
        <v>39</v>
      </c>
      <c r="K40" s="89" t="s">
        <v>41</v>
      </c>
      <c r="L40" s="89" t="s">
        <v>40</v>
      </c>
      <c r="M40" s="89" t="s">
        <v>68</v>
      </c>
      <c r="N40" s="89" t="s">
        <v>42</v>
      </c>
    </row>
    <row r="41" spans="2:16" ht="12" customHeight="1" x14ac:dyDescent="0.25">
      <c r="D41" s="42"/>
      <c r="I41" s="90">
        <v>1</v>
      </c>
      <c r="J41" s="91">
        <f>J32</f>
        <v>5000</v>
      </c>
      <c r="K41" s="91">
        <f>+J37</f>
        <v>2500</v>
      </c>
      <c r="L41" s="92">
        <f>+J41*$J$35</f>
        <v>601.45631067961119</v>
      </c>
      <c r="M41" s="93">
        <f>K41+L41</f>
        <v>3101.4563106796113</v>
      </c>
      <c r="N41" s="92">
        <f>J41-K41</f>
        <v>2500</v>
      </c>
    </row>
    <row r="42" spans="2:16" x14ac:dyDescent="0.25">
      <c r="B42" s="154" t="s">
        <v>19</v>
      </c>
      <c r="C42" s="167" t="s">
        <v>20</v>
      </c>
      <c r="D42" s="167"/>
      <c r="E42" s="167"/>
      <c r="F42" s="167"/>
      <c r="G42" s="167"/>
      <c r="H42" s="12"/>
      <c r="I42" s="90">
        <v>2</v>
      </c>
      <c r="J42" s="92">
        <f>N41</f>
        <v>2500</v>
      </c>
      <c r="K42" s="91">
        <f>+J37</f>
        <v>2500</v>
      </c>
      <c r="L42" s="92">
        <f>+J42*$J$35</f>
        <v>300.7281553398056</v>
      </c>
      <c r="M42" s="93">
        <f>K42+L42</f>
        <v>2800.7281553398057</v>
      </c>
      <c r="N42" s="92">
        <f>J42-K42</f>
        <v>0</v>
      </c>
    </row>
    <row r="43" spans="2:16" x14ac:dyDescent="0.25">
      <c r="B43" s="154"/>
      <c r="C43" s="129">
        <v>0</v>
      </c>
      <c r="D43" s="129">
        <v>1</v>
      </c>
      <c r="E43" s="129">
        <v>2</v>
      </c>
      <c r="F43" s="129">
        <v>3</v>
      </c>
      <c r="G43" s="129">
        <v>4</v>
      </c>
      <c r="H43" s="12"/>
      <c r="K43" s="59"/>
      <c r="L43" s="60"/>
      <c r="M43" s="87"/>
      <c r="N43" s="60"/>
      <c r="O43" s="62"/>
      <c r="P43" s="60"/>
    </row>
    <row r="44" spans="2:16" ht="16.5" x14ac:dyDescent="0.3">
      <c r="B44" s="8" t="s">
        <v>43</v>
      </c>
      <c r="C44" s="66"/>
      <c r="D44" s="66"/>
      <c r="E44" s="66"/>
      <c r="F44" s="66"/>
      <c r="G44" s="66"/>
      <c r="H44" s="11"/>
      <c r="K44" s="59"/>
      <c r="L44" s="60"/>
      <c r="M44" s="61"/>
      <c r="N44" s="60"/>
      <c r="O44" s="62"/>
      <c r="P44" s="60"/>
    </row>
    <row r="45" spans="2:16" ht="16.5" x14ac:dyDescent="0.3">
      <c r="B45" s="6" t="s">
        <v>47</v>
      </c>
      <c r="C45" s="31">
        <f>-3850</f>
        <v>-3850</v>
      </c>
      <c r="D45" s="31"/>
      <c r="E45" s="31"/>
      <c r="F45" s="31"/>
      <c r="G45" s="31"/>
      <c r="H45" s="63"/>
      <c r="K45" s="59"/>
      <c r="L45" s="60"/>
      <c r="M45" s="61"/>
      <c r="N45" s="60"/>
      <c r="O45" s="62"/>
      <c r="P45" s="60"/>
    </row>
    <row r="46" spans="2:16" ht="16.5" x14ac:dyDescent="0.3">
      <c r="B46" s="6" t="s">
        <v>66</v>
      </c>
      <c r="C46" s="31">
        <v>-3000</v>
      </c>
      <c r="D46" s="31"/>
      <c r="E46" s="31"/>
      <c r="F46" s="31"/>
      <c r="G46" s="31"/>
      <c r="H46" s="63"/>
      <c r="K46" s="59"/>
      <c r="L46" s="60"/>
      <c r="M46" s="61"/>
      <c r="N46" s="60"/>
      <c r="O46" s="62"/>
      <c r="P46" s="60"/>
    </row>
    <row r="47" spans="2:16" ht="16.5" x14ac:dyDescent="0.3">
      <c r="B47" s="6" t="s">
        <v>67</v>
      </c>
      <c r="C47" s="31"/>
      <c r="D47" s="31"/>
      <c r="E47" s="31"/>
      <c r="F47" s="31"/>
      <c r="G47" s="31">
        <f>+H18</f>
        <v>770</v>
      </c>
      <c r="H47" s="63"/>
    </row>
    <row r="48" spans="2:16" ht="16.5" x14ac:dyDescent="0.3">
      <c r="B48" s="67" t="s">
        <v>85</v>
      </c>
      <c r="C48" s="70">
        <f>C45+C47+C46</f>
        <v>-6850</v>
      </c>
      <c r="D48" s="70">
        <f>D45+D47+D46</f>
        <v>0</v>
      </c>
      <c r="E48" s="70">
        <f>E45+E47+E46</f>
        <v>0</v>
      </c>
      <c r="F48" s="70">
        <f>F45+F47+F46</f>
        <v>0</v>
      </c>
      <c r="G48" s="70">
        <f>G45+G47+G46</f>
        <v>770</v>
      </c>
      <c r="H48" s="64"/>
    </row>
    <row r="49" spans="2:13" s="16" customFormat="1" ht="16.5" x14ac:dyDescent="0.3">
      <c r="B49" s="68" t="str">
        <f t="shared" ref="B49:G49" si="2">+B28</f>
        <v xml:space="preserve">(+) Ventas netas en s/. </v>
      </c>
      <c r="C49" s="71"/>
      <c r="D49" s="71">
        <f>+D28</f>
        <v>43512</v>
      </c>
      <c r="E49" s="71">
        <f t="shared" si="2"/>
        <v>43512</v>
      </c>
      <c r="F49" s="71">
        <f t="shared" si="2"/>
        <v>43512</v>
      </c>
      <c r="G49" s="71">
        <f t="shared" si="2"/>
        <v>43512</v>
      </c>
      <c r="H49" s="64"/>
    </row>
    <row r="50" spans="2:13" ht="16.5" x14ac:dyDescent="0.3">
      <c r="B50" s="68" t="str">
        <f>B29</f>
        <v xml:space="preserve">(-) Costos de ventas </v>
      </c>
      <c r="C50" s="31">
        <f>+C29</f>
        <v>0</v>
      </c>
      <c r="D50" s="31">
        <f>+D29</f>
        <v>29232</v>
      </c>
      <c r="E50" s="31">
        <f>+E29</f>
        <v>29232</v>
      </c>
      <c r="F50" s="31">
        <f>+F29</f>
        <v>29232</v>
      </c>
      <c r="G50" s="31">
        <f>+G29</f>
        <v>29232</v>
      </c>
      <c r="H50" s="63"/>
    </row>
    <row r="51" spans="2:13" ht="16.5" x14ac:dyDescent="0.3">
      <c r="B51" s="68" t="str">
        <f>B30</f>
        <v>(-) Gastos administrativos (15%)</v>
      </c>
      <c r="C51" s="31"/>
      <c r="D51" s="31">
        <f t="shared" ref="D51:F52" si="3">+E30</f>
        <v>6526.8</v>
      </c>
      <c r="E51" s="31">
        <f t="shared" si="3"/>
        <v>6526.8</v>
      </c>
      <c r="F51" s="31">
        <f t="shared" si="3"/>
        <v>6526.8</v>
      </c>
      <c r="G51" s="31">
        <f>+F51</f>
        <v>6526.8</v>
      </c>
      <c r="H51" s="63"/>
    </row>
    <row r="52" spans="2:13" ht="16.5" x14ac:dyDescent="0.3">
      <c r="B52" s="68" t="str">
        <f>+B31</f>
        <v>(-) Gastos de ventas (6%)</v>
      </c>
      <c r="C52" s="31"/>
      <c r="D52" s="31">
        <f t="shared" si="3"/>
        <v>2610.7199999999998</v>
      </c>
      <c r="E52" s="31">
        <f t="shared" si="3"/>
        <v>2610.7199999999998</v>
      </c>
      <c r="F52" s="31">
        <f t="shared" si="3"/>
        <v>2610.7199999999998</v>
      </c>
      <c r="G52" s="31">
        <f>+F52</f>
        <v>2610.7199999999998</v>
      </c>
      <c r="H52" s="63"/>
    </row>
    <row r="53" spans="2:13" ht="16.5" x14ac:dyDescent="0.3">
      <c r="B53" s="68" t="s">
        <v>44</v>
      </c>
      <c r="C53" s="31">
        <f>+C36</f>
        <v>0</v>
      </c>
      <c r="D53" s="31">
        <f>+D36</f>
        <v>803.9939999999998</v>
      </c>
      <c r="E53" s="31">
        <f>+E36</f>
        <v>803.9939999999998</v>
      </c>
      <c r="F53" s="31">
        <f>+F36</f>
        <v>803.9939999999998</v>
      </c>
      <c r="G53" s="31">
        <f>+G36</f>
        <v>1034.9939999999999</v>
      </c>
      <c r="H53" s="63"/>
    </row>
    <row r="54" spans="2:13" ht="16.5" x14ac:dyDescent="0.3">
      <c r="B54" s="125" t="s">
        <v>45</v>
      </c>
      <c r="C54" s="126">
        <f>+SUM(C49)-SUM((C50:C53))</f>
        <v>0</v>
      </c>
      <c r="D54" s="126">
        <f>+SUM(D49)-SUM((D50:D53))</f>
        <v>4338.4859999999971</v>
      </c>
      <c r="E54" s="126">
        <f>+SUM(E49)-SUM((E50:E53))</f>
        <v>4338.4859999999971</v>
      </c>
      <c r="F54" s="126">
        <f>+SUM(F49)-SUM((F50:F53))</f>
        <v>4338.4859999999971</v>
      </c>
      <c r="G54" s="126">
        <f>+SUM(G49)-SUM((G50:G53))</f>
        <v>4107.4859999999971</v>
      </c>
      <c r="H54" s="64"/>
    </row>
    <row r="55" spans="2:13" ht="18" customHeight="1" x14ac:dyDescent="0.3">
      <c r="B55" s="69" t="s">
        <v>46</v>
      </c>
      <c r="C55" s="72">
        <f>+C48+C54</f>
        <v>-6850</v>
      </c>
      <c r="D55" s="72">
        <f>+D48+D54</f>
        <v>4338.4859999999971</v>
      </c>
      <c r="E55" s="72">
        <f>+E48+E54</f>
        <v>4338.4859999999971</v>
      </c>
      <c r="F55" s="72">
        <f>+F48+F54</f>
        <v>4338.4859999999971</v>
      </c>
      <c r="G55" s="72">
        <f>+G48+G54</f>
        <v>4877.4859999999971</v>
      </c>
      <c r="H55" s="65"/>
    </row>
    <row r="57" spans="2:13" x14ac:dyDescent="0.25">
      <c r="B57" s="156" t="s">
        <v>77</v>
      </c>
      <c r="C57" s="156"/>
      <c r="D57" s="156"/>
      <c r="E57" s="156"/>
      <c r="F57" s="156"/>
      <c r="G57" s="156"/>
      <c r="H57" s="24"/>
      <c r="I57" s="24"/>
      <c r="J57" s="24"/>
      <c r="K57" s="24"/>
      <c r="L57" s="24"/>
      <c r="M57" s="24"/>
    </row>
    <row r="59" spans="2:13" x14ac:dyDescent="0.25">
      <c r="B59" s="144" t="s">
        <v>19</v>
      </c>
      <c r="C59" s="145" t="s">
        <v>20</v>
      </c>
      <c r="D59" s="146"/>
      <c r="E59" s="146"/>
      <c r="F59" s="146"/>
      <c r="G59" s="146"/>
      <c r="H59" s="152"/>
      <c r="I59" s="151"/>
      <c r="J59" s="151"/>
      <c r="K59" s="151"/>
      <c r="L59" s="151"/>
      <c r="M59" s="151"/>
    </row>
    <row r="60" spans="2:13" x14ac:dyDescent="0.25">
      <c r="B60" s="144"/>
      <c r="C60" s="30">
        <f>C43</f>
        <v>0</v>
      </c>
      <c r="D60" s="30">
        <f>D43</f>
        <v>1</v>
      </c>
      <c r="E60" s="39">
        <f>E43</f>
        <v>2</v>
      </c>
      <c r="F60" s="30">
        <f>F43</f>
        <v>3</v>
      </c>
      <c r="G60" s="39">
        <f>G43</f>
        <v>4</v>
      </c>
      <c r="H60" s="152"/>
      <c r="I60" s="73"/>
      <c r="J60" s="73"/>
      <c r="K60" s="73"/>
      <c r="L60" s="73"/>
      <c r="M60" s="73"/>
    </row>
    <row r="61" spans="2:13" x14ac:dyDescent="0.25">
      <c r="B61" s="68" t="s">
        <v>78</v>
      </c>
      <c r="C61" s="75">
        <f>C55</f>
        <v>-6850</v>
      </c>
      <c r="D61" s="75">
        <f>D55</f>
        <v>4338.4859999999971</v>
      </c>
      <c r="E61" s="75">
        <f>E55</f>
        <v>4338.4859999999971</v>
      </c>
      <c r="F61" s="75">
        <f>F55</f>
        <v>4338.4859999999971</v>
      </c>
      <c r="G61" s="75">
        <f>G55</f>
        <v>4877.4859999999971</v>
      </c>
      <c r="H61" s="74"/>
      <c r="I61" s="74"/>
      <c r="J61" s="74"/>
      <c r="K61" s="74"/>
      <c r="L61" s="74"/>
      <c r="M61" s="74"/>
    </row>
    <row r="62" spans="2:13" x14ac:dyDescent="0.25">
      <c r="B62" s="68" t="s">
        <v>86</v>
      </c>
      <c r="C62" s="75">
        <f>'Alter Sin Py'!D37</f>
        <v>0</v>
      </c>
      <c r="D62" s="75">
        <f>'Alter Sin Py'!E37</f>
        <v>2571.2400000000016</v>
      </c>
      <c r="E62" s="75">
        <f>'Alter Sin Py'!F37</f>
        <v>2571.2400000000016</v>
      </c>
      <c r="F62" s="75">
        <f>'Alter Sin Py'!G37</f>
        <v>2571.2400000000016</v>
      </c>
      <c r="G62" s="75">
        <f>'Alter Sin Py'!H37</f>
        <v>2571.2400000000016</v>
      </c>
      <c r="H62" s="74"/>
      <c r="I62" s="74"/>
      <c r="J62" s="74"/>
      <c r="K62" s="74"/>
      <c r="L62" s="74"/>
      <c r="M62" s="74"/>
    </row>
    <row r="63" spans="2:13" x14ac:dyDescent="0.25">
      <c r="B63" s="69" t="s">
        <v>48</v>
      </c>
      <c r="C63" s="76">
        <f>C61-C62</f>
        <v>-6850</v>
      </c>
      <c r="D63" s="37">
        <f>D61-D62</f>
        <v>1767.2459999999955</v>
      </c>
      <c r="E63" s="37">
        <f>E61-E62</f>
        <v>1767.2459999999955</v>
      </c>
      <c r="F63" s="37">
        <f>F61-F62</f>
        <v>1767.2459999999955</v>
      </c>
      <c r="G63" s="37">
        <f>G61-G62</f>
        <v>2306.2459999999955</v>
      </c>
    </row>
    <row r="64" spans="2:13" x14ac:dyDescent="0.25">
      <c r="B64" s="135" t="s">
        <v>88</v>
      </c>
      <c r="C64" s="136">
        <v>0.14000000000000001</v>
      </c>
      <c r="D64" s="105"/>
      <c r="E64" s="105"/>
      <c r="F64" s="105"/>
      <c r="G64" s="105"/>
    </row>
    <row r="65" spans="2:13" x14ac:dyDescent="0.25">
      <c r="B65" t="s">
        <v>89</v>
      </c>
      <c r="C65" s="137">
        <f>NPV(C64,D63:G63)+C63</f>
        <v>-1381.6223152214698</v>
      </c>
    </row>
    <row r="67" spans="2:13" x14ac:dyDescent="0.25">
      <c r="B67" s="156" t="s">
        <v>71</v>
      </c>
      <c r="C67" s="156"/>
      <c r="D67" s="156"/>
      <c r="E67" s="156"/>
      <c r="F67" s="156"/>
      <c r="G67" s="156"/>
      <c r="H67" s="165"/>
      <c r="I67" s="165"/>
      <c r="J67" s="165"/>
      <c r="K67" s="165"/>
      <c r="L67" s="165"/>
      <c r="M67" s="165"/>
    </row>
    <row r="69" spans="2:13" x14ac:dyDescent="0.25">
      <c r="B69" s="144" t="s">
        <v>19</v>
      </c>
      <c r="C69" s="166" t="s">
        <v>20</v>
      </c>
      <c r="D69" s="166"/>
      <c r="E69" s="166"/>
      <c r="F69" s="166"/>
      <c r="G69" s="166"/>
    </row>
    <row r="70" spans="2:13" x14ac:dyDescent="0.25">
      <c r="B70" s="144"/>
      <c r="C70" s="30">
        <v>0</v>
      </c>
      <c r="D70" s="30">
        <v>1</v>
      </c>
      <c r="E70" s="30">
        <v>2</v>
      </c>
      <c r="F70" s="30">
        <v>3</v>
      </c>
      <c r="G70" s="30">
        <v>4</v>
      </c>
    </row>
    <row r="71" spans="2:13" x14ac:dyDescent="0.25">
      <c r="B71" s="78" t="str">
        <f t="shared" ref="B71:G71" si="4">B61</f>
        <v>FCE Con Equipos Nuevos</v>
      </c>
      <c r="C71" s="120">
        <f t="shared" si="4"/>
        <v>-6850</v>
      </c>
      <c r="D71" s="120">
        <f t="shared" si="4"/>
        <v>4338.4859999999971</v>
      </c>
      <c r="E71" s="120">
        <f t="shared" si="4"/>
        <v>4338.4859999999971</v>
      </c>
      <c r="F71" s="120">
        <f t="shared" si="4"/>
        <v>4338.4859999999971</v>
      </c>
      <c r="G71" s="120">
        <f t="shared" si="4"/>
        <v>4877.4859999999971</v>
      </c>
    </row>
    <row r="72" spans="2:13" x14ac:dyDescent="0.25">
      <c r="B72" s="79" t="s">
        <v>49</v>
      </c>
      <c r="C72" s="80"/>
      <c r="D72" s="80"/>
      <c r="E72" s="80"/>
      <c r="F72" s="80"/>
      <c r="G72" s="80"/>
    </row>
    <row r="73" spans="2:13" x14ac:dyDescent="0.25">
      <c r="B73" s="81" t="s">
        <v>50</v>
      </c>
      <c r="C73" s="83">
        <f>+J32</f>
        <v>5000</v>
      </c>
      <c r="D73" s="85"/>
      <c r="E73" s="85"/>
      <c r="F73" s="85"/>
      <c r="G73" s="85"/>
    </row>
    <row r="74" spans="2:13" x14ac:dyDescent="0.25">
      <c r="B74" s="81" t="s">
        <v>51</v>
      </c>
      <c r="C74" s="85"/>
      <c r="D74" s="122">
        <f>+$K$41</f>
        <v>2500</v>
      </c>
      <c r="E74" s="122">
        <f>+$K$41</f>
        <v>2500</v>
      </c>
      <c r="F74" s="83"/>
      <c r="G74" s="85"/>
    </row>
    <row r="75" spans="2:13" x14ac:dyDescent="0.25">
      <c r="B75" s="81" t="s">
        <v>52</v>
      </c>
      <c r="C75" s="85"/>
      <c r="D75" s="121">
        <f>+L41</f>
        <v>601.45631067961119</v>
      </c>
      <c r="E75" s="121">
        <f>+L42</f>
        <v>300.7281553398056</v>
      </c>
      <c r="F75" s="85"/>
      <c r="G75" s="85"/>
    </row>
    <row r="76" spans="2:13" x14ac:dyDescent="0.25">
      <c r="B76" s="81" t="s">
        <v>53</v>
      </c>
      <c r="C76" s="85"/>
      <c r="D76" s="121">
        <f>D75*0.3</f>
        <v>180.43689320388336</v>
      </c>
      <c r="E76" s="121">
        <f>E75*0.3</f>
        <v>90.218446601941679</v>
      </c>
      <c r="F76" s="85"/>
      <c r="G76" s="85"/>
    </row>
    <row r="77" spans="2:13" x14ac:dyDescent="0.25">
      <c r="B77" s="82" t="s">
        <v>54</v>
      </c>
      <c r="C77" s="84">
        <f>+C73-C74-C75+C76</f>
        <v>5000</v>
      </c>
      <c r="D77" s="84">
        <f>+D73-D74-D75+D76</f>
        <v>-2921.019417475728</v>
      </c>
      <c r="E77" s="84">
        <f>+E73-E74-E75+E76</f>
        <v>-2710.509708737864</v>
      </c>
      <c r="F77" s="84">
        <f>+F73-F74-F75+F76</f>
        <v>0</v>
      </c>
      <c r="G77" s="84">
        <f>+G73-G74-G75+G76</f>
        <v>0</v>
      </c>
    </row>
    <row r="78" spans="2:13" x14ac:dyDescent="0.25">
      <c r="B78" s="69" t="s">
        <v>81</v>
      </c>
      <c r="C78" s="77">
        <f>C71+C77</f>
        <v>-1850</v>
      </c>
      <c r="D78" s="77">
        <f>D71+D77</f>
        <v>1417.4665825242691</v>
      </c>
      <c r="E78" s="77">
        <f>E71+E77</f>
        <v>1627.9762912621331</v>
      </c>
      <c r="F78" s="77">
        <f>F71+F77</f>
        <v>4338.4859999999971</v>
      </c>
      <c r="G78" s="77">
        <f>G71+G77</f>
        <v>4877.4859999999971</v>
      </c>
    </row>
    <row r="80" spans="2:13" x14ac:dyDescent="0.25">
      <c r="B80" t="s">
        <v>90</v>
      </c>
      <c r="C80" s="138">
        <f>J35</f>
        <v>0.12029126213592223</v>
      </c>
    </row>
    <row r="81" spans="2:3" x14ac:dyDescent="0.25">
      <c r="B81" t="s">
        <v>91</v>
      </c>
      <c r="C81" s="137">
        <f>NPV(C80,D76:E76)</f>
        <v>232.94668440214951</v>
      </c>
    </row>
    <row r="83" spans="2:3" x14ac:dyDescent="0.25">
      <c r="B83" t="s">
        <v>92</v>
      </c>
      <c r="C83" s="137">
        <f>C65+C81</f>
        <v>-1148.6756308193203</v>
      </c>
    </row>
  </sheetData>
  <mergeCells count="22">
    <mergeCell ref="B69:B70"/>
    <mergeCell ref="C69:G69"/>
    <mergeCell ref="B59:B60"/>
    <mergeCell ref="B40:G40"/>
    <mergeCell ref="B42:B43"/>
    <mergeCell ref="C42:G42"/>
    <mergeCell ref="B6:B7"/>
    <mergeCell ref="C6:D6"/>
    <mergeCell ref="E6:E7"/>
    <mergeCell ref="F6:F7"/>
    <mergeCell ref="B16:I16"/>
    <mergeCell ref="B67:G67"/>
    <mergeCell ref="H67:M67"/>
    <mergeCell ref="B38:G38"/>
    <mergeCell ref="I59:M59"/>
    <mergeCell ref="C59:G59"/>
    <mergeCell ref="H59:H60"/>
    <mergeCell ref="B24:G24"/>
    <mergeCell ref="B26:B27"/>
    <mergeCell ref="K15:Q15"/>
    <mergeCell ref="B57:G57"/>
    <mergeCell ref="C26:G2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Alter Sin Py</vt:lpstr>
      <vt:lpstr>Alter Con 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Pavilion</dc:creator>
  <cp:lastModifiedBy>EDISON ACHALMA</cp:lastModifiedBy>
  <dcterms:created xsi:type="dcterms:W3CDTF">2012-10-08T15:21:45Z</dcterms:created>
  <dcterms:modified xsi:type="dcterms:W3CDTF">2021-08-04T00:07:04Z</dcterms:modified>
</cp:coreProperties>
</file>