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4 CASOS DE PROYECTOS EN EMPRESAS EN MARCHA/"/>
    </mc:Choice>
  </mc:AlternateContent>
  <xr:revisionPtr revIDLastSave="0" documentId="8_{F39CD597-8389-4FCE-9939-06FFB216A2D5}" xr6:coauthVersionLast="47" xr6:coauthVersionMax="47" xr10:uidLastSave="{00000000-0000-0000-0000-000000000000}"/>
  <bookViews>
    <workbookView xWindow="-120" yWindow="-16320" windowWidth="29040" windowHeight="15720" activeTab="2"/>
  </bookViews>
  <sheets>
    <sheet name="Alter Sin Py" sheetId="5" r:id="rId1"/>
    <sheet name="costo capital" sheetId="10" r:id="rId2"/>
    <sheet name="Alter Con py" sheetId="9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" i="9" l="1"/>
  <c r="H18" i="9"/>
  <c r="I18" i="9"/>
  <c r="G32" i="9" s="1"/>
  <c r="C44" i="9"/>
  <c r="C47" i="9" s="1"/>
  <c r="C54" i="9" s="1"/>
  <c r="C60" i="9" s="1"/>
  <c r="J36" i="9"/>
  <c r="K41" i="9" s="1"/>
  <c r="K40" i="9"/>
  <c r="N40" i="9" s="1"/>
  <c r="J41" i="9" s="1"/>
  <c r="D47" i="9"/>
  <c r="E47" i="9"/>
  <c r="F47" i="9"/>
  <c r="E28" i="9"/>
  <c r="E49" i="9"/>
  <c r="F28" i="9"/>
  <c r="G28" i="9"/>
  <c r="D28" i="9"/>
  <c r="D49" i="9" s="1"/>
  <c r="D27" i="9"/>
  <c r="F30" i="9" s="1"/>
  <c r="E51" i="9" s="1"/>
  <c r="G29" i="9"/>
  <c r="F50" i="9"/>
  <c r="G50" i="9"/>
  <c r="D14" i="5"/>
  <c r="E16" i="5" s="1"/>
  <c r="F33" i="5" s="1"/>
  <c r="D15" i="5"/>
  <c r="E32" i="5"/>
  <c r="E36" i="5" s="1"/>
  <c r="E15" i="5"/>
  <c r="F32" i="5"/>
  <c r="F15" i="5"/>
  <c r="G32" i="5" s="1"/>
  <c r="G15" i="5"/>
  <c r="H32" i="5"/>
  <c r="K26" i="10"/>
  <c r="K24" i="10"/>
  <c r="F49" i="9"/>
  <c r="G49" i="9"/>
  <c r="G74" i="9"/>
  <c r="C70" i="9"/>
  <c r="C74" i="9"/>
  <c r="J40" i="9"/>
  <c r="G59" i="9"/>
  <c r="F59" i="9"/>
  <c r="E59" i="9"/>
  <c r="D59" i="9"/>
  <c r="C59" i="9"/>
  <c r="B50" i="9"/>
  <c r="B51" i="9"/>
  <c r="B48" i="9"/>
  <c r="B49" i="9"/>
  <c r="J41" i="10"/>
  <c r="M41" i="10"/>
  <c r="H81" i="9"/>
  <c r="E18" i="9"/>
  <c r="F18" i="9" s="1"/>
  <c r="C28" i="9"/>
  <c r="C49" i="9"/>
  <c r="C53" i="9" s="1"/>
  <c r="D34" i="5"/>
  <c r="D36" i="5"/>
  <c r="C61" i="9"/>
  <c r="J7" i="10"/>
  <c r="K25" i="10"/>
  <c r="J34" i="9"/>
  <c r="L40" i="9"/>
  <c r="D72" i="9"/>
  <c r="D73" i="9"/>
  <c r="C33" i="9"/>
  <c r="C34" i="9" s="1"/>
  <c r="C36" i="9" s="1"/>
  <c r="C52" i="9"/>
  <c r="D29" i="9"/>
  <c r="F29" i="9"/>
  <c r="E50" i="9"/>
  <c r="E71" i="9"/>
  <c r="D71" i="9"/>
  <c r="D74" i="9" s="1"/>
  <c r="D30" i="9"/>
  <c r="J14" i="10"/>
  <c r="H79" i="9" s="1"/>
  <c r="D17" i="5"/>
  <c r="D18" i="5"/>
  <c r="E20" i="5" s="1"/>
  <c r="E22" i="5" s="1"/>
  <c r="E14" i="5"/>
  <c r="E17" i="5" s="1"/>
  <c r="G16" i="5"/>
  <c r="H33" i="5" s="1"/>
  <c r="D16" i="5"/>
  <c r="E33" i="5"/>
  <c r="E29" i="5"/>
  <c r="E30" i="5"/>
  <c r="E29" i="9"/>
  <c r="D50" i="9"/>
  <c r="G46" i="9"/>
  <c r="G47" i="9" s="1"/>
  <c r="F16" i="5"/>
  <c r="G33" i="5"/>
  <c r="D20" i="5"/>
  <c r="E21" i="5" s="1"/>
  <c r="F35" i="5" s="1"/>
  <c r="F20" i="5"/>
  <c r="E34" i="5"/>
  <c r="D21" i="5"/>
  <c r="E35" i="5" s="1"/>
  <c r="C93" i="9" l="1"/>
  <c r="E74" i="9"/>
  <c r="D31" i="9"/>
  <c r="D33" i="9" s="1"/>
  <c r="D34" i="9" s="1"/>
  <c r="F31" i="9"/>
  <c r="E31" i="9"/>
  <c r="G31" i="9"/>
  <c r="M41" i="9"/>
  <c r="C68" i="9"/>
  <c r="C62" i="9"/>
  <c r="L41" i="9"/>
  <c r="E72" i="9" s="1"/>
  <c r="E73" i="9" s="1"/>
  <c r="N41" i="9"/>
  <c r="E37" i="5"/>
  <c r="D61" i="9" s="1"/>
  <c r="D22" i="5"/>
  <c r="G30" i="9"/>
  <c r="F51" i="9" s="1"/>
  <c r="G51" i="9" s="1"/>
  <c r="G21" i="5"/>
  <c r="H35" i="5" s="1"/>
  <c r="E18" i="5"/>
  <c r="F18" i="5" s="1"/>
  <c r="G18" i="5" s="1"/>
  <c r="E30" i="9"/>
  <c r="D51" i="9" s="1"/>
  <c r="D48" i="9"/>
  <c r="K30" i="10"/>
  <c r="K29" i="10" s="1"/>
  <c r="J17" i="10"/>
  <c r="F14" i="5"/>
  <c r="G20" i="5"/>
  <c r="G22" i="5" s="1"/>
  <c r="E27" i="9"/>
  <c r="M40" i="9"/>
  <c r="F21" i="5"/>
  <c r="G35" i="5" s="1"/>
  <c r="F29" i="5"/>
  <c r="F30" i="5" s="1"/>
  <c r="F34" i="5" l="1"/>
  <c r="F36" i="5" s="1"/>
  <c r="F37" i="5" s="1"/>
  <c r="C75" i="9"/>
  <c r="J45" i="10"/>
  <c r="F27" i="9"/>
  <c r="E33" i="9"/>
  <c r="E34" i="9" s="1"/>
  <c r="E48" i="9"/>
  <c r="D35" i="9"/>
  <c r="D52" i="9" s="1"/>
  <c r="D53" i="9" s="1"/>
  <c r="D54" i="9" s="1"/>
  <c r="D60" i="9" s="1"/>
  <c r="D36" i="9"/>
  <c r="G29" i="5"/>
  <c r="G30" i="5" s="1"/>
  <c r="F17" i="5"/>
  <c r="G14" i="5"/>
  <c r="F22" i="5"/>
  <c r="D68" i="9" l="1"/>
  <c r="D62" i="9"/>
  <c r="E61" i="9"/>
  <c r="G17" i="5"/>
  <c r="H29" i="5"/>
  <c r="H30" i="5" s="1"/>
  <c r="F48" i="9"/>
  <c r="F33" i="9"/>
  <c r="F34" i="9" s="1"/>
  <c r="G27" i="9"/>
  <c r="G34" i="5"/>
  <c r="G36" i="5" s="1"/>
  <c r="G37" i="5"/>
  <c r="F61" i="9" s="1"/>
  <c r="J43" i="10"/>
  <c r="M32" i="10"/>
  <c r="E35" i="9"/>
  <c r="E52" i="9" s="1"/>
  <c r="E53" i="9" s="1"/>
  <c r="E54" i="9" s="1"/>
  <c r="E60" i="9" s="1"/>
  <c r="E62" i="9" l="1"/>
  <c r="E68" i="9"/>
  <c r="E75" i="9" s="1"/>
  <c r="K21" i="10"/>
  <c r="J32" i="10"/>
  <c r="J34" i="10" s="1"/>
  <c r="J36" i="10" s="1"/>
  <c r="H34" i="5"/>
  <c r="H36" i="5" s="1"/>
  <c r="H37" i="5"/>
  <c r="J48" i="10"/>
  <c r="J51" i="10" s="1"/>
  <c r="F53" i="9"/>
  <c r="F54" i="9" s="1"/>
  <c r="F60" i="9" s="1"/>
  <c r="G48" i="9"/>
  <c r="G33" i="9"/>
  <c r="G34" i="9" s="1"/>
  <c r="E36" i="9"/>
  <c r="F35" i="9"/>
  <c r="F52" i="9" s="1"/>
  <c r="D75" i="9"/>
  <c r="F36" i="9" l="1"/>
  <c r="F68" i="9"/>
  <c r="F75" i="9" s="1"/>
  <c r="F62" i="9"/>
  <c r="G61" i="9"/>
  <c r="D39" i="5"/>
  <c r="G35" i="9"/>
  <c r="G52" i="9" s="1"/>
  <c r="G36" i="9"/>
  <c r="G53" i="9"/>
  <c r="G54" i="9" s="1"/>
  <c r="G60" i="9" s="1"/>
  <c r="G68" i="9" l="1"/>
  <c r="G62" i="9"/>
  <c r="C80" i="9"/>
  <c r="C82" i="9"/>
  <c r="G75" i="9" l="1"/>
  <c r="C98" i="9" s="1"/>
  <c r="C89" i="9"/>
  <c r="C96" i="9" s="1"/>
</calcChain>
</file>

<file path=xl/comments1.xml><?xml version="1.0" encoding="utf-8"?>
<comments xmlns="http://schemas.openxmlformats.org/spreadsheetml/2006/main">
  <authors>
    <author>Henry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 xml:space="preserve">Media Aritmética de los Rendimientos Anuales de T.BILLS de EE. UU (serie histórica anual 1928 - 2011).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Promedio de Rendimiento de la Cartera de Mercado  anual (Serie histórica de 03/01/2050 a 03/01/2011), no se tomó en cuenta el año 2012 porque se dispone toda la data para el año 2012.
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Riesgo País promedio del Perú, a partir de la serie histórica de 10 años recientes (08/10/2002 - 08/10/2012). El 2.30% corresponde a 230.23 Puntos Básicos.</t>
        </r>
      </text>
    </comment>
  </commentList>
</comments>
</file>

<file path=xl/comments2.xml><?xml version="1.0" encoding="utf-8"?>
<comments xmlns="http://schemas.openxmlformats.org/spreadsheetml/2006/main">
  <authors>
    <author>Henry</author>
  </authors>
  <commentList>
    <comment ref="K35" authorId="0" shapeId="0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sharedStrings.xml><?xml version="1.0" encoding="utf-8"?>
<sst xmlns="http://schemas.openxmlformats.org/spreadsheetml/2006/main" count="142" uniqueCount="112">
  <si>
    <t>Nueva</t>
  </si>
  <si>
    <t>Horizonte de evaluacion: 4 años</t>
  </si>
  <si>
    <t>Utilidad Neta</t>
  </si>
  <si>
    <t>jugo especial</t>
  </si>
  <si>
    <t xml:space="preserve">jugo de toronja </t>
  </si>
  <si>
    <t>jugo de pasto de trigo</t>
  </si>
  <si>
    <t xml:space="preserve">Cantidad (vasos de jugo) al mes </t>
  </si>
  <si>
    <t xml:space="preserve">Utilidad operativa </t>
  </si>
  <si>
    <t>Utilidad imponible</t>
  </si>
  <si>
    <t>Ingresos</t>
  </si>
  <si>
    <t xml:space="preserve">total de ingresos </t>
  </si>
  <si>
    <t>Egresos</t>
  </si>
  <si>
    <t xml:space="preserve">Flujo de Caja Economico </t>
  </si>
  <si>
    <t>Inversión Inicial</t>
  </si>
  <si>
    <t>Monto</t>
  </si>
  <si>
    <t>Vida util</t>
  </si>
  <si>
    <t>Depreci Anual</t>
  </si>
  <si>
    <t>Valor  Residual</t>
  </si>
  <si>
    <t>Valor Mercado</t>
  </si>
  <si>
    <t>Utilidad</t>
  </si>
  <si>
    <t>tasa de Deprec</t>
  </si>
  <si>
    <t>DESCRIPCIÓN DE CATEGORÍA</t>
  </si>
  <si>
    <t>PERIODO (EN AÑOS)</t>
  </si>
  <si>
    <t xml:space="preserve">(-) Costos de ventas </t>
  </si>
  <si>
    <t xml:space="preserve">(+) Ventas netas en s/. </t>
  </si>
  <si>
    <t>(-) Costos de ventas</t>
  </si>
  <si>
    <t xml:space="preserve">(-) Impuestos </t>
  </si>
  <si>
    <t>Total Egresos</t>
  </si>
  <si>
    <t>DATOS:</t>
  </si>
  <si>
    <t>DEPRECIACIÓN DE ACTIVOS</t>
  </si>
  <si>
    <t>(-) Depreciaciones</t>
  </si>
  <si>
    <t xml:space="preserve">Utilidad venta maquinas </t>
  </si>
  <si>
    <t>1/ Se considera Horizonte de proyeccción de 4 años, ya que el activo fijo (maquinas electrodomestico tiene una vida útil de 4años).</t>
  </si>
  <si>
    <t>PRÉSTAMO</t>
  </si>
  <si>
    <t>Monto del préstamo</t>
  </si>
  <si>
    <t>Tasa Efectiva Anual (TEA)</t>
  </si>
  <si>
    <t>Plazo Devolución</t>
  </si>
  <si>
    <t>Tasa de Interés Real</t>
  </si>
  <si>
    <t>Tasa Inflación Anual</t>
  </si>
  <si>
    <t>Cuota de Capital</t>
  </si>
  <si>
    <t>Periodo</t>
  </si>
  <si>
    <t>Saldo Inicial</t>
  </si>
  <si>
    <t>Interes</t>
  </si>
  <si>
    <t>Principal</t>
  </si>
  <si>
    <t>Saldo Final</t>
  </si>
  <si>
    <t>TABLA DE AMORTIZACIÓN DE LA DEUDA</t>
  </si>
  <si>
    <t>Inversiones y Liquidación</t>
  </si>
  <si>
    <t>Flujo de Inversiones</t>
  </si>
  <si>
    <t>Impuestos (-)</t>
  </si>
  <si>
    <t>Flujo de Caja Operativo</t>
  </si>
  <si>
    <t>Flujo de Caja Económico (FCE)</t>
  </si>
  <si>
    <t>Maquinarias (-)</t>
  </si>
  <si>
    <t>FCE Incremental</t>
  </si>
  <si>
    <t>Financiamiento Neto</t>
  </si>
  <si>
    <t>Préstamos (+)</t>
  </si>
  <si>
    <t>Amortizaciones (-)</t>
  </si>
  <si>
    <t>Intereses (-)</t>
  </si>
  <si>
    <t>Escudo Fiscal por Intereses(+)</t>
  </si>
  <si>
    <t>Flujo Financiamiento Neto</t>
  </si>
  <si>
    <t>EVALUACIÓN:</t>
  </si>
  <si>
    <t>Ru : COSTO DE CAPITAL DESAPALANCADO</t>
  </si>
  <si>
    <t>Nominal</t>
  </si>
  <si>
    <t>Con</t>
  </si>
  <si>
    <t>=</t>
  </si>
  <si>
    <t>WACCA: COSTO PROMEDIO PONDERADO DE CAPITAL</t>
  </si>
  <si>
    <t>Real=</t>
  </si>
  <si>
    <t>EVALUACIÓN POR METODOLOGÍA : APV (VALOR PRESENTE AJUSTADO)</t>
  </si>
  <si>
    <t>TIRF</t>
  </si>
  <si>
    <t>BetaApalancado</t>
  </si>
  <si>
    <t>D/E de USA</t>
  </si>
  <si>
    <t>Beta Desapalancado</t>
  </si>
  <si>
    <t>Rf</t>
  </si>
  <si>
    <t>Rm</t>
  </si>
  <si>
    <t>Rp</t>
  </si>
  <si>
    <t>COK Desapalancado, Ru</t>
  </si>
  <si>
    <t>Ru=COK desapalancado= Rf+BD (Rm-Rf)+Rp</t>
  </si>
  <si>
    <t>Ru</t>
  </si>
  <si>
    <t>% Ru</t>
  </si>
  <si>
    <t>CANTIDADES</t>
  </si>
  <si>
    <t>PRECIO</t>
  </si>
  <si>
    <t>COSTO</t>
  </si>
  <si>
    <t xml:space="preserve">Actual </t>
  </si>
  <si>
    <t>(-) Gastos administrativos (15%)</t>
  </si>
  <si>
    <t>(-) Impuestos (30%)</t>
  </si>
  <si>
    <t xml:space="preserve">intereses </t>
  </si>
  <si>
    <t>(-) Gastos de Ventas (6%)</t>
  </si>
  <si>
    <t>(-) Gastos de ventas 6%)</t>
  </si>
  <si>
    <t>equipos electrodomesticos</t>
  </si>
  <si>
    <t>(-) Gastos de ventas (6%)</t>
  </si>
  <si>
    <t>Acondicionamiento de local</t>
  </si>
  <si>
    <t>Venta de Activo Fijo (+)</t>
  </si>
  <si>
    <t xml:space="preserve">VANE INCREMENTAL </t>
  </si>
  <si>
    <t xml:space="preserve">TIRE INCREMENTAL </t>
  </si>
  <si>
    <t>cuota</t>
  </si>
  <si>
    <t>Información para la Situación Con Proyecto</t>
  </si>
  <si>
    <t>Se obtiene el EGP y FC de la opcion de maquina nueva y local renovado</t>
  </si>
  <si>
    <t xml:space="preserve">FLUJO DE CAJA FINANCIERO   CON EQUIPOS NUEVOS </t>
  </si>
  <si>
    <t>CALCULO DEL VANF Y TIRF</t>
  </si>
  <si>
    <t>DATOS</t>
  </si>
  <si>
    <t>ESTADO DE GANANCIAS Y PERDIDAS CON EQUIPO ACTUAL</t>
  </si>
  <si>
    <t>FLUJO DE CAJA ECONÓMICO  CON EQUIPO ACTUAL</t>
  </si>
  <si>
    <t>VANE =</t>
  </si>
  <si>
    <t>Tasa impositiva</t>
  </si>
  <si>
    <t>Re : COSTO DE CAPITAL REAPALANCADO</t>
  </si>
  <si>
    <t>ESTADO DE GANANCIAS Y PÉRDIDAS  CON EQUIPOS NUEVOS</t>
  </si>
  <si>
    <t>FLUJO DE CAJA ECONÓMICO CON EQUIPOS NUEVOS</t>
  </si>
  <si>
    <t xml:space="preserve">FLUJO DE CAJA ECONOMICO  INCREMENTAL </t>
  </si>
  <si>
    <t>FCE Con Equipos Nuevos</t>
  </si>
  <si>
    <t>FCE Con Equipos Actuales</t>
  </si>
  <si>
    <r>
      <t>Alternativa B:</t>
    </r>
    <r>
      <rPr>
        <sz val="10"/>
        <rFont val="Arial Narrow"/>
        <family val="2"/>
      </rPr>
      <t xml:space="preserve"> Producir con los equipos nuevos </t>
    </r>
  </si>
  <si>
    <t xml:space="preserve">Se obtiene el EGP y FCE de opcion  de seguir con la maquina actual </t>
  </si>
  <si>
    <t>Flujo de Caja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</si>
</sst>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7" formatCode="&quot;S/.&quot;\ #,##0.00;[Red]&quot;S/.&quot;\ \-#,##0.00"/>
    <numFmt numFmtId="171" formatCode="_ * #,##0.00_ ;_ * \-#,##0.00_ ;_ * &quot;-&quot;??_ ;_ @_ "/>
    <numFmt numFmtId="175" formatCode="_(* #,##0_);_(* \(#,##0\);_(* &quot;-&quot;??_);_(@_)"/>
    <numFmt numFmtId="176" formatCode="0.0"/>
    <numFmt numFmtId="188" formatCode="_ * #,##0.0_ ;_ * \-#,##0.0_ ;_ * &quot;-&quot;??_ ;_ @_ "/>
    <numFmt numFmtId="189" formatCode="_ * #,##0.0000_ ;_ * \-#,##0.0000_ ;_ * &quot;-&quot;??_ ;_ @_ "/>
    <numFmt numFmtId="190" formatCode="#,##0.0"/>
    <numFmt numFmtId="194" formatCode="0.00000"/>
    <numFmt numFmtId="195" formatCode="0.0000"/>
    <numFmt numFmtId="208" formatCode="_ * #,##0_ ;_ * \-#,##0_ ;_ * &quot;-&quot;??_ ;_ @_ "/>
    <numFmt numFmtId="209" formatCode="&quot;S/.&quot;\ #,##0_);[Red]\(&quot;S/.&quot;\ #,##0\)"/>
    <numFmt numFmtId="217" formatCode="#,##0_ ;[Red]\-#,##0\ 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.5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270">
        <stop position="0">
          <color theme="0" tint="0.80001220740379042"/>
        </stop>
        <stop position="1">
          <color theme="6" tint="0.40000610370189521"/>
        </stop>
      </gradientFill>
    </fill>
    <fill>
      <gradientFill degree="90">
        <stop position="0">
          <color theme="0" tint="0.80001220740379042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17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</cellStyleXfs>
  <cellXfs count="197">
    <xf numFmtId="0" fontId="0" fillId="0" borderId="0" xfId="0"/>
    <xf numFmtId="0" fontId="17" fillId="0" borderId="0" xfId="0" applyFont="1"/>
    <xf numFmtId="0" fontId="2" fillId="0" borderId="0" xfId="4" applyFont="1"/>
    <xf numFmtId="0" fontId="3" fillId="0" borderId="0" xfId="4" applyFont="1"/>
    <xf numFmtId="175" fontId="3" fillId="0" borderId="1" xfId="3" applyNumberFormat="1" applyFont="1" applyBorder="1"/>
    <xf numFmtId="0" fontId="3" fillId="0" borderId="0" xfId="4" applyFont="1" applyFill="1" applyBorder="1"/>
    <xf numFmtId="0" fontId="3" fillId="0" borderId="1" xfId="4" applyFont="1" applyBorder="1"/>
    <xf numFmtId="175" fontId="3" fillId="0" borderId="1" xfId="4" applyNumberFormat="1" applyFont="1" applyBorder="1"/>
    <xf numFmtId="0" fontId="2" fillId="0" borderId="1" xfId="4" applyFont="1" applyBorder="1"/>
    <xf numFmtId="0" fontId="16" fillId="0" borderId="0" xfId="0" applyFont="1"/>
    <xf numFmtId="2" fontId="0" fillId="0" borderId="0" xfId="0" applyNumberFormat="1"/>
    <xf numFmtId="171" fontId="17" fillId="0" borderId="0" xfId="0" applyNumberFormat="1" applyFont="1"/>
    <xf numFmtId="0" fontId="17" fillId="0" borderId="0" xfId="0" applyFont="1" applyFill="1" applyBorder="1"/>
    <xf numFmtId="175" fontId="3" fillId="0" borderId="0" xfId="4" applyNumberFormat="1" applyFont="1" applyFill="1" applyBorder="1"/>
    <xf numFmtId="0" fontId="0" fillId="0" borderId="0" xfId="0" applyFill="1" applyBorder="1"/>
    <xf numFmtId="0" fontId="4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/>
    </xf>
    <xf numFmtId="171" fontId="2" fillId="0" borderId="0" xfId="4" applyNumberFormat="1" applyFont="1" applyFill="1" applyBorder="1"/>
    <xf numFmtId="0" fontId="0" fillId="0" borderId="0" xfId="0" applyFill="1"/>
    <xf numFmtId="9" fontId="0" fillId="0" borderId="0" xfId="0" applyNumberFormat="1"/>
    <xf numFmtId="0" fontId="3" fillId="0" borderId="1" xfId="4" applyFont="1" applyBorder="1" applyAlignment="1">
      <alignment horizontal="left" indent="3"/>
    </xf>
    <xf numFmtId="1" fontId="18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19" fillId="0" borderId="0" xfId="0" applyFont="1"/>
    <xf numFmtId="0" fontId="0" fillId="0" borderId="0" xfId="0" applyBorder="1"/>
    <xf numFmtId="0" fontId="3" fillId="0" borderId="1" xfId="4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3" fillId="0" borderId="0" xfId="0" applyFont="1" applyFill="1" applyAlignment="1"/>
    <xf numFmtId="0" fontId="17" fillId="0" borderId="0" xfId="0" applyFont="1" applyFill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208" fontId="3" fillId="0" borderId="1" xfId="4" applyNumberFormat="1" applyFont="1" applyBorder="1"/>
    <xf numFmtId="0" fontId="14" fillId="0" borderId="0" xfId="0" applyFont="1" applyFill="1" applyAlignment="1">
      <alignment wrapText="1"/>
    </xf>
    <xf numFmtId="175" fontId="0" fillId="0" borderId="1" xfId="0" applyNumberFormat="1" applyFill="1" applyBorder="1"/>
    <xf numFmtId="175" fontId="6" fillId="0" borderId="1" xfId="4" applyNumberFormat="1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75" fontId="4" fillId="0" borderId="1" xfId="4" applyNumberFormat="1" applyFont="1" applyFill="1" applyBorder="1" applyAlignment="1">
      <alignment horizontal="center"/>
    </xf>
    <xf numFmtId="208" fontId="4" fillId="3" borderId="1" xfId="4" applyNumberFormat="1" applyFont="1" applyFill="1" applyBorder="1"/>
    <xf numFmtId="175" fontId="4" fillId="0" borderId="1" xfId="4" applyNumberFormat="1" applyFont="1" applyBorder="1"/>
    <xf numFmtId="0" fontId="22" fillId="2" borderId="2" xfId="0" applyFont="1" applyFill="1" applyBorder="1" applyAlignment="1">
      <alignment horizontal="center"/>
    </xf>
    <xf numFmtId="2" fontId="20" fillId="0" borderId="1" xfId="0" applyNumberFormat="1" applyFont="1" applyBorder="1" applyAlignment="1">
      <alignment vertical="center"/>
    </xf>
    <xf numFmtId="208" fontId="2" fillId="0" borderId="1" xfId="4" applyNumberFormat="1" applyFont="1" applyBorder="1"/>
    <xf numFmtId="175" fontId="0" fillId="0" borderId="0" xfId="0" applyNumberFormat="1"/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94" fontId="7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71" fontId="7" fillId="0" borderId="0" xfId="2" applyFont="1" applyFill="1" applyBorder="1" applyAlignment="1">
      <alignment horizontal="right"/>
    </xf>
    <xf numFmtId="0" fontId="23" fillId="0" borderId="0" xfId="0" applyFont="1" applyFill="1" applyBorder="1" applyAlignment="1"/>
    <xf numFmtId="3" fontId="24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/>
    <xf numFmtId="171" fontId="24" fillId="0" borderId="0" xfId="2" applyFont="1" applyFill="1" applyBorder="1" applyAlignment="1">
      <alignment horizontal="right"/>
    </xf>
    <xf numFmtId="10" fontId="0" fillId="0" borderId="0" xfId="0" applyNumberFormat="1"/>
    <xf numFmtId="0" fontId="3" fillId="4" borderId="1" xfId="0" applyFont="1" applyFill="1" applyBorder="1"/>
    <xf numFmtId="0" fontId="25" fillId="0" borderId="0" xfId="0" applyFont="1"/>
    <xf numFmtId="0" fontId="26" fillId="0" borderId="0" xfId="0" applyFont="1" applyFill="1" applyBorder="1" applyAlignment="1">
      <alignment horizontal="center"/>
    </xf>
    <xf numFmtId="3" fontId="26" fillId="0" borderId="0" xfId="0" applyNumberFormat="1" applyFont="1" applyFill="1" applyBorder="1"/>
    <xf numFmtId="4" fontId="26" fillId="0" borderId="0" xfId="0" applyNumberFormat="1" applyFont="1" applyFill="1" applyBorder="1" applyAlignment="1">
      <alignment horizontal="right"/>
    </xf>
    <xf numFmtId="190" fontId="26" fillId="0" borderId="0" xfId="0" applyNumberFormat="1" applyFont="1" applyFill="1" applyBorder="1"/>
    <xf numFmtId="4" fontId="17" fillId="0" borderId="0" xfId="0" applyNumberFormat="1" applyFont="1" applyFill="1" applyBorder="1"/>
    <xf numFmtId="4" fontId="19" fillId="0" borderId="0" xfId="0" applyNumberFormat="1" applyFont="1" applyFill="1" applyBorder="1"/>
    <xf numFmtId="4" fontId="27" fillId="0" borderId="0" xfId="0" applyNumberFormat="1" applyFont="1" applyFill="1" applyBorder="1"/>
    <xf numFmtId="0" fontId="17" fillId="0" borderId="1" xfId="0" applyFont="1" applyBorder="1"/>
    <xf numFmtId="0" fontId="2" fillId="5" borderId="1" xfId="0" applyFont="1" applyFill="1" applyBorder="1"/>
    <xf numFmtId="0" fontId="3" fillId="0" borderId="1" xfId="0" applyFont="1" applyFill="1" applyBorder="1"/>
    <xf numFmtId="0" fontId="2" fillId="2" borderId="1" xfId="0" applyFont="1" applyFill="1" applyBorder="1" applyAlignment="1">
      <alignment horizontal="center"/>
    </xf>
    <xf numFmtId="4" fontId="28" fillId="5" borderId="1" xfId="0" applyNumberFormat="1" applyFont="1" applyFill="1" applyBorder="1"/>
    <xf numFmtId="4" fontId="20" fillId="0" borderId="1" xfId="0" applyNumberFormat="1" applyFont="1" applyFill="1" applyBorder="1"/>
    <xf numFmtId="171" fontId="4" fillId="3" borderId="1" xfId="4" applyNumberFormat="1" applyFont="1" applyFill="1" applyBorder="1"/>
    <xf numFmtId="0" fontId="22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208" fontId="3" fillId="0" borderId="1" xfId="0" applyNumberFormat="1" applyFont="1" applyFill="1" applyBorder="1"/>
    <xf numFmtId="176" fontId="2" fillId="2" borderId="1" xfId="0" applyNumberFormat="1" applyFont="1" applyFill="1" applyBorder="1" applyAlignment="1">
      <alignment horizontal="center"/>
    </xf>
    <xf numFmtId="188" fontId="4" fillId="3" borderId="1" xfId="4" applyNumberFormat="1" applyFont="1" applyFill="1" applyBorder="1"/>
    <xf numFmtId="0" fontId="16" fillId="5" borderId="1" xfId="0" applyFont="1" applyFill="1" applyBorder="1"/>
    <xf numFmtId="0" fontId="9" fillId="0" borderId="1" xfId="0" applyFont="1" applyFill="1" applyBorder="1"/>
    <xf numFmtId="4" fontId="16" fillId="0" borderId="1" xfId="0" applyNumberFormat="1" applyFont="1" applyBorder="1"/>
    <xf numFmtId="0" fontId="7" fillId="0" borderId="1" xfId="0" applyFont="1" applyFill="1" applyBorder="1"/>
    <xf numFmtId="0" fontId="9" fillId="5" borderId="1" xfId="0" applyFont="1" applyFill="1" applyBorder="1"/>
    <xf numFmtId="190" fontId="28" fillId="0" borderId="1" xfId="0" applyNumberFormat="1" applyFont="1" applyFill="1" applyBorder="1"/>
    <xf numFmtId="190" fontId="29" fillId="5" borderId="1" xfId="0" applyNumberFormat="1" applyFont="1" applyFill="1" applyBorder="1"/>
    <xf numFmtId="190" fontId="0" fillId="0" borderId="1" xfId="0" applyNumberFormat="1" applyBorder="1"/>
    <xf numFmtId="0" fontId="22" fillId="2" borderId="1" xfId="0" applyFont="1" applyFill="1" applyBorder="1" applyAlignment="1">
      <alignment horizontal="center"/>
    </xf>
    <xf numFmtId="10" fontId="0" fillId="6" borderId="1" xfId="0" applyNumberFormat="1" applyFill="1" applyBorder="1"/>
    <xf numFmtId="0" fontId="0" fillId="7" borderId="1" xfId="0" applyFill="1" applyBorder="1"/>
    <xf numFmtId="0" fontId="0" fillId="8" borderId="0" xfId="0" applyFill="1"/>
    <xf numFmtId="0" fontId="15" fillId="0" borderId="0" xfId="1"/>
    <xf numFmtId="195" fontId="0" fillId="0" borderId="0" xfId="0" applyNumberFormat="1"/>
    <xf numFmtId="0" fontId="16" fillId="5" borderId="0" xfId="0" applyFont="1" applyFill="1"/>
    <xf numFmtId="0" fontId="0" fillId="5" borderId="0" xfId="0" applyFill="1"/>
    <xf numFmtId="10" fontId="0" fillId="9" borderId="0" xfId="0" applyNumberFormat="1" applyFill="1"/>
    <xf numFmtId="10" fontId="12" fillId="9" borderId="0" xfId="5" applyNumberFormat="1" applyFont="1" applyFill="1"/>
    <xf numFmtId="188" fontId="4" fillId="10" borderId="1" xfId="4" applyNumberFormat="1" applyFont="1" applyFill="1" applyBorder="1"/>
    <xf numFmtId="176" fontId="0" fillId="0" borderId="0" xfId="0" applyNumberFormat="1"/>
    <xf numFmtId="3" fontId="0" fillId="0" borderId="0" xfId="0" applyNumberFormat="1"/>
    <xf numFmtId="4" fontId="26" fillId="4" borderId="0" xfId="0" applyNumberFormat="1" applyFont="1" applyFill="1"/>
    <xf numFmtId="3" fontId="26" fillId="0" borderId="0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right"/>
    </xf>
    <xf numFmtId="3" fontId="11" fillId="0" borderId="1" xfId="0" applyNumberFormat="1" applyFont="1" applyFill="1" applyBorder="1"/>
    <xf numFmtId="190" fontId="11" fillId="0" borderId="1" xfId="0" applyNumberFormat="1" applyFont="1" applyFill="1" applyBorder="1"/>
    <xf numFmtId="3" fontId="18" fillId="0" borderId="1" xfId="0" applyNumberFormat="1" applyFont="1" applyFill="1" applyBorder="1"/>
    <xf numFmtId="10" fontId="18" fillId="0" borderId="1" xfId="5" applyNumberFormat="1" applyFont="1" applyFill="1" applyBorder="1"/>
    <xf numFmtId="0" fontId="18" fillId="0" borderId="1" xfId="0" applyFont="1" applyFill="1" applyBorder="1"/>
    <xf numFmtId="10" fontId="18" fillId="0" borderId="1" xfId="5" applyNumberFormat="1" applyFont="1" applyBorder="1"/>
    <xf numFmtId="9" fontId="18" fillId="0" borderId="1" xfId="0" applyNumberFormat="1" applyFont="1" applyBorder="1"/>
    <xf numFmtId="209" fontId="18" fillId="0" borderId="1" xfId="0" applyNumberFormat="1" applyFont="1" applyFill="1" applyBorder="1"/>
    <xf numFmtId="10" fontId="0" fillId="0" borderId="1" xfId="0" applyNumberFormat="1" applyBorder="1"/>
    <xf numFmtId="189" fontId="12" fillId="0" borderId="1" xfId="2" applyNumberFormat="1" applyFon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0" fontId="0" fillId="0" borderId="4" xfId="0" applyNumberFormat="1" applyBorder="1"/>
    <xf numFmtId="0" fontId="0" fillId="0" borderId="3" xfId="0" applyFill="1" applyBorder="1"/>
    <xf numFmtId="10" fontId="0" fillId="0" borderId="4" xfId="0" applyNumberFormat="1" applyFill="1" applyBorder="1"/>
    <xf numFmtId="0" fontId="0" fillId="0" borderId="0" xfId="0" applyFill="1" applyAlignment="1">
      <alignment horizontal="center"/>
    </xf>
    <xf numFmtId="9" fontId="0" fillId="7" borderId="0" xfId="0" applyNumberFormat="1" applyFill="1"/>
    <xf numFmtId="0" fontId="22" fillId="2" borderId="0" xfId="0" applyFont="1" applyFill="1" applyBorder="1" applyAlignment="1">
      <alignment horizontal="center"/>
    </xf>
    <xf numFmtId="175" fontId="3" fillId="0" borderId="0" xfId="4" applyNumberFormat="1" applyFont="1" applyBorder="1"/>
    <xf numFmtId="208" fontId="3" fillId="0" borderId="0" xfId="4" applyNumberFormat="1" applyFont="1" applyBorder="1"/>
    <xf numFmtId="208" fontId="2" fillId="0" borderId="0" xfId="4" applyNumberFormat="1" applyFont="1" applyBorder="1"/>
    <xf numFmtId="0" fontId="3" fillId="0" borderId="0" xfId="4" applyFont="1" applyBorder="1"/>
    <xf numFmtId="208" fontId="4" fillId="3" borderId="0" xfId="4" applyNumberFormat="1" applyFont="1" applyFill="1" applyBorder="1"/>
    <xf numFmtId="0" fontId="22" fillId="2" borderId="5" xfId="0" applyFont="1" applyFill="1" applyBorder="1" applyAlignment="1">
      <alignment horizontal="center"/>
    </xf>
    <xf numFmtId="0" fontId="3" fillId="0" borderId="6" xfId="4" applyFont="1" applyBorder="1"/>
    <xf numFmtId="175" fontId="3" fillId="0" borderId="5" xfId="4" applyNumberFormat="1" applyFont="1" applyBorder="1"/>
    <xf numFmtId="208" fontId="3" fillId="0" borderId="5" xfId="4" applyNumberFormat="1" applyFont="1" applyBorder="1"/>
    <xf numFmtId="208" fontId="2" fillId="0" borderId="5" xfId="4" applyNumberFormat="1" applyFont="1" applyBorder="1"/>
    <xf numFmtId="0" fontId="3" fillId="0" borderId="5" xfId="4" applyFont="1" applyBorder="1"/>
    <xf numFmtId="0" fontId="22" fillId="2" borderId="7" xfId="0" applyFont="1" applyFill="1" applyBorder="1" applyAlignment="1">
      <alignment horizontal="center"/>
    </xf>
    <xf numFmtId="208" fontId="4" fillId="3" borderId="8" xfId="4" applyNumberFormat="1" applyFont="1" applyFill="1" applyBorder="1"/>
    <xf numFmtId="208" fontId="4" fillId="3" borderId="9" xfId="4" applyNumberFormat="1" applyFont="1" applyFill="1" applyBorder="1"/>
    <xf numFmtId="208" fontId="17" fillId="0" borderId="1" xfId="0" applyNumberFormat="1" applyFont="1" applyBorder="1"/>
    <xf numFmtId="0" fontId="3" fillId="0" borderId="0" xfId="4" applyFont="1" applyFill="1" applyBorder="1" applyAlignment="1">
      <alignment horizontal="left" indent="3"/>
    </xf>
    <xf numFmtId="2" fontId="3" fillId="0" borderId="0" xfId="4" applyNumberFormat="1" applyFont="1" applyFill="1" applyBorder="1"/>
    <xf numFmtId="176" fontId="5" fillId="0" borderId="0" xfId="4" applyNumberFormat="1" applyFont="1" applyFill="1" applyBorder="1"/>
    <xf numFmtId="0" fontId="16" fillId="0" borderId="0" xfId="0" applyFont="1" applyFill="1" applyBorder="1"/>
    <xf numFmtId="1" fontId="16" fillId="5" borderId="1" xfId="0" applyNumberFormat="1" applyFont="1" applyFill="1" applyBorder="1"/>
    <xf numFmtId="3" fontId="0" fillId="0" borderId="1" xfId="0" applyNumberFormat="1" applyBorder="1"/>
    <xf numFmtId="217" fontId="0" fillId="0" borderId="0" xfId="0" applyNumberFormat="1"/>
    <xf numFmtId="3" fontId="28" fillId="0" borderId="1" xfId="0" applyNumberFormat="1" applyFont="1" applyFill="1" applyBorder="1"/>
    <xf numFmtId="167" fontId="4" fillId="0" borderId="0" xfId="4" applyNumberFormat="1" applyFont="1" applyFill="1" applyBorder="1" applyAlignment="1">
      <alignment horizontal="center"/>
    </xf>
    <xf numFmtId="10" fontId="0" fillId="0" borderId="0" xfId="0" applyNumberFormat="1" applyFill="1"/>
    <xf numFmtId="0" fontId="2" fillId="11" borderId="1" xfId="0" applyFont="1" applyFill="1" applyBorder="1"/>
    <xf numFmtId="208" fontId="3" fillId="11" borderId="1" xfId="4" applyNumberFormat="1" applyFont="1" applyFill="1" applyBorder="1"/>
    <xf numFmtId="175" fontId="3" fillId="11" borderId="1" xfId="3" applyNumberFormat="1" applyFont="1" applyFill="1" applyBorder="1"/>
    <xf numFmtId="175" fontId="2" fillId="12" borderId="1" xfId="3" applyNumberFormat="1" applyFont="1" applyFill="1" applyBorder="1"/>
    <xf numFmtId="0" fontId="22" fillId="13" borderId="1" xfId="0" applyFont="1" applyFill="1" applyBorder="1" applyAlignment="1">
      <alignment horizontal="center"/>
    </xf>
    <xf numFmtId="0" fontId="4" fillId="13" borderId="1" xfId="4" applyFont="1" applyFill="1" applyBorder="1" applyAlignment="1">
      <alignment horizontal="center"/>
    </xf>
    <xf numFmtId="0" fontId="4" fillId="13" borderId="1" xfId="4" applyFont="1" applyFill="1" applyBorder="1" applyAlignment="1">
      <alignment horizontal="center" wrapText="1"/>
    </xf>
    <xf numFmtId="0" fontId="30" fillId="13" borderId="1" xfId="0" applyFont="1" applyFill="1" applyBorder="1" applyAlignment="1">
      <alignment horizontal="center" wrapText="1"/>
    </xf>
    <xf numFmtId="0" fontId="17" fillId="11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3" fillId="11" borderId="1" xfId="4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31" fillId="14" borderId="16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31" fillId="14" borderId="1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1" fillId="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/>
    </xf>
    <xf numFmtId="0" fontId="32" fillId="0" borderId="17" xfId="0" applyFont="1" applyBorder="1" applyAlignment="1">
      <alignment horizontal="left" wrapText="1"/>
    </xf>
    <xf numFmtId="0" fontId="2" fillId="12" borderId="1" xfId="4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13" borderId="2" xfId="0" applyFont="1" applyFill="1" applyBorder="1" applyAlignment="1">
      <alignment horizontal="center"/>
    </xf>
    <xf numFmtId="0" fontId="22" fillId="13" borderId="13" xfId="0" applyFont="1" applyFill="1" applyBorder="1" applyAlignment="1">
      <alignment horizontal="center"/>
    </xf>
    <xf numFmtId="0" fontId="22" fillId="13" borderId="14" xfId="0" applyFont="1" applyFill="1" applyBorder="1" applyAlignment="1">
      <alignment horizontal="center"/>
    </xf>
    <xf numFmtId="0" fontId="4" fillId="13" borderId="2" xfId="4" applyFont="1" applyFill="1" applyBorder="1" applyAlignment="1">
      <alignment horizontal="center" vertical="center"/>
    </xf>
    <xf numFmtId="0" fontId="4" fillId="13" borderId="13" xfId="4" applyFont="1" applyFill="1" applyBorder="1" applyAlignment="1">
      <alignment horizontal="center" vertical="center"/>
    </xf>
    <xf numFmtId="0" fontId="4" fillId="13" borderId="14" xfId="4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</cellXfs>
  <cellStyles count="6">
    <cellStyle name="Hipervínculo" xfId="1" builtinId="8"/>
    <cellStyle name="Millares" xfId="2" builtinId="3"/>
    <cellStyle name="Millares 2" xfId="3"/>
    <cellStyle name="Normal" xfId="0" builtinId="0"/>
    <cellStyle name="Normal 2" xfId="4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12</xdr:row>
      <xdr:rowOff>171450</xdr:rowOff>
    </xdr:from>
    <xdr:to>
      <xdr:col>8</xdr:col>
      <xdr:colOff>942975</xdr:colOff>
      <xdr:row>14</xdr:row>
      <xdr:rowOff>28575</xdr:rowOff>
    </xdr:to>
    <xdr:pic>
      <xdr:nvPicPr>
        <xdr:cNvPr id="2753" name="6 Imagen">
          <a:extLst>
            <a:ext uri="{FF2B5EF4-FFF2-40B4-BE49-F238E27FC236}">
              <a16:creationId xmlns:a16="http://schemas.microsoft.com/office/drawing/2014/main" id="{871D5DBE-5467-48E7-B0E3-D1922012F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2457450"/>
          <a:ext cx="466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476250</xdr:colOff>
      <xdr:row>4</xdr:row>
      <xdr:rowOff>0</xdr:rowOff>
    </xdr:from>
    <xdr:to>
      <xdr:col>8</xdr:col>
      <xdr:colOff>933450</xdr:colOff>
      <xdr:row>5</xdr:row>
      <xdr:rowOff>47625</xdr:rowOff>
    </xdr:to>
    <xdr:pic>
      <xdr:nvPicPr>
        <xdr:cNvPr id="2754" name="7 Imagen">
          <a:extLst>
            <a:ext uri="{FF2B5EF4-FFF2-40B4-BE49-F238E27FC236}">
              <a16:creationId xmlns:a16="http://schemas.microsoft.com/office/drawing/2014/main" id="{2DCB3B21-E2FC-4B88-A039-2EB8E8F1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62000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5</xdr:row>
      <xdr:rowOff>142875</xdr:rowOff>
    </xdr:from>
    <xdr:to>
      <xdr:col>8</xdr:col>
      <xdr:colOff>942975</xdr:colOff>
      <xdr:row>7</xdr:row>
      <xdr:rowOff>38100</xdr:rowOff>
    </xdr:to>
    <xdr:pic>
      <xdr:nvPicPr>
        <xdr:cNvPr id="2755" name="8 Imagen">
          <a:extLst>
            <a:ext uri="{FF2B5EF4-FFF2-40B4-BE49-F238E27FC236}">
              <a16:creationId xmlns:a16="http://schemas.microsoft.com/office/drawing/2014/main" id="{E827BDCB-2C55-4D60-B5E6-223D37DBF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095375"/>
          <a:ext cx="5715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7</xdr:row>
      <xdr:rowOff>180975</xdr:rowOff>
    </xdr:from>
    <xdr:to>
      <xdr:col>9</xdr:col>
      <xdr:colOff>0</xdr:colOff>
      <xdr:row>9</xdr:row>
      <xdr:rowOff>76200</xdr:rowOff>
    </xdr:to>
    <xdr:pic>
      <xdr:nvPicPr>
        <xdr:cNvPr id="2756" name="9 Imagen">
          <a:extLst>
            <a:ext uri="{FF2B5EF4-FFF2-40B4-BE49-F238E27FC236}">
              <a16:creationId xmlns:a16="http://schemas.microsoft.com/office/drawing/2014/main" id="{181B1E8B-9C0C-47CA-B9C9-34F67342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514475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428625</xdr:colOff>
      <xdr:row>9</xdr:row>
      <xdr:rowOff>161925</xdr:rowOff>
    </xdr:from>
    <xdr:to>
      <xdr:col>8</xdr:col>
      <xdr:colOff>923925</xdr:colOff>
      <xdr:row>11</xdr:row>
      <xdr:rowOff>38100</xdr:rowOff>
    </xdr:to>
    <xdr:pic>
      <xdr:nvPicPr>
        <xdr:cNvPr id="2757" name="10 Imagen">
          <a:extLst>
            <a:ext uri="{FF2B5EF4-FFF2-40B4-BE49-F238E27FC236}">
              <a16:creationId xmlns:a16="http://schemas.microsoft.com/office/drawing/2014/main" id="{1FBA0F7B-6436-461B-AE02-7677F38A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876425"/>
          <a:ext cx="4953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15</xdr:row>
      <xdr:rowOff>161925</xdr:rowOff>
    </xdr:from>
    <xdr:to>
      <xdr:col>8</xdr:col>
      <xdr:colOff>904875</xdr:colOff>
      <xdr:row>17</xdr:row>
      <xdr:rowOff>19050</xdr:rowOff>
    </xdr:to>
    <xdr:pic>
      <xdr:nvPicPr>
        <xdr:cNvPr id="2758" name="12 Imagen">
          <a:extLst>
            <a:ext uri="{FF2B5EF4-FFF2-40B4-BE49-F238E27FC236}">
              <a16:creationId xmlns:a16="http://schemas.microsoft.com/office/drawing/2014/main" id="{B4C762B8-056F-4EA1-85F6-77FFBE736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3019425"/>
          <a:ext cx="11239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</xdr:row>
      <xdr:rowOff>171450</xdr:rowOff>
    </xdr:from>
    <xdr:to>
      <xdr:col>4</xdr:col>
      <xdr:colOff>514350</xdr:colOff>
      <xdr:row>24</xdr:row>
      <xdr:rowOff>47625</xdr:rowOff>
    </xdr:to>
    <xdr:pic>
      <xdr:nvPicPr>
        <xdr:cNvPr id="2759" name="13 Imagen">
          <a:extLst>
            <a:ext uri="{FF2B5EF4-FFF2-40B4-BE49-F238E27FC236}">
              <a16:creationId xmlns:a16="http://schemas.microsoft.com/office/drawing/2014/main" id="{51919F68-D94D-46B6-9778-1FCBA54D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"/>
          <a:ext cx="2752725" cy="407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26</xdr:row>
      <xdr:rowOff>152400</xdr:rowOff>
    </xdr:from>
    <xdr:to>
      <xdr:col>4</xdr:col>
      <xdr:colOff>723900</xdr:colOff>
      <xdr:row>37</xdr:row>
      <xdr:rowOff>104775</xdr:rowOff>
    </xdr:to>
    <xdr:pic>
      <xdr:nvPicPr>
        <xdr:cNvPr id="2760" name="14 Imagen">
          <a:extLst>
            <a:ext uri="{FF2B5EF4-FFF2-40B4-BE49-F238E27FC236}">
              <a16:creationId xmlns:a16="http://schemas.microsoft.com/office/drawing/2014/main" id="{E5490007-7D02-4300-8608-9BC1F474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14925"/>
          <a:ext cx="289560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295275</xdr:colOff>
      <xdr:row>30</xdr:row>
      <xdr:rowOff>114300</xdr:rowOff>
    </xdr:from>
    <xdr:to>
      <xdr:col>8</xdr:col>
      <xdr:colOff>762000</xdr:colOff>
      <xdr:row>32</xdr:row>
      <xdr:rowOff>28575</xdr:rowOff>
    </xdr:to>
    <xdr:pic>
      <xdr:nvPicPr>
        <xdr:cNvPr id="2761" name="15 Imagen">
          <a:extLst>
            <a:ext uri="{FF2B5EF4-FFF2-40B4-BE49-F238E27FC236}">
              <a16:creationId xmlns:a16="http://schemas.microsoft.com/office/drawing/2014/main" id="{B8AEF2DC-F067-4C55-971A-CC5091447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838825"/>
          <a:ext cx="4667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428625</xdr:colOff>
      <xdr:row>30</xdr:row>
      <xdr:rowOff>161925</xdr:rowOff>
    </xdr:from>
    <xdr:to>
      <xdr:col>11</xdr:col>
      <xdr:colOff>581025</xdr:colOff>
      <xdr:row>32</xdr:row>
      <xdr:rowOff>123825</xdr:rowOff>
    </xdr:to>
    <xdr:pic>
      <xdr:nvPicPr>
        <xdr:cNvPr id="2762" name="16 Imagen">
          <a:extLst>
            <a:ext uri="{FF2B5EF4-FFF2-40B4-BE49-F238E27FC236}">
              <a16:creationId xmlns:a16="http://schemas.microsoft.com/office/drawing/2014/main" id="{95F425FF-39F5-4622-841A-C96C3C03A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588645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361950</xdr:colOff>
      <xdr:row>33</xdr:row>
      <xdr:rowOff>19050</xdr:rowOff>
    </xdr:from>
    <xdr:to>
      <xdr:col>12</xdr:col>
      <xdr:colOff>9525</xdr:colOff>
      <xdr:row>34</xdr:row>
      <xdr:rowOff>38100</xdr:rowOff>
    </xdr:to>
    <xdr:pic>
      <xdr:nvPicPr>
        <xdr:cNvPr id="2763" name="17 Imagen">
          <a:extLst>
            <a:ext uri="{FF2B5EF4-FFF2-40B4-BE49-F238E27FC236}">
              <a16:creationId xmlns:a16="http://schemas.microsoft.com/office/drawing/2014/main" id="{7E9BC45F-32B8-469E-8A89-7215045F3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315075"/>
          <a:ext cx="409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32</xdr:row>
      <xdr:rowOff>95250</xdr:rowOff>
    </xdr:from>
    <xdr:to>
      <xdr:col>8</xdr:col>
      <xdr:colOff>762000</xdr:colOff>
      <xdr:row>34</xdr:row>
      <xdr:rowOff>19050</xdr:rowOff>
    </xdr:to>
    <xdr:pic>
      <xdr:nvPicPr>
        <xdr:cNvPr id="2764" name="18 Imagen">
          <a:extLst>
            <a:ext uri="{FF2B5EF4-FFF2-40B4-BE49-F238E27FC236}">
              <a16:creationId xmlns:a16="http://schemas.microsoft.com/office/drawing/2014/main" id="{B92B4F39-6B50-4DAE-9363-E28DCEEA8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6200775"/>
          <a:ext cx="5143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34</xdr:row>
      <xdr:rowOff>152400</xdr:rowOff>
    </xdr:from>
    <xdr:to>
      <xdr:col>9</xdr:col>
      <xdr:colOff>57150</xdr:colOff>
      <xdr:row>36</xdr:row>
      <xdr:rowOff>28575</xdr:rowOff>
    </xdr:to>
    <xdr:pic>
      <xdr:nvPicPr>
        <xdr:cNvPr id="2765" name="19 Imagen">
          <a:extLst>
            <a:ext uri="{FF2B5EF4-FFF2-40B4-BE49-F238E27FC236}">
              <a16:creationId xmlns:a16="http://schemas.microsoft.com/office/drawing/2014/main" id="{6D2BBFEB-870A-42F8-A3EE-0BAD95D6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6638925"/>
          <a:ext cx="11144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39</xdr:row>
      <xdr:rowOff>133350</xdr:rowOff>
    </xdr:from>
    <xdr:to>
      <xdr:col>4</xdr:col>
      <xdr:colOff>742950</xdr:colOff>
      <xdr:row>48</xdr:row>
      <xdr:rowOff>133350</xdr:rowOff>
    </xdr:to>
    <xdr:pic>
      <xdr:nvPicPr>
        <xdr:cNvPr id="2766" name="21 Imagen">
          <a:extLst>
            <a:ext uri="{FF2B5EF4-FFF2-40B4-BE49-F238E27FC236}">
              <a16:creationId xmlns:a16="http://schemas.microsoft.com/office/drawing/2014/main" id="{52119173-F7F9-4804-A7F9-771E3346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572375"/>
          <a:ext cx="2933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266700</xdr:colOff>
      <xdr:row>46</xdr:row>
      <xdr:rowOff>180975</xdr:rowOff>
    </xdr:from>
    <xdr:to>
      <xdr:col>8</xdr:col>
      <xdr:colOff>923925</xdr:colOff>
      <xdr:row>48</xdr:row>
      <xdr:rowOff>104775</xdr:rowOff>
    </xdr:to>
    <xdr:pic>
      <xdr:nvPicPr>
        <xdr:cNvPr id="2767" name="22 Imagen">
          <a:extLst>
            <a:ext uri="{FF2B5EF4-FFF2-40B4-BE49-F238E27FC236}">
              <a16:creationId xmlns:a16="http://schemas.microsoft.com/office/drawing/2014/main" id="{1D840654-4358-4345-B88B-1DB2A6E10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53500"/>
          <a:ext cx="657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39</xdr:row>
      <xdr:rowOff>161925</xdr:rowOff>
    </xdr:from>
    <xdr:to>
      <xdr:col>8</xdr:col>
      <xdr:colOff>838200</xdr:colOff>
      <xdr:row>41</xdr:row>
      <xdr:rowOff>66675</xdr:rowOff>
    </xdr:to>
    <xdr:pic>
      <xdr:nvPicPr>
        <xdr:cNvPr id="2768" name="24 Imagen">
          <a:extLst>
            <a:ext uri="{FF2B5EF4-FFF2-40B4-BE49-F238E27FC236}">
              <a16:creationId xmlns:a16="http://schemas.microsoft.com/office/drawing/2014/main" id="{D57719DC-925D-470C-9702-5A81AC78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00950"/>
          <a:ext cx="6096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41</xdr:row>
      <xdr:rowOff>114300</xdr:rowOff>
    </xdr:from>
    <xdr:to>
      <xdr:col>8</xdr:col>
      <xdr:colOff>838200</xdr:colOff>
      <xdr:row>43</xdr:row>
      <xdr:rowOff>133350</xdr:rowOff>
    </xdr:to>
    <xdr:pic>
      <xdr:nvPicPr>
        <xdr:cNvPr id="2769" name="25 Imagen">
          <a:extLst>
            <a:ext uri="{FF2B5EF4-FFF2-40B4-BE49-F238E27FC236}">
              <a16:creationId xmlns:a16="http://schemas.microsoft.com/office/drawing/2014/main" id="{F292DD3C-73B0-4017-95A0-64441B5CE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34325"/>
          <a:ext cx="342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43</xdr:row>
      <xdr:rowOff>95250</xdr:rowOff>
    </xdr:from>
    <xdr:to>
      <xdr:col>8</xdr:col>
      <xdr:colOff>847725</xdr:colOff>
      <xdr:row>45</xdr:row>
      <xdr:rowOff>142875</xdr:rowOff>
    </xdr:to>
    <xdr:pic>
      <xdr:nvPicPr>
        <xdr:cNvPr id="2770" name="26 Imagen">
          <a:extLst>
            <a:ext uri="{FF2B5EF4-FFF2-40B4-BE49-F238E27FC236}">
              <a16:creationId xmlns:a16="http://schemas.microsoft.com/office/drawing/2014/main" id="{E33447BD-FE86-42EE-BBB2-2971723E5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8296275"/>
          <a:ext cx="266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742950</xdr:colOff>
      <xdr:row>49</xdr:row>
      <xdr:rowOff>133350</xdr:rowOff>
    </xdr:from>
    <xdr:to>
      <xdr:col>8</xdr:col>
      <xdr:colOff>828675</xdr:colOff>
      <xdr:row>51</xdr:row>
      <xdr:rowOff>66675</xdr:rowOff>
    </xdr:to>
    <xdr:pic>
      <xdr:nvPicPr>
        <xdr:cNvPr id="2771" name="27 Imagen">
          <a:extLst>
            <a:ext uri="{FF2B5EF4-FFF2-40B4-BE49-F238E27FC236}">
              <a16:creationId xmlns:a16="http://schemas.microsoft.com/office/drawing/2014/main" id="{DCD12F14-B98D-4AC0-B80B-F315A5BB2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477375"/>
          <a:ext cx="1419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39</xdr:row>
      <xdr:rowOff>142875</xdr:rowOff>
    </xdr:from>
    <xdr:to>
      <xdr:col>11</xdr:col>
      <xdr:colOff>390525</xdr:colOff>
      <xdr:row>41</xdr:row>
      <xdr:rowOff>0</xdr:rowOff>
    </xdr:to>
    <xdr:pic>
      <xdr:nvPicPr>
        <xdr:cNvPr id="2772" name="28 Imagen">
          <a:extLst>
            <a:ext uri="{FF2B5EF4-FFF2-40B4-BE49-F238E27FC236}">
              <a16:creationId xmlns:a16="http://schemas.microsoft.com/office/drawing/2014/main" id="{BAD1A658-9151-45E1-B07A-22C74AC0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7581900"/>
          <a:ext cx="257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77</xdr:row>
      <xdr:rowOff>171450</xdr:rowOff>
    </xdr:from>
    <xdr:to>
      <xdr:col>6</xdr:col>
      <xdr:colOff>581025</xdr:colOff>
      <xdr:row>79</xdr:row>
      <xdr:rowOff>95250</xdr:rowOff>
    </xdr:to>
    <xdr:pic>
      <xdr:nvPicPr>
        <xdr:cNvPr id="1203" name="8 Imagen">
          <a:extLst>
            <a:ext uri="{FF2B5EF4-FFF2-40B4-BE49-F238E27FC236}">
              <a16:creationId xmlns:a16="http://schemas.microsoft.com/office/drawing/2014/main" id="{AE64C237-F460-469E-B209-8ADC5E9B0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4954250"/>
          <a:ext cx="9525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79</xdr:row>
      <xdr:rowOff>180975</xdr:rowOff>
    </xdr:from>
    <xdr:to>
      <xdr:col>6</xdr:col>
      <xdr:colOff>514350</xdr:colOff>
      <xdr:row>81</xdr:row>
      <xdr:rowOff>85725</xdr:rowOff>
    </xdr:to>
    <xdr:pic>
      <xdr:nvPicPr>
        <xdr:cNvPr id="1204" name="10 Imagen">
          <a:extLst>
            <a:ext uri="{FF2B5EF4-FFF2-40B4-BE49-F238E27FC236}">
              <a16:creationId xmlns:a16="http://schemas.microsoft.com/office/drawing/2014/main" id="{218538F7-741D-4E7A-8A59-67E2F84F6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5344775"/>
          <a:ext cx="847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85</xdr:row>
      <xdr:rowOff>28575</xdr:rowOff>
    </xdr:from>
    <xdr:to>
      <xdr:col>9</xdr:col>
      <xdr:colOff>657225</xdr:colOff>
      <xdr:row>101</xdr:row>
      <xdr:rowOff>123825</xdr:rowOff>
    </xdr:to>
    <xdr:pic>
      <xdr:nvPicPr>
        <xdr:cNvPr id="1205" name="3 Imagen">
          <a:extLst>
            <a:ext uri="{FF2B5EF4-FFF2-40B4-BE49-F238E27FC236}">
              <a16:creationId xmlns:a16="http://schemas.microsoft.com/office/drawing/2014/main" id="{6A43DD7B-1261-4F35-893E-BCB42FF6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6335375"/>
          <a:ext cx="3771900" cy="328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86</xdr:row>
      <xdr:rowOff>57150</xdr:rowOff>
    </xdr:from>
    <xdr:to>
      <xdr:col>1</xdr:col>
      <xdr:colOff>1743075</xdr:colOff>
      <xdr:row>89</xdr:row>
      <xdr:rowOff>104775</xdr:rowOff>
    </xdr:to>
    <xdr:pic>
      <xdr:nvPicPr>
        <xdr:cNvPr id="1206" name="4 Imagen">
          <a:extLst>
            <a:ext uri="{FF2B5EF4-FFF2-40B4-BE49-F238E27FC236}">
              <a16:creationId xmlns:a16="http://schemas.microsoft.com/office/drawing/2014/main" id="{6A973534-A1E4-42A3-8793-88C571BE1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6554450"/>
          <a:ext cx="15811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91</xdr:row>
      <xdr:rowOff>66675</xdr:rowOff>
    </xdr:from>
    <xdr:to>
      <xdr:col>1</xdr:col>
      <xdr:colOff>1724025</xdr:colOff>
      <xdr:row>93</xdr:row>
      <xdr:rowOff>114300</xdr:rowOff>
    </xdr:to>
    <xdr:pic>
      <xdr:nvPicPr>
        <xdr:cNvPr id="1207" name="9 Imagen">
          <a:extLst>
            <a:ext uri="{FF2B5EF4-FFF2-40B4-BE49-F238E27FC236}">
              <a16:creationId xmlns:a16="http://schemas.microsoft.com/office/drawing/2014/main" id="{ADFD4066-8609-4FF7-820B-790E85C8E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7516475"/>
          <a:ext cx="15906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94</xdr:row>
      <xdr:rowOff>95250</xdr:rowOff>
    </xdr:from>
    <xdr:to>
      <xdr:col>1</xdr:col>
      <xdr:colOff>1647825</xdr:colOff>
      <xdr:row>96</xdr:row>
      <xdr:rowOff>95250</xdr:rowOff>
    </xdr:to>
    <xdr:pic>
      <xdr:nvPicPr>
        <xdr:cNvPr id="1208" name="12 Imagen">
          <a:extLst>
            <a:ext uri="{FF2B5EF4-FFF2-40B4-BE49-F238E27FC236}">
              <a16:creationId xmlns:a16="http://schemas.microsoft.com/office/drawing/2014/main" id="{7B8720B2-3DD6-4CFC-84A1-4BC51E39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8307050"/>
          <a:ext cx="13906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Copia%20de%20_EVALUACI&#211;N.xls?7C3DF6E2" TargetMode="External"/><Relationship Id="rId1" Type="http://schemas.openxmlformats.org/officeDocument/2006/relationships/externalLinkPath" Target="file:///\\7C3DF6E2\Copia%20de%20_EVALUA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"/>
      <sheetName val="Betas"/>
      <sheetName val="Rm"/>
      <sheetName val="ALTER A - SIN PY"/>
      <sheetName val="Costo de Capital"/>
      <sheetName val="ALTER B - CON PY_EVALUACION"/>
    </sheetNames>
    <sheetDataSet>
      <sheetData sheetId="0" refreshError="1"/>
      <sheetData sheetId="1"/>
      <sheetData sheetId="2">
        <row r="23">
          <cell r="M23">
            <v>7.5222447123215477E-2</v>
          </cell>
        </row>
      </sheetData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A52" workbookViewId="0"/>
  </sheetViews>
  <sheetFormatPr baseColWidth="10" defaultRowHeight="15" x14ac:dyDescent="0.25"/>
  <cols>
    <col min="2" max="2" width="11.42578125" customWidth="1"/>
    <col min="3" max="3" width="26.7109375" customWidth="1"/>
    <col min="4" max="4" width="10.28515625" customWidth="1"/>
    <col min="5" max="5" width="8.140625" customWidth="1"/>
    <col min="6" max="6" width="7.5703125" customWidth="1"/>
    <col min="7" max="7" width="8" customWidth="1"/>
    <col min="8" max="8" width="8.42578125" customWidth="1"/>
    <col min="9" max="9" width="8" customWidth="1"/>
    <col min="10" max="10" width="8.5703125" customWidth="1"/>
  </cols>
  <sheetData>
    <row r="1" spans="2:14" x14ac:dyDescent="0.25">
      <c r="C1" s="9" t="s">
        <v>98</v>
      </c>
    </row>
    <row r="2" spans="2:14" ht="16.5" x14ac:dyDescent="0.3">
      <c r="B2" s="1"/>
      <c r="C2" s="172" t="s">
        <v>6</v>
      </c>
      <c r="D2" s="172" t="s">
        <v>78</v>
      </c>
      <c r="E2" s="172"/>
      <c r="F2" s="161" t="s">
        <v>79</v>
      </c>
      <c r="G2" s="161" t="s">
        <v>80</v>
      </c>
      <c r="H2" s="1"/>
      <c r="I2" s="9"/>
    </row>
    <row r="3" spans="2:14" ht="16.5" x14ac:dyDescent="0.3">
      <c r="B3" s="1"/>
      <c r="C3" s="172"/>
      <c r="D3" s="155" t="s">
        <v>81</v>
      </c>
      <c r="E3" s="155" t="s">
        <v>0</v>
      </c>
      <c r="F3" s="161"/>
      <c r="G3" s="161"/>
      <c r="H3" s="1"/>
      <c r="I3" s="9"/>
    </row>
    <row r="4" spans="2:14" ht="16.5" x14ac:dyDescent="0.3">
      <c r="B4" s="1"/>
      <c r="C4" s="20" t="s">
        <v>3</v>
      </c>
      <c r="D4" s="4">
        <v>400</v>
      </c>
      <c r="E4" s="21">
        <v>518.4</v>
      </c>
      <c r="F4" s="142">
        <v>4</v>
      </c>
      <c r="G4" s="70">
        <v>3</v>
      </c>
      <c r="H4" s="1"/>
      <c r="I4" s="9"/>
    </row>
    <row r="5" spans="2:14" ht="16.5" x14ac:dyDescent="0.3">
      <c r="B5" s="1"/>
      <c r="C5" s="20" t="s">
        <v>5</v>
      </c>
      <c r="D5" s="4">
        <v>180</v>
      </c>
      <c r="E5" s="21">
        <v>230.4</v>
      </c>
      <c r="F5" s="70">
        <v>2.5</v>
      </c>
      <c r="G5" s="70">
        <v>1.4</v>
      </c>
      <c r="H5" s="1"/>
      <c r="I5" s="9"/>
      <c r="J5" s="22"/>
    </row>
    <row r="6" spans="2:14" ht="16.5" x14ac:dyDescent="0.3">
      <c r="B6" s="1"/>
      <c r="C6" s="20" t="s">
        <v>4</v>
      </c>
      <c r="D6" s="4">
        <v>180</v>
      </c>
      <c r="E6" s="21">
        <v>230.4</v>
      </c>
      <c r="F6" s="70">
        <v>3</v>
      </c>
      <c r="G6" s="70">
        <v>1.6</v>
      </c>
      <c r="H6" s="1"/>
      <c r="I6" s="9"/>
    </row>
    <row r="7" spans="2:14" ht="16.5" x14ac:dyDescent="0.3">
      <c r="B7" s="1"/>
      <c r="C7" s="3" t="s">
        <v>1</v>
      </c>
      <c r="D7" s="3"/>
      <c r="E7" s="3"/>
      <c r="F7" s="1"/>
      <c r="G7" s="1"/>
      <c r="H7" s="1"/>
      <c r="I7" s="1"/>
      <c r="J7" s="1"/>
      <c r="K7" s="1"/>
    </row>
    <row r="8" spans="2:14" ht="16.5" x14ac:dyDescent="0.3">
      <c r="B8" s="1"/>
      <c r="C8" s="2" t="s">
        <v>110</v>
      </c>
      <c r="D8" s="2"/>
      <c r="E8" s="2"/>
      <c r="F8" s="3"/>
      <c r="G8" s="3"/>
      <c r="H8" s="3"/>
      <c r="I8" s="1"/>
      <c r="J8" s="1"/>
      <c r="K8" s="1"/>
    </row>
    <row r="9" spans="2:14" ht="12.75" customHeight="1" x14ac:dyDescent="0.3">
      <c r="B9" s="1"/>
      <c r="C9" s="2"/>
      <c r="D9" s="2"/>
      <c r="E9" s="2"/>
      <c r="F9" s="3"/>
      <c r="G9" s="3"/>
      <c r="H9" s="3"/>
      <c r="I9" s="1"/>
      <c r="J9" s="1"/>
      <c r="K9" s="1"/>
    </row>
    <row r="10" spans="2:14" ht="16.5" x14ac:dyDescent="0.3">
      <c r="B10" s="1"/>
      <c r="C10" s="165" t="s">
        <v>99</v>
      </c>
      <c r="D10" s="165"/>
      <c r="E10" s="165"/>
      <c r="F10" s="165"/>
      <c r="G10" s="165"/>
      <c r="H10" s="165"/>
      <c r="I10" s="30"/>
      <c r="J10" s="30"/>
      <c r="K10" s="30"/>
      <c r="L10" s="27"/>
      <c r="M10" s="27"/>
      <c r="N10" s="27"/>
    </row>
    <row r="11" spans="2:14" s="18" customFormat="1" ht="6.75" customHeight="1" thickBot="1" x14ac:dyDescent="0.35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7"/>
      <c r="M11" s="27"/>
      <c r="N11" s="27"/>
    </row>
    <row r="12" spans="2:14" s="18" customFormat="1" ht="16.5" x14ac:dyDescent="0.3">
      <c r="B12" s="28"/>
      <c r="C12" s="170" t="s">
        <v>21</v>
      </c>
      <c r="D12" s="162" t="s">
        <v>22</v>
      </c>
      <c r="E12" s="163"/>
      <c r="F12" s="163"/>
      <c r="G12" s="164"/>
      <c r="H12" s="127"/>
      <c r="I12" s="31"/>
      <c r="J12" s="31"/>
      <c r="K12" s="31"/>
      <c r="L12" s="31"/>
      <c r="M12" s="31"/>
      <c r="N12" s="31"/>
    </row>
    <row r="13" spans="2:14" ht="14.25" customHeight="1" x14ac:dyDescent="0.3">
      <c r="B13" s="1"/>
      <c r="C13" s="171"/>
      <c r="D13" s="90">
        <v>1</v>
      </c>
      <c r="E13" s="90">
        <v>2</v>
      </c>
      <c r="F13" s="90">
        <v>3</v>
      </c>
      <c r="G13" s="133">
        <v>4</v>
      </c>
      <c r="H13" s="127"/>
      <c r="I13" s="32"/>
      <c r="J13" s="32"/>
      <c r="K13" s="32"/>
      <c r="L13" s="32"/>
      <c r="M13" s="32"/>
      <c r="N13" s="32"/>
    </row>
    <row r="14" spans="2:14" ht="13.5" customHeight="1" x14ac:dyDescent="0.3">
      <c r="B14" s="1"/>
      <c r="C14" s="134" t="s">
        <v>24</v>
      </c>
      <c r="D14" s="7">
        <f>(D4*F4+D5*F5+D6*F6)*12</f>
        <v>31080</v>
      </c>
      <c r="E14" s="7">
        <f>+D14</f>
        <v>31080</v>
      </c>
      <c r="F14" s="7">
        <f>+E14</f>
        <v>31080</v>
      </c>
      <c r="G14" s="135">
        <f>+F14</f>
        <v>31080</v>
      </c>
      <c r="H14" s="128"/>
      <c r="I14" s="11"/>
      <c r="J14" s="1"/>
      <c r="K14" s="1"/>
    </row>
    <row r="15" spans="2:14" ht="13.5" customHeight="1" x14ac:dyDescent="0.3">
      <c r="B15" s="1"/>
      <c r="C15" s="134" t="s">
        <v>23</v>
      </c>
      <c r="D15" s="7">
        <f>($D$4*$G$4+$D$5*$G$5+$D$6*$G$6)*12</f>
        <v>20880</v>
      </c>
      <c r="E15" s="7">
        <f>($D$4*$G$4+$D$5*$G$5+$D$6*$G$6)*12</f>
        <v>20880</v>
      </c>
      <c r="F15" s="7">
        <f>($D$4*$G$4+$D$5*$G$5+$D$6*$G$6)*12</f>
        <v>20880</v>
      </c>
      <c r="G15" s="135">
        <f>($D$4*$G$4+$D$5*$G$5+$D$6*$G$6)*12</f>
        <v>20880</v>
      </c>
      <c r="H15" s="128"/>
      <c r="I15" s="1"/>
      <c r="J15" s="1"/>
      <c r="K15" s="1"/>
    </row>
    <row r="16" spans="2:14" ht="13.5" customHeight="1" x14ac:dyDescent="0.3">
      <c r="B16" s="1"/>
      <c r="C16" s="134" t="s">
        <v>82</v>
      </c>
      <c r="D16" s="34">
        <f>0.15*$D$14</f>
        <v>4662</v>
      </c>
      <c r="E16" s="34">
        <f>0.15*$D$14</f>
        <v>4662</v>
      </c>
      <c r="F16" s="34">
        <f>0.15*$D$14</f>
        <v>4662</v>
      </c>
      <c r="G16" s="136">
        <f>0.15*$D$14</f>
        <v>4662</v>
      </c>
      <c r="H16" s="129"/>
      <c r="I16" s="1"/>
      <c r="J16" s="1"/>
      <c r="K16" s="1"/>
    </row>
    <row r="17" spans="2:14" ht="13.5" customHeight="1" x14ac:dyDescent="0.3">
      <c r="B17" s="1"/>
      <c r="C17" s="134" t="s">
        <v>85</v>
      </c>
      <c r="D17" s="34">
        <f>0.06*D14</f>
        <v>1864.8</v>
      </c>
      <c r="E17" s="34">
        <f>0.06*E14</f>
        <v>1864.8</v>
      </c>
      <c r="F17" s="34">
        <f>0.06*F14</f>
        <v>1864.8</v>
      </c>
      <c r="G17" s="136">
        <f>0.06*G14</f>
        <v>1864.8</v>
      </c>
      <c r="H17" s="129"/>
      <c r="I17" s="1"/>
      <c r="J17" s="1"/>
      <c r="K17" s="1"/>
    </row>
    <row r="18" spans="2:14" ht="13.5" customHeight="1" x14ac:dyDescent="0.3">
      <c r="B18" s="1"/>
      <c r="C18" s="134" t="s">
        <v>7</v>
      </c>
      <c r="D18" s="44">
        <f>+D14-(D15+D16+D17)</f>
        <v>3673.2000000000007</v>
      </c>
      <c r="E18" s="44">
        <f>+D18</f>
        <v>3673.2000000000007</v>
      </c>
      <c r="F18" s="44">
        <f>+E18</f>
        <v>3673.2000000000007</v>
      </c>
      <c r="G18" s="137">
        <f>+F18</f>
        <v>3673.2000000000007</v>
      </c>
      <c r="H18" s="130"/>
      <c r="I18" s="1"/>
      <c r="J18" s="1"/>
      <c r="K18" s="1"/>
    </row>
    <row r="19" spans="2:14" ht="13.5" customHeight="1" x14ac:dyDescent="0.3">
      <c r="B19" s="1"/>
      <c r="C19" s="134" t="s">
        <v>84</v>
      </c>
      <c r="D19" s="6">
        <v>0</v>
      </c>
      <c r="E19" s="6">
        <v>0</v>
      </c>
      <c r="F19" s="6">
        <v>0</v>
      </c>
      <c r="G19" s="138">
        <v>0</v>
      </c>
      <c r="H19" s="131"/>
      <c r="I19" s="1"/>
      <c r="J19" s="1"/>
      <c r="K19" s="1"/>
    </row>
    <row r="20" spans="2:14" ht="13.5" customHeight="1" x14ac:dyDescent="0.3">
      <c r="B20" s="1"/>
      <c r="C20" s="134" t="s">
        <v>8</v>
      </c>
      <c r="D20" s="34">
        <f>+$D$18</f>
        <v>3673.2000000000007</v>
      </c>
      <c r="E20" s="34">
        <f>+$D$18</f>
        <v>3673.2000000000007</v>
      </c>
      <c r="F20" s="34">
        <f>+$D$18</f>
        <v>3673.2000000000007</v>
      </c>
      <c r="G20" s="136">
        <f>+$D$18</f>
        <v>3673.2000000000007</v>
      </c>
      <c r="H20" s="129"/>
      <c r="I20" s="1"/>
      <c r="J20" s="1"/>
      <c r="K20" s="1"/>
    </row>
    <row r="21" spans="2:14" ht="13.5" customHeight="1" x14ac:dyDescent="0.3">
      <c r="B21" s="1"/>
      <c r="C21" s="134" t="s">
        <v>83</v>
      </c>
      <c r="D21" s="7">
        <f>+$D$20*0.3</f>
        <v>1101.9600000000003</v>
      </c>
      <c r="E21" s="7">
        <f>+$D$20*0.3</f>
        <v>1101.9600000000003</v>
      </c>
      <c r="F21" s="7">
        <f>+$D$20*0.3</f>
        <v>1101.9600000000003</v>
      </c>
      <c r="G21" s="135">
        <f>+$D$20*0.3</f>
        <v>1101.9600000000003</v>
      </c>
      <c r="H21" s="128"/>
      <c r="I21" s="1"/>
      <c r="J21" s="1"/>
      <c r="K21" s="1"/>
    </row>
    <row r="22" spans="2:14" ht="17.25" thickBot="1" x14ac:dyDescent="0.35">
      <c r="B22" s="1"/>
      <c r="C22" s="139" t="s">
        <v>2</v>
      </c>
      <c r="D22" s="140">
        <f>+D20-D21</f>
        <v>2571.2400000000007</v>
      </c>
      <c r="E22" s="140">
        <f>+E20-E21</f>
        <v>2571.2400000000007</v>
      </c>
      <c r="F22" s="140">
        <f>+F20-F21</f>
        <v>2571.2400000000007</v>
      </c>
      <c r="G22" s="141">
        <f>+G20-G21</f>
        <v>2571.2400000000007</v>
      </c>
      <c r="H22" s="132"/>
      <c r="I22" s="1"/>
      <c r="J22" s="1"/>
      <c r="K22" s="1"/>
    </row>
    <row r="23" spans="2:14" s="14" customFormat="1" ht="16.5" x14ac:dyDescent="0.3">
      <c r="B23" s="12"/>
      <c r="C23" s="5"/>
      <c r="D23" s="13"/>
      <c r="E23" s="5"/>
      <c r="F23" s="5"/>
      <c r="G23" s="5"/>
      <c r="H23" s="5"/>
      <c r="I23" s="12"/>
      <c r="J23" s="12"/>
      <c r="K23" s="12"/>
    </row>
    <row r="24" spans="2:14" s="14" customFormat="1" ht="16.5" customHeight="1" x14ac:dyDescent="0.3">
      <c r="B24" s="12"/>
      <c r="C24" s="165" t="s">
        <v>100</v>
      </c>
      <c r="D24" s="165"/>
      <c r="E24" s="165"/>
      <c r="F24" s="165"/>
      <c r="G24" s="165"/>
      <c r="H24" s="165"/>
      <c r="I24" s="35"/>
      <c r="J24" s="35"/>
      <c r="K24" s="35"/>
      <c r="L24" s="35"/>
      <c r="M24" s="35"/>
      <c r="N24" s="35"/>
    </row>
    <row r="25" spans="2:14" s="14" customFormat="1" ht="12.75" customHeight="1" x14ac:dyDescent="0.3">
      <c r="B25" s="12"/>
      <c r="C25" s="29"/>
      <c r="D25" s="29"/>
      <c r="E25" s="29"/>
      <c r="F25" s="29"/>
      <c r="G25" s="29"/>
      <c r="H25" s="29"/>
      <c r="I25" s="35"/>
      <c r="J25" s="35"/>
      <c r="K25" s="35"/>
      <c r="L25" s="35"/>
      <c r="M25" s="35"/>
      <c r="N25" s="35"/>
    </row>
    <row r="26" spans="2:14" s="14" customFormat="1" ht="16.5" x14ac:dyDescent="0.3">
      <c r="B26" s="12"/>
      <c r="C26" s="166" t="s">
        <v>21</v>
      </c>
      <c r="D26" s="167" t="s">
        <v>22</v>
      </c>
      <c r="E26" s="168"/>
      <c r="F26" s="168"/>
      <c r="G26" s="168"/>
      <c r="H26" s="169"/>
      <c r="I26" s="12"/>
      <c r="J26" s="12"/>
      <c r="K26" s="12"/>
    </row>
    <row r="27" spans="2:14" s="14" customFormat="1" ht="15.75" customHeight="1" x14ac:dyDescent="0.3">
      <c r="B27" s="12"/>
      <c r="C27" s="166"/>
      <c r="D27" s="33">
        <v>0</v>
      </c>
      <c r="E27" s="33">
        <v>1</v>
      </c>
      <c r="F27" s="33">
        <v>2</v>
      </c>
      <c r="G27" s="33">
        <v>3</v>
      </c>
      <c r="H27" s="33">
        <v>4</v>
      </c>
      <c r="I27" s="12"/>
      <c r="J27" s="12"/>
      <c r="K27" s="12"/>
    </row>
    <row r="28" spans="2:14" s="14" customFormat="1" ht="15.75" customHeight="1" x14ac:dyDescent="0.3">
      <c r="B28" s="12"/>
      <c r="C28" s="38" t="s">
        <v>9</v>
      </c>
      <c r="D28" s="36"/>
      <c r="E28" s="36"/>
      <c r="F28" s="36"/>
      <c r="G28" s="36"/>
      <c r="H28" s="36"/>
      <c r="I28" s="12"/>
      <c r="J28" s="12"/>
      <c r="K28" s="12"/>
    </row>
    <row r="29" spans="2:14" s="14" customFormat="1" ht="15" customHeight="1" x14ac:dyDescent="0.3">
      <c r="B29" s="12"/>
      <c r="C29" s="6" t="s">
        <v>24</v>
      </c>
      <c r="D29" s="37"/>
      <c r="E29" s="37">
        <f>D14</f>
        <v>31080</v>
      </c>
      <c r="F29" s="37">
        <f>E14</f>
        <v>31080</v>
      </c>
      <c r="G29" s="37">
        <f>F14</f>
        <v>31080</v>
      </c>
      <c r="H29" s="37">
        <f>G14</f>
        <v>31080</v>
      </c>
      <c r="I29" s="12"/>
      <c r="J29" s="12"/>
      <c r="K29" s="12"/>
    </row>
    <row r="30" spans="2:14" s="14" customFormat="1" ht="15" customHeight="1" x14ac:dyDescent="0.3">
      <c r="B30" s="12"/>
      <c r="C30" s="8" t="s">
        <v>10</v>
      </c>
      <c r="D30" s="39">
        <v>0</v>
      </c>
      <c r="E30" s="39">
        <f>+E29</f>
        <v>31080</v>
      </c>
      <c r="F30" s="39">
        <f>+F29</f>
        <v>31080</v>
      </c>
      <c r="G30" s="39">
        <f>+G29</f>
        <v>31080</v>
      </c>
      <c r="H30" s="39">
        <f>+H29</f>
        <v>31080</v>
      </c>
      <c r="I30" s="12"/>
      <c r="J30" s="12"/>
      <c r="K30" s="12"/>
    </row>
    <row r="31" spans="2:14" s="14" customFormat="1" ht="15" customHeight="1" x14ac:dyDescent="0.3">
      <c r="B31" s="12"/>
      <c r="C31" s="8" t="s">
        <v>11</v>
      </c>
      <c r="D31" s="39"/>
      <c r="E31" s="39"/>
      <c r="F31" s="39"/>
      <c r="G31" s="39"/>
      <c r="H31" s="39"/>
      <c r="I31" s="12"/>
      <c r="J31" s="12"/>
      <c r="K31" s="12"/>
    </row>
    <row r="32" spans="2:14" s="14" customFormat="1" ht="15" customHeight="1" x14ac:dyDescent="0.3">
      <c r="B32" s="12"/>
      <c r="C32" s="6" t="s">
        <v>25</v>
      </c>
      <c r="D32" s="7"/>
      <c r="E32" s="7">
        <f t="shared" ref="E32:H33" si="0">D15</f>
        <v>20880</v>
      </c>
      <c r="F32" s="7">
        <f t="shared" si="0"/>
        <v>20880</v>
      </c>
      <c r="G32" s="7">
        <f t="shared" si="0"/>
        <v>20880</v>
      </c>
      <c r="H32" s="7">
        <f t="shared" si="0"/>
        <v>20880</v>
      </c>
      <c r="I32" s="12"/>
      <c r="J32" s="12"/>
      <c r="K32" s="12"/>
    </row>
    <row r="33" spans="2:11" s="14" customFormat="1" ht="15" customHeight="1" x14ac:dyDescent="0.3">
      <c r="B33" s="12"/>
      <c r="C33" s="6" t="s">
        <v>82</v>
      </c>
      <c r="D33" s="34"/>
      <c r="E33" s="34">
        <f t="shared" si="0"/>
        <v>4662</v>
      </c>
      <c r="F33" s="34">
        <f t="shared" si="0"/>
        <v>4662</v>
      </c>
      <c r="G33" s="34">
        <f t="shared" si="0"/>
        <v>4662</v>
      </c>
      <c r="H33" s="34">
        <f t="shared" si="0"/>
        <v>4662</v>
      </c>
      <c r="I33" s="12"/>
      <c r="J33" s="12"/>
      <c r="K33" s="12"/>
    </row>
    <row r="34" spans="2:11" s="14" customFormat="1" ht="15" customHeight="1" x14ac:dyDescent="0.3">
      <c r="B34" s="12"/>
      <c r="C34" s="6" t="s">
        <v>86</v>
      </c>
      <c r="D34" s="34">
        <f>0.06*D30</f>
        <v>0</v>
      </c>
      <c r="E34" s="34">
        <f>0.06*E30</f>
        <v>1864.8</v>
      </c>
      <c r="F34" s="34">
        <f>0.06*F30</f>
        <v>1864.8</v>
      </c>
      <c r="G34" s="34">
        <f>0.06*G30</f>
        <v>1864.8</v>
      </c>
      <c r="H34" s="34">
        <f>0.06*H30</f>
        <v>1864.8</v>
      </c>
      <c r="I34" s="12"/>
      <c r="J34" s="12"/>
      <c r="K34" s="12"/>
    </row>
    <row r="35" spans="2:11" s="14" customFormat="1" ht="15" customHeight="1" x14ac:dyDescent="0.3">
      <c r="B35" s="12"/>
      <c r="C35" s="6" t="s">
        <v>26</v>
      </c>
      <c r="D35" s="34"/>
      <c r="E35" s="34">
        <f>D21</f>
        <v>1101.9600000000003</v>
      </c>
      <c r="F35" s="34">
        <f>E21</f>
        <v>1101.9600000000003</v>
      </c>
      <c r="G35" s="34">
        <f>F21</f>
        <v>1101.9600000000003</v>
      </c>
      <c r="H35" s="34">
        <f>G21</f>
        <v>1101.9600000000003</v>
      </c>
      <c r="I35" s="12"/>
      <c r="J35" s="12"/>
      <c r="K35" s="12"/>
    </row>
    <row r="36" spans="2:11" s="14" customFormat="1" ht="15" customHeight="1" x14ac:dyDescent="0.3">
      <c r="B36" s="12"/>
      <c r="C36" s="8" t="s">
        <v>27</v>
      </c>
      <c r="D36" s="41">
        <f>+(D32+D33+D34+D35)</f>
        <v>0</v>
      </c>
      <c r="E36" s="41">
        <f>+(E32+E33+E34+E35)</f>
        <v>28508.76</v>
      </c>
      <c r="F36" s="41">
        <f>+(F32+F33+F34+F35)</f>
        <v>28508.76</v>
      </c>
      <c r="G36" s="41">
        <f>+(G32+G33+G34+G35)</f>
        <v>28508.76</v>
      </c>
      <c r="H36" s="41">
        <f>+(H32+H33+H34+H35)</f>
        <v>28508.76</v>
      </c>
      <c r="I36" s="12"/>
      <c r="J36" s="12"/>
      <c r="K36" s="12"/>
    </row>
    <row r="37" spans="2:11" s="14" customFormat="1" ht="16.5" x14ac:dyDescent="0.3">
      <c r="B37" s="12"/>
      <c r="C37" s="33" t="s">
        <v>12</v>
      </c>
      <c r="D37" s="40">
        <v>0</v>
      </c>
      <c r="E37" s="40">
        <f>+(E30-E36)</f>
        <v>2571.2400000000016</v>
      </c>
      <c r="F37" s="40">
        <f>+(F30-F36)</f>
        <v>2571.2400000000016</v>
      </c>
      <c r="G37" s="40">
        <f>+(G30-G36)</f>
        <v>2571.2400000000016</v>
      </c>
      <c r="H37" s="40">
        <f>+(H30-H36)</f>
        <v>2571.2400000000016</v>
      </c>
      <c r="I37" s="12"/>
      <c r="J37" s="12"/>
      <c r="K37" s="12"/>
    </row>
    <row r="38" spans="2:11" s="14" customFormat="1" ht="16.5" x14ac:dyDescent="0.3">
      <c r="B38" s="12"/>
      <c r="C38" s="16"/>
      <c r="D38" s="17"/>
      <c r="E38" s="17"/>
      <c r="F38" s="17"/>
      <c r="G38" s="17"/>
      <c r="H38" s="17"/>
      <c r="I38" s="12"/>
      <c r="J38" s="12"/>
      <c r="K38" s="12"/>
    </row>
    <row r="39" spans="2:11" s="14" customFormat="1" ht="16.5" x14ac:dyDescent="0.3">
      <c r="B39" s="12"/>
      <c r="C39" s="15" t="s">
        <v>101</v>
      </c>
      <c r="D39" s="151">
        <f>NPV('costo capital'!J17,E37:H37)</f>
        <v>8981.7798519882999</v>
      </c>
      <c r="E39" s="15"/>
      <c r="F39" s="15"/>
      <c r="G39" s="15"/>
      <c r="H39" s="15"/>
      <c r="I39" s="12"/>
      <c r="J39" s="12"/>
      <c r="K39" s="12"/>
    </row>
    <row r="41" spans="2:11" x14ac:dyDescent="0.25">
      <c r="D41" s="19"/>
    </row>
  </sheetData>
  <mergeCells count="10">
    <mergeCell ref="F2:F3"/>
    <mergeCell ref="G2:G3"/>
    <mergeCell ref="D12:G12"/>
    <mergeCell ref="C10:H10"/>
    <mergeCell ref="C24:H24"/>
    <mergeCell ref="C26:C27"/>
    <mergeCell ref="D26:H26"/>
    <mergeCell ref="C12:C13"/>
    <mergeCell ref="D2:E2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1"/>
  <sheetViews>
    <sheetView topLeftCell="B30" workbookViewId="0">
      <selection activeCell="L56" sqref="L56"/>
    </sheetView>
  </sheetViews>
  <sheetFormatPr baseColWidth="10" defaultRowHeight="15" x14ac:dyDescent="0.25"/>
  <cols>
    <col min="6" max="8" width="2.85546875" customWidth="1"/>
    <col min="9" max="9" width="14.28515625" customWidth="1"/>
    <col min="10" max="10" width="9.5703125" customWidth="1"/>
    <col min="11" max="11" width="15.5703125" customWidth="1"/>
    <col min="14" max="14" width="10.140625" customWidth="1"/>
    <col min="16" max="16" width="17.140625" customWidth="1"/>
  </cols>
  <sheetData>
    <row r="1" spans="2:12" s="93" customFormat="1" x14ac:dyDescent="0.25"/>
    <row r="2" spans="2:12" x14ac:dyDescent="0.25">
      <c r="B2" s="9" t="s">
        <v>60</v>
      </c>
    </row>
    <row r="5" spans="2:12" x14ac:dyDescent="0.25">
      <c r="J5" s="60">
        <v>3.6600000000000001E-2</v>
      </c>
      <c r="K5" s="60"/>
      <c r="L5" s="94"/>
    </row>
    <row r="7" spans="2:12" x14ac:dyDescent="0.25">
      <c r="J7" s="60">
        <f>[1]Rm!M23</f>
        <v>7.5222447123215477E-2</v>
      </c>
      <c r="L7" s="94"/>
    </row>
    <row r="9" spans="2:12" x14ac:dyDescent="0.25">
      <c r="J9" s="60">
        <v>2.3E-2</v>
      </c>
      <c r="L9" s="94"/>
    </row>
    <row r="11" spans="2:12" x14ac:dyDescent="0.25">
      <c r="J11" s="95">
        <v>0.74</v>
      </c>
    </row>
    <row r="14" spans="2:12" x14ac:dyDescent="0.25">
      <c r="J14" s="98">
        <f>J5+J11*(J7-J5)+J9</f>
        <v>8.8180610871179455E-2</v>
      </c>
    </row>
    <row r="17" spans="2:13" x14ac:dyDescent="0.25">
      <c r="J17" s="99">
        <f>((1+J14)/(1+'Alter Con py'!J35)-1)</f>
        <v>5.6486029972018681E-2</v>
      </c>
    </row>
    <row r="19" spans="2:13" s="18" customFormat="1" ht="15.75" x14ac:dyDescent="0.25">
      <c r="I19" s="174" t="s">
        <v>74</v>
      </c>
      <c r="J19" s="175"/>
      <c r="K19" s="176"/>
    </row>
    <row r="20" spans="2:13" x14ac:dyDescent="0.25">
      <c r="I20" s="119" t="s">
        <v>68</v>
      </c>
      <c r="J20" s="24"/>
      <c r="K20" s="120">
        <v>0.91</v>
      </c>
    </row>
    <row r="21" spans="2:13" x14ac:dyDescent="0.25">
      <c r="I21" s="119" t="s">
        <v>69</v>
      </c>
      <c r="J21" s="24"/>
      <c r="K21" s="121">
        <f>+M32</f>
        <v>1.7543859649122806</v>
      </c>
      <c r="M21" s="22"/>
    </row>
    <row r="22" spans="2:13" x14ac:dyDescent="0.25">
      <c r="I22" s="119" t="s">
        <v>102</v>
      </c>
      <c r="J22" s="24"/>
      <c r="K22" s="120">
        <v>0.1</v>
      </c>
    </row>
    <row r="23" spans="2:13" x14ac:dyDescent="0.25">
      <c r="I23" s="119" t="s">
        <v>70</v>
      </c>
      <c r="J23" s="24"/>
      <c r="K23" s="120">
        <v>0.74</v>
      </c>
    </row>
    <row r="24" spans="2:13" x14ac:dyDescent="0.25">
      <c r="I24" s="119" t="s">
        <v>71</v>
      </c>
      <c r="J24" s="24"/>
      <c r="K24" s="122">
        <f>+J5</f>
        <v>3.6600000000000001E-2</v>
      </c>
    </row>
    <row r="25" spans="2:13" x14ac:dyDescent="0.25">
      <c r="I25" s="119" t="s">
        <v>72</v>
      </c>
      <c r="J25" s="24"/>
      <c r="K25" s="122">
        <f>+J7</f>
        <v>7.5222447123215477E-2</v>
      </c>
    </row>
    <row r="26" spans="2:13" x14ac:dyDescent="0.25">
      <c r="B26" s="96" t="s">
        <v>103</v>
      </c>
      <c r="C26" s="96"/>
      <c r="D26" s="96"/>
      <c r="E26" s="96"/>
      <c r="F26" s="96"/>
      <c r="G26" s="96"/>
      <c r="H26" s="96"/>
      <c r="I26" s="123" t="s">
        <v>73</v>
      </c>
      <c r="J26" s="14"/>
      <c r="K26" s="124">
        <f>+J9</f>
        <v>2.3E-2</v>
      </c>
    </row>
    <row r="27" spans="2:13" x14ac:dyDescent="0.25">
      <c r="I27" s="119"/>
      <c r="J27" s="24"/>
      <c r="K27" s="120"/>
    </row>
    <row r="28" spans="2:13" x14ac:dyDescent="0.25">
      <c r="I28" s="119" t="s">
        <v>75</v>
      </c>
      <c r="J28" s="24"/>
      <c r="K28" s="120"/>
    </row>
    <row r="29" spans="2:13" x14ac:dyDescent="0.25">
      <c r="I29" s="173" t="s">
        <v>76</v>
      </c>
      <c r="J29" s="173"/>
      <c r="K29" s="118">
        <f>+K30</f>
        <v>8.8180610871179455E-2</v>
      </c>
    </row>
    <row r="30" spans="2:13" x14ac:dyDescent="0.25">
      <c r="I30" s="177" t="s">
        <v>77</v>
      </c>
      <c r="J30" s="177"/>
      <c r="K30" s="117">
        <f>+J14</f>
        <v>8.8180610871179455E-2</v>
      </c>
    </row>
    <row r="32" spans="2:13" x14ac:dyDescent="0.25">
      <c r="J32" s="95">
        <f>J11*(1+(1-M34)*(M32))</f>
        <v>1.6487719298245613</v>
      </c>
      <c r="K32" s="22" t="s">
        <v>62</v>
      </c>
      <c r="L32" s="22" t="s">
        <v>63</v>
      </c>
      <c r="M32" s="10">
        <f>-'Alter Con py'!C70/'Alter Con py'!C75</f>
        <v>1.7543859649122806</v>
      </c>
    </row>
    <row r="34" spans="2:13" x14ac:dyDescent="0.25">
      <c r="J34" s="99">
        <f>J5+J32*(J7-J5)+J9</f>
        <v>0.12327960667789106</v>
      </c>
      <c r="K34" t="s">
        <v>61</v>
      </c>
      <c r="M34" s="19">
        <v>0.3</v>
      </c>
    </row>
    <row r="36" spans="2:13" x14ac:dyDescent="0.25">
      <c r="J36" s="99">
        <f>((1+J34)/(1+'Alter Con py'!J35)-1)</f>
        <v>9.0562724929991401E-2</v>
      </c>
    </row>
    <row r="38" spans="2:13" s="18" customFormat="1" x14ac:dyDescent="0.25"/>
    <row r="39" spans="2:13" s="18" customFormat="1" x14ac:dyDescent="0.25">
      <c r="B39" s="96" t="s">
        <v>64</v>
      </c>
      <c r="C39" s="97"/>
      <c r="D39" s="97"/>
      <c r="E39" s="97"/>
      <c r="F39" s="97"/>
      <c r="G39" s="97"/>
      <c r="H39" s="97"/>
      <c r="I39" s="97"/>
      <c r="J39" s="97"/>
    </row>
    <row r="41" spans="2:13" x14ac:dyDescent="0.25">
      <c r="J41" s="98">
        <f>+'Alter Con py'!J32</f>
        <v>0.15390000000000001</v>
      </c>
      <c r="L41" s="22" t="s">
        <v>65</v>
      </c>
      <c r="M41" s="99">
        <f>((1+J41)/(1+'Alter Con py'!J35))-1</f>
        <v>0.12029126213592223</v>
      </c>
    </row>
    <row r="43" spans="2:13" x14ac:dyDescent="0.25">
      <c r="J43" s="101">
        <f>'Alter Con py'!C75/'Alter Con py'!C68</f>
        <v>0.36305732484076431</v>
      </c>
    </row>
    <row r="45" spans="2:13" x14ac:dyDescent="0.25">
      <c r="J45" s="101">
        <f>-'Alter Con py'!C70/'Alter Con py'!C68</f>
        <v>0.63694267515923564</v>
      </c>
    </row>
    <row r="48" spans="2:13" x14ac:dyDescent="0.25">
      <c r="J48" s="99">
        <f>J43*J34+J45*J41*(1-M34)</f>
        <v>0.11337539860280121</v>
      </c>
    </row>
    <row r="51" spans="10:10" x14ac:dyDescent="0.25">
      <c r="J51" s="99">
        <f>((1+J48)/(1+'Alter Con py'!J35))-1</f>
        <v>8.094698893475849E-2</v>
      </c>
    </row>
  </sheetData>
  <mergeCells count="3">
    <mergeCell ref="I29:J29"/>
    <mergeCell ref="I19:K19"/>
    <mergeCell ref="I30:J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98"/>
  <sheetViews>
    <sheetView tabSelected="1" topLeftCell="A36" workbookViewId="0">
      <selection activeCell="I46" sqref="I46"/>
    </sheetView>
  </sheetViews>
  <sheetFormatPr baseColWidth="10" defaultRowHeight="15" x14ac:dyDescent="0.25"/>
  <cols>
    <col min="2" max="2" width="26.7109375" customWidth="1"/>
    <col min="3" max="3" width="10.140625" customWidth="1"/>
    <col min="5" max="6" width="9" customWidth="1"/>
    <col min="7" max="7" width="9.42578125" customWidth="1"/>
    <col min="8" max="8" width="7" customWidth="1"/>
    <col min="9" max="9" width="18.28515625" customWidth="1"/>
    <col min="11" max="11" width="19.85546875" customWidth="1"/>
    <col min="12" max="12" width="8.7109375" customWidth="1"/>
    <col min="13" max="15" width="7.42578125" customWidth="1"/>
    <col min="16" max="16" width="8" customWidth="1"/>
    <col min="17" max="17" width="10.7109375" customWidth="1"/>
  </cols>
  <sheetData>
    <row r="2" spans="2:17" ht="16.5" x14ac:dyDescent="0.3">
      <c r="B2" s="23" t="s">
        <v>94</v>
      </c>
      <c r="C2" s="1"/>
      <c r="D2" s="1"/>
      <c r="E2" s="1"/>
      <c r="F2" s="1"/>
      <c r="G2" s="1"/>
      <c r="H2" s="1"/>
    </row>
    <row r="3" spans="2:17" ht="16.5" x14ac:dyDescent="0.3">
      <c r="B3" s="2" t="s">
        <v>109</v>
      </c>
      <c r="C3" s="3"/>
      <c r="D3" s="3"/>
      <c r="E3" s="1"/>
      <c r="F3" s="1"/>
      <c r="G3" s="1"/>
      <c r="H3" s="1"/>
    </row>
    <row r="4" spans="2:17" ht="16.5" x14ac:dyDescent="0.3">
      <c r="B4" s="2" t="s">
        <v>28</v>
      </c>
      <c r="C4" s="3"/>
      <c r="D4" s="3"/>
      <c r="E4" s="1"/>
      <c r="F4" s="1"/>
      <c r="G4" s="1"/>
      <c r="H4" s="1"/>
    </row>
    <row r="5" spans="2:17" ht="13.5" customHeight="1" x14ac:dyDescent="0.3">
      <c r="G5" s="12"/>
      <c r="H5" s="12"/>
      <c r="I5" s="14"/>
    </row>
    <row r="6" spans="2:17" ht="16.5" x14ac:dyDescent="0.3">
      <c r="B6" s="185" t="s">
        <v>6</v>
      </c>
      <c r="C6" s="185" t="s">
        <v>78</v>
      </c>
      <c r="D6" s="185"/>
      <c r="E6" s="186" t="s">
        <v>79</v>
      </c>
      <c r="F6" s="186" t="s">
        <v>80</v>
      </c>
      <c r="G6" s="12"/>
      <c r="H6" s="12"/>
      <c r="I6" s="14"/>
    </row>
    <row r="7" spans="2:17" ht="16.5" x14ac:dyDescent="0.3">
      <c r="B7" s="185"/>
      <c r="C7" s="156" t="s">
        <v>81</v>
      </c>
      <c r="D7" s="156" t="s">
        <v>0</v>
      </c>
      <c r="E7" s="186"/>
      <c r="F7" s="186"/>
      <c r="G7" s="12"/>
      <c r="H7" s="12"/>
      <c r="I7" s="14"/>
    </row>
    <row r="8" spans="2:17" ht="16.5" x14ac:dyDescent="0.3">
      <c r="B8" s="20" t="s">
        <v>3</v>
      </c>
      <c r="C8" s="4">
        <v>400</v>
      </c>
      <c r="D8" s="21">
        <v>518.4</v>
      </c>
      <c r="E8" s="142">
        <v>4</v>
      </c>
      <c r="F8" s="70">
        <v>3</v>
      </c>
      <c r="G8" s="12"/>
      <c r="H8" s="12"/>
      <c r="I8" s="14"/>
    </row>
    <row r="9" spans="2:17" ht="13.5" hidden="1" customHeight="1" x14ac:dyDescent="0.3">
      <c r="B9" s="20" t="s">
        <v>5</v>
      </c>
      <c r="C9" s="4">
        <v>180</v>
      </c>
      <c r="D9" s="21">
        <v>230.4</v>
      </c>
      <c r="E9" s="70">
        <v>2.5</v>
      </c>
      <c r="F9" s="70">
        <v>1.4</v>
      </c>
      <c r="G9" s="12"/>
      <c r="H9" s="12"/>
      <c r="I9" s="14"/>
    </row>
    <row r="10" spans="2:17" ht="13.5" hidden="1" customHeight="1" x14ac:dyDescent="0.3">
      <c r="B10" s="20" t="s">
        <v>4</v>
      </c>
      <c r="C10" s="4">
        <v>180</v>
      </c>
      <c r="D10" s="21">
        <v>230.4</v>
      </c>
      <c r="E10" s="70">
        <v>3</v>
      </c>
      <c r="F10" s="70">
        <v>1.6</v>
      </c>
      <c r="G10" s="143"/>
      <c r="H10" s="145"/>
      <c r="I10" s="14"/>
    </row>
    <row r="11" spans="2:17" ht="13.5" hidden="1" customHeight="1" x14ac:dyDescent="0.3">
      <c r="B11" s="143"/>
      <c r="C11" s="144"/>
      <c r="D11" s="144"/>
      <c r="E11" s="12"/>
      <c r="F11" s="12"/>
      <c r="G11" s="12"/>
      <c r="H11" s="14"/>
      <c r="I11" s="14"/>
    </row>
    <row r="12" spans="2:17" ht="16.5" x14ac:dyDescent="0.3">
      <c r="B12" s="20" t="s">
        <v>5</v>
      </c>
      <c r="C12" s="4">
        <v>180</v>
      </c>
      <c r="D12" s="21">
        <v>230.4</v>
      </c>
      <c r="E12" s="70">
        <v>2.5</v>
      </c>
      <c r="F12" s="70">
        <v>1.4</v>
      </c>
      <c r="G12" s="12"/>
      <c r="H12" s="14"/>
      <c r="I12" s="14"/>
    </row>
    <row r="13" spans="2:17" ht="16.5" x14ac:dyDescent="0.3">
      <c r="B13" s="20" t="s">
        <v>4</v>
      </c>
      <c r="C13" s="4">
        <v>180</v>
      </c>
      <c r="D13" s="21">
        <v>230.4</v>
      </c>
      <c r="E13" s="70">
        <v>3</v>
      </c>
      <c r="F13" s="70">
        <v>1.6</v>
      </c>
      <c r="G13" s="12"/>
      <c r="H13" s="146"/>
      <c r="I13" s="14"/>
    </row>
    <row r="14" spans="2:17" ht="16.5" x14ac:dyDescent="0.3">
      <c r="B14" s="5"/>
      <c r="C14" s="5"/>
      <c r="D14" s="5"/>
      <c r="E14" s="12"/>
      <c r="F14" s="12"/>
      <c r="G14" s="12"/>
      <c r="H14" s="146"/>
      <c r="I14" s="14"/>
    </row>
    <row r="15" spans="2:17" x14ac:dyDescent="0.25">
      <c r="K15" s="181"/>
      <c r="L15" s="181"/>
      <c r="M15" s="181"/>
      <c r="N15" s="181"/>
      <c r="O15" s="181"/>
      <c r="P15" s="181"/>
      <c r="Q15" s="181"/>
    </row>
    <row r="16" spans="2:17" x14ac:dyDescent="0.25">
      <c r="B16" s="192" t="s">
        <v>29</v>
      </c>
      <c r="C16" s="193"/>
      <c r="D16" s="193"/>
      <c r="E16" s="193"/>
      <c r="F16" s="193"/>
      <c r="G16" s="193"/>
      <c r="H16" s="193"/>
      <c r="I16" s="194"/>
      <c r="K16" s="46"/>
      <c r="L16" s="47"/>
      <c r="M16" s="48"/>
      <c r="N16" s="48"/>
      <c r="O16" s="49"/>
      <c r="P16" s="49"/>
      <c r="Q16" s="49"/>
    </row>
    <row r="17" spans="2:19" ht="27" x14ac:dyDescent="0.25">
      <c r="B17" s="158" t="s">
        <v>13</v>
      </c>
      <c r="C17" s="158" t="s">
        <v>14</v>
      </c>
      <c r="D17" s="159" t="s">
        <v>15</v>
      </c>
      <c r="E17" s="160" t="s">
        <v>20</v>
      </c>
      <c r="F17" s="160" t="s">
        <v>16</v>
      </c>
      <c r="G17" s="160" t="s">
        <v>17</v>
      </c>
      <c r="H17" s="160" t="s">
        <v>18</v>
      </c>
      <c r="I17" s="160" t="s">
        <v>19</v>
      </c>
      <c r="K17" s="50"/>
      <c r="L17" s="51"/>
      <c r="M17" s="52"/>
      <c r="N17" s="53"/>
      <c r="O17" s="54"/>
      <c r="P17" s="55"/>
      <c r="Q17" s="55"/>
      <c r="R17" s="14"/>
      <c r="S17" s="14"/>
    </row>
    <row r="18" spans="2:19" x14ac:dyDescent="0.25">
      <c r="B18" s="25" t="s">
        <v>87</v>
      </c>
      <c r="C18" s="25">
        <v>7850</v>
      </c>
      <c r="D18" s="25">
        <v>4</v>
      </c>
      <c r="E18" s="43">
        <f>1/D18</f>
        <v>0.25</v>
      </c>
      <c r="F18" s="26">
        <f>+C18*E18</f>
        <v>1962.5</v>
      </c>
      <c r="G18" s="26">
        <v>0</v>
      </c>
      <c r="H18" s="26">
        <f>0.2*(C18-3000)</f>
        <v>970</v>
      </c>
      <c r="I18" s="26">
        <f>+H18</f>
        <v>970</v>
      </c>
      <c r="K18" s="56"/>
      <c r="L18" s="57"/>
      <c r="M18" s="58"/>
      <c r="N18" s="58"/>
      <c r="O18" s="58"/>
      <c r="P18" s="59"/>
      <c r="Q18" s="59"/>
      <c r="R18" s="14"/>
      <c r="S18" s="14"/>
    </row>
    <row r="19" spans="2:19" x14ac:dyDescent="0.25">
      <c r="K19" s="14"/>
      <c r="L19" s="14"/>
      <c r="M19" s="14"/>
      <c r="N19" s="14"/>
      <c r="O19" s="14"/>
      <c r="P19" s="14"/>
      <c r="Q19" s="14"/>
    </row>
    <row r="20" spans="2:19" x14ac:dyDescent="0.25">
      <c r="B20" s="2" t="s">
        <v>95</v>
      </c>
      <c r="C20" s="2"/>
      <c r="D20" s="2"/>
      <c r="E20" s="3"/>
      <c r="F20" s="3"/>
      <c r="G20" s="3"/>
    </row>
    <row r="21" spans="2:19" x14ac:dyDescent="0.25">
      <c r="B21" s="3"/>
      <c r="C21" s="2"/>
      <c r="D21" s="2"/>
      <c r="E21" s="3"/>
      <c r="F21" s="3"/>
      <c r="G21" s="3"/>
    </row>
    <row r="22" spans="2:19" x14ac:dyDescent="0.25">
      <c r="B22" s="2"/>
      <c r="C22" s="2"/>
      <c r="D22" s="2"/>
      <c r="E22" s="3"/>
      <c r="F22" s="3"/>
      <c r="G22" s="3"/>
    </row>
    <row r="23" spans="2:19" x14ac:dyDescent="0.25">
      <c r="B23" s="188" t="s">
        <v>104</v>
      </c>
      <c r="C23" s="188"/>
      <c r="D23" s="188"/>
      <c r="E23" s="188"/>
      <c r="F23" s="188"/>
      <c r="G23" s="188"/>
    </row>
    <row r="24" spans="2:19" x14ac:dyDescent="0.25">
      <c r="B24" s="29"/>
      <c r="C24" s="29"/>
      <c r="D24" s="29"/>
      <c r="E24" s="29"/>
      <c r="F24" s="29"/>
      <c r="G24" s="29"/>
    </row>
    <row r="25" spans="2:19" x14ac:dyDescent="0.25">
      <c r="B25" s="182" t="s">
        <v>21</v>
      </c>
      <c r="C25" s="189" t="s">
        <v>22</v>
      </c>
      <c r="D25" s="190"/>
      <c r="E25" s="190"/>
      <c r="F25" s="190"/>
      <c r="G25" s="191"/>
    </row>
    <row r="26" spans="2:19" x14ac:dyDescent="0.25">
      <c r="B26" s="182"/>
      <c r="C26" s="157">
        <v>0</v>
      </c>
      <c r="D26" s="157">
        <v>1</v>
      </c>
      <c r="E26" s="157">
        <v>2</v>
      </c>
      <c r="F26" s="157">
        <v>3</v>
      </c>
      <c r="G26" s="157">
        <v>4</v>
      </c>
    </row>
    <row r="27" spans="2:19" x14ac:dyDescent="0.25">
      <c r="B27" s="6" t="s">
        <v>24</v>
      </c>
      <c r="C27" s="7"/>
      <c r="D27" s="7">
        <f>(D8*E8+D12*E12+D13*E13)*12</f>
        <v>40089.600000000006</v>
      </c>
      <c r="E27" s="7">
        <f>+D27</f>
        <v>40089.600000000006</v>
      </c>
      <c r="F27" s="7">
        <f>+E27</f>
        <v>40089.600000000006</v>
      </c>
      <c r="G27" s="7">
        <f>+F27</f>
        <v>40089.600000000006</v>
      </c>
    </row>
    <row r="28" spans="2:19" x14ac:dyDescent="0.25">
      <c r="B28" s="6" t="s">
        <v>23</v>
      </c>
      <c r="C28" s="7">
        <f>+'Alter Sin Py'!D32</f>
        <v>0</v>
      </c>
      <c r="D28" s="7">
        <f>($D$8*$F$8+$D$12*$F$12+$D$13*$F$13)*12</f>
        <v>26956.799999999996</v>
      </c>
      <c r="E28" s="7">
        <f>($D$8*$F$8+$D$12*$F$12+$D$13*$F$13)*12</f>
        <v>26956.799999999996</v>
      </c>
      <c r="F28" s="7">
        <f>($D$8*$F$8+$D$12*$F$12+$D$13*$F$13)*12</f>
        <v>26956.799999999996</v>
      </c>
      <c r="G28" s="7">
        <f>($D$8*$F$8+$D$12*$F$12+$D$13*$F$13)*12</f>
        <v>26956.799999999996</v>
      </c>
      <c r="I28" s="45"/>
    </row>
    <row r="29" spans="2:19" x14ac:dyDescent="0.25">
      <c r="B29" s="6" t="s">
        <v>82</v>
      </c>
      <c r="C29" s="34"/>
      <c r="D29" s="34">
        <f>+'Alter Con py'!$D$27*0.15</f>
        <v>6013.4400000000005</v>
      </c>
      <c r="E29" s="34">
        <f>+'Alter Con py'!$D$27*0.15</f>
        <v>6013.4400000000005</v>
      </c>
      <c r="F29" s="34">
        <f>+'Alter Con py'!$D$27*0.15</f>
        <v>6013.4400000000005</v>
      </c>
      <c r="G29" s="34">
        <f>+'Alter Con py'!$D$27*0.15</f>
        <v>6013.4400000000005</v>
      </c>
    </row>
    <row r="30" spans="2:19" x14ac:dyDescent="0.25">
      <c r="B30" s="6" t="s">
        <v>88</v>
      </c>
      <c r="C30" s="34"/>
      <c r="D30" s="34">
        <f>$D$27*0.06</f>
        <v>2405.3760000000002</v>
      </c>
      <c r="E30" s="34">
        <f>$D$27*0.06</f>
        <v>2405.3760000000002</v>
      </c>
      <c r="F30" s="34">
        <f>$D$27*0.06</f>
        <v>2405.3760000000002</v>
      </c>
      <c r="G30" s="34">
        <f>$D$27*0.06</f>
        <v>2405.3760000000002</v>
      </c>
      <c r="I30" s="9" t="s">
        <v>33</v>
      </c>
    </row>
    <row r="31" spans="2:19" x14ac:dyDescent="0.25">
      <c r="B31" s="6" t="s">
        <v>30</v>
      </c>
      <c r="C31" s="34"/>
      <c r="D31" s="34">
        <f>+$F$18</f>
        <v>1962.5</v>
      </c>
      <c r="E31" s="34">
        <f>+$F$18</f>
        <v>1962.5</v>
      </c>
      <c r="F31" s="34">
        <f>+$F$18</f>
        <v>1962.5</v>
      </c>
      <c r="G31" s="34">
        <f>+$F$18</f>
        <v>1962.5</v>
      </c>
      <c r="I31" s="61" t="s">
        <v>34</v>
      </c>
      <c r="J31" s="111">
        <v>5000</v>
      </c>
    </row>
    <row r="32" spans="2:19" x14ac:dyDescent="0.25">
      <c r="B32" s="6" t="s">
        <v>31</v>
      </c>
      <c r="C32" s="34"/>
      <c r="D32" s="34"/>
      <c r="E32" s="34"/>
      <c r="F32" s="34"/>
      <c r="G32" s="34">
        <f>+I18</f>
        <v>970</v>
      </c>
      <c r="I32" s="61" t="s">
        <v>35</v>
      </c>
      <c r="J32" s="112">
        <v>0.15390000000000001</v>
      </c>
      <c r="L32" s="18"/>
      <c r="M32" s="152"/>
    </row>
    <row r="33" spans="2:16" x14ac:dyDescent="0.25">
      <c r="B33" s="6" t="s">
        <v>7</v>
      </c>
      <c r="C33" s="44">
        <f>+SUM(C27+C32)-SUM(C28:C31)</f>
        <v>0</v>
      </c>
      <c r="D33" s="44">
        <f>+SUM(D27+D32)-SUM(D28:D31)</f>
        <v>2751.4840000000113</v>
      </c>
      <c r="E33" s="44">
        <f>+SUM(E27+E32)-SUM(E28:E31)</f>
        <v>2751.4840000000113</v>
      </c>
      <c r="F33" s="44">
        <f>+SUM(F27+F32)-SUM(F28:F31)</f>
        <v>2751.4840000000113</v>
      </c>
      <c r="G33" s="44">
        <f>+SUM(G27+G32)-SUM(G28:G31)</f>
        <v>3721.4840000000113</v>
      </c>
      <c r="I33" s="61" t="s">
        <v>36</v>
      </c>
      <c r="J33" s="113">
        <v>2</v>
      </c>
    </row>
    <row r="34" spans="2:16" x14ac:dyDescent="0.25">
      <c r="B34" s="6" t="s">
        <v>8</v>
      </c>
      <c r="C34" s="34">
        <f>+C33</f>
        <v>0</v>
      </c>
      <c r="D34" s="34">
        <f>+D33</f>
        <v>2751.4840000000113</v>
      </c>
      <c r="E34" s="34">
        <f>+E33</f>
        <v>2751.4840000000113</v>
      </c>
      <c r="F34" s="34">
        <f>+F33</f>
        <v>2751.4840000000113</v>
      </c>
      <c r="G34" s="34">
        <f>+G33</f>
        <v>3721.4840000000113</v>
      </c>
      <c r="I34" s="61" t="s">
        <v>37</v>
      </c>
      <c r="J34" s="114">
        <f>((1+J32)/(1+J35))-1</f>
        <v>0.12029126213592223</v>
      </c>
    </row>
    <row r="35" spans="2:16" x14ac:dyDescent="0.25">
      <c r="B35" s="6" t="s">
        <v>83</v>
      </c>
      <c r="C35" s="34"/>
      <c r="D35" s="7">
        <f>+D34*0.3</f>
        <v>825.44520000000341</v>
      </c>
      <c r="E35" s="7">
        <f>+E34*0.3</f>
        <v>825.44520000000341</v>
      </c>
      <c r="F35" s="7">
        <f>+F34*0.3</f>
        <v>825.44520000000341</v>
      </c>
      <c r="G35" s="7">
        <f>+G34*0.3</f>
        <v>1116.4452000000033</v>
      </c>
      <c r="I35" s="61" t="s">
        <v>38</v>
      </c>
      <c r="J35" s="115">
        <v>0.03</v>
      </c>
      <c r="K35" s="62"/>
    </row>
    <row r="36" spans="2:16" x14ac:dyDescent="0.25">
      <c r="B36" s="33" t="s">
        <v>2</v>
      </c>
      <c r="C36" s="40">
        <f>+C34-C35</f>
        <v>0</v>
      </c>
      <c r="D36" s="40">
        <f>+D34-D35</f>
        <v>1926.038800000008</v>
      </c>
      <c r="E36" s="40">
        <f>+E34-E35</f>
        <v>1926.038800000008</v>
      </c>
      <c r="F36" s="40">
        <f>+F34-F35</f>
        <v>1926.038800000008</v>
      </c>
      <c r="G36" s="40">
        <f>+G34-G35</f>
        <v>2605.038800000008</v>
      </c>
      <c r="I36" s="61" t="s">
        <v>39</v>
      </c>
      <c r="J36" s="116">
        <f>J31/2</f>
        <v>2500</v>
      </c>
    </row>
    <row r="37" spans="2:16" ht="21" customHeight="1" x14ac:dyDescent="0.25">
      <c r="B37" s="184" t="s">
        <v>32</v>
      </c>
      <c r="C37" s="184"/>
      <c r="D37" s="184"/>
      <c r="E37" s="184"/>
      <c r="F37" s="184"/>
      <c r="G37" s="184"/>
    </row>
    <row r="38" spans="2:16" x14ac:dyDescent="0.25">
      <c r="I38" s="9" t="s">
        <v>45</v>
      </c>
    </row>
    <row r="39" spans="2:16" ht="22.5" customHeight="1" x14ac:dyDescent="0.25">
      <c r="B39" s="180" t="s">
        <v>105</v>
      </c>
      <c r="C39" s="180"/>
      <c r="D39" s="180"/>
      <c r="E39" s="180"/>
      <c r="F39" s="180"/>
      <c r="G39" s="180"/>
      <c r="I39" s="105" t="s">
        <v>40</v>
      </c>
      <c r="J39" s="106" t="s">
        <v>41</v>
      </c>
      <c r="K39" s="106" t="s">
        <v>43</v>
      </c>
      <c r="L39" s="106" t="s">
        <v>42</v>
      </c>
      <c r="M39" s="106" t="s">
        <v>93</v>
      </c>
      <c r="N39" s="106" t="s">
        <v>44</v>
      </c>
    </row>
    <row r="40" spans="2:16" ht="12" customHeight="1" x14ac:dyDescent="0.25">
      <c r="D40" s="45"/>
      <c r="I40" s="107">
        <v>1</v>
      </c>
      <c r="J40" s="108">
        <f>J31</f>
        <v>5000</v>
      </c>
      <c r="K40" s="108">
        <f>+J36</f>
        <v>2500</v>
      </c>
      <c r="L40" s="109">
        <f>+J40*$J$34</f>
        <v>601.45631067961119</v>
      </c>
      <c r="M40" s="110">
        <f>K40+L40</f>
        <v>3101.4563106796113</v>
      </c>
      <c r="N40" s="109">
        <f>J40-K40</f>
        <v>2500</v>
      </c>
    </row>
    <row r="41" spans="2:16" x14ac:dyDescent="0.25">
      <c r="B41" s="182" t="s">
        <v>21</v>
      </c>
      <c r="C41" s="183" t="s">
        <v>22</v>
      </c>
      <c r="D41" s="183"/>
      <c r="E41" s="183"/>
      <c r="F41" s="183"/>
      <c r="G41" s="183"/>
      <c r="H41" s="14"/>
      <c r="I41" s="107">
        <v>2</v>
      </c>
      <c r="J41" s="109">
        <f>N40</f>
        <v>2500</v>
      </c>
      <c r="K41" s="108">
        <f>+J36</f>
        <v>2500</v>
      </c>
      <c r="L41" s="109">
        <f>+J41*$J$34</f>
        <v>300.7281553398056</v>
      </c>
      <c r="M41" s="110">
        <f>K41+L41</f>
        <v>2800.7281553398057</v>
      </c>
      <c r="N41" s="109">
        <f>J41-K41</f>
        <v>0</v>
      </c>
    </row>
    <row r="42" spans="2:16" x14ac:dyDescent="0.25">
      <c r="B42" s="182"/>
      <c r="C42" s="157">
        <v>0</v>
      </c>
      <c r="D42" s="157">
        <v>1</v>
      </c>
      <c r="E42" s="157">
        <v>2</v>
      </c>
      <c r="F42" s="157">
        <v>3</v>
      </c>
      <c r="G42" s="157">
        <v>4</v>
      </c>
      <c r="H42" s="14"/>
      <c r="K42" s="63"/>
      <c r="L42" s="64"/>
      <c r="M42" s="104"/>
      <c r="N42" s="64"/>
      <c r="O42" s="66"/>
      <c r="P42" s="64"/>
    </row>
    <row r="43" spans="2:16" ht="16.5" x14ac:dyDescent="0.3">
      <c r="B43" s="8" t="s">
        <v>46</v>
      </c>
      <c r="C43" s="70"/>
      <c r="D43" s="70"/>
      <c r="E43" s="70"/>
      <c r="F43" s="70"/>
      <c r="G43" s="70"/>
      <c r="H43" s="12"/>
      <c r="K43" s="63"/>
      <c r="L43" s="64"/>
      <c r="M43" s="65"/>
      <c r="N43" s="64"/>
      <c r="O43" s="66"/>
      <c r="P43" s="64"/>
    </row>
    <row r="44" spans="2:16" ht="16.5" x14ac:dyDescent="0.3">
      <c r="B44" s="6" t="s">
        <v>51</v>
      </c>
      <c r="C44" s="34">
        <f>-4850</f>
        <v>-4850</v>
      </c>
      <c r="D44" s="34"/>
      <c r="E44" s="34"/>
      <c r="F44" s="34"/>
      <c r="G44" s="34"/>
      <c r="H44" s="67"/>
      <c r="K44" s="63"/>
      <c r="L44" s="64"/>
      <c r="M44" s="65"/>
      <c r="N44" s="64"/>
      <c r="O44" s="66"/>
      <c r="P44" s="64"/>
    </row>
    <row r="45" spans="2:16" ht="16.5" x14ac:dyDescent="0.3">
      <c r="B45" s="6" t="s">
        <v>89</v>
      </c>
      <c r="C45" s="34">
        <v>-3000</v>
      </c>
      <c r="D45" s="34"/>
      <c r="E45" s="34"/>
      <c r="F45" s="34"/>
      <c r="G45" s="34"/>
      <c r="H45" s="67"/>
      <c r="K45" s="63"/>
      <c r="L45" s="64"/>
      <c r="M45" s="65"/>
      <c r="N45" s="64"/>
      <c r="O45" s="66"/>
      <c r="P45" s="64"/>
    </row>
    <row r="46" spans="2:16" ht="16.5" x14ac:dyDescent="0.3">
      <c r="B46" s="6" t="s">
        <v>90</v>
      </c>
      <c r="C46" s="34"/>
      <c r="D46" s="34"/>
      <c r="E46" s="34"/>
      <c r="F46" s="34"/>
      <c r="G46" s="34">
        <f>+H18</f>
        <v>970</v>
      </c>
      <c r="H46" s="67"/>
    </row>
    <row r="47" spans="2:16" ht="16.5" x14ac:dyDescent="0.3">
      <c r="B47" s="71" t="s">
        <v>47</v>
      </c>
      <c r="C47" s="74">
        <f>C44+C46+C45</f>
        <v>-7850</v>
      </c>
      <c r="D47" s="74">
        <f>D44+D46+D45</f>
        <v>0</v>
      </c>
      <c r="E47" s="74">
        <f>E44+E46+E45</f>
        <v>0</v>
      </c>
      <c r="F47" s="74">
        <f>F44+F46+F45</f>
        <v>0</v>
      </c>
      <c r="G47" s="74">
        <f>G44+G46+G45</f>
        <v>970</v>
      </c>
      <c r="H47" s="68"/>
    </row>
    <row r="48" spans="2:16" s="18" customFormat="1" ht="16.5" x14ac:dyDescent="0.3">
      <c r="B48" s="72" t="str">
        <f t="shared" ref="B48:G48" si="0">+B27</f>
        <v xml:space="preserve">(+) Ventas netas en s/. </v>
      </c>
      <c r="C48" s="75"/>
      <c r="D48" s="75">
        <f t="shared" si="0"/>
        <v>40089.600000000006</v>
      </c>
      <c r="E48" s="75">
        <f t="shared" si="0"/>
        <v>40089.600000000006</v>
      </c>
      <c r="F48" s="75">
        <f t="shared" si="0"/>
        <v>40089.600000000006</v>
      </c>
      <c r="G48" s="75">
        <f t="shared" si="0"/>
        <v>40089.600000000006</v>
      </c>
      <c r="H48" s="68"/>
    </row>
    <row r="49" spans="2:13" ht="16.5" x14ac:dyDescent="0.3">
      <c r="B49" s="72" t="str">
        <f>B28</f>
        <v xml:space="preserve">(-) Costos de ventas </v>
      </c>
      <c r="C49" s="34">
        <f>+C28</f>
        <v>0</v>
      </c>
      <c r="D49" s="34">
        <f>+D28</f>
        <v>26956.799999999996</v>
      </c>
      <c r="E49" s="34">
        <f>+E28</f>
        <v>26956.799999999996</v>
      </c>
      <c r="F49" s="34">
        <f>+F28</f>
        <v>26956.799999999996</v>
      </c>
      <c r="G49" s="34">
        <f>+G28</f>
        <v>26956.799999999996</v>
      </c>
      <c r="H49" s="67"/>
    </row>
    <row r="50" spans="2:13" ht="16.5" x14ac:dyDescent="0.3">
      <c r="B50" s="72" t="str">
        <f>B29</f>
        <v>(-) Gastos administrativos (15%)</v>
      </c>
      <c r="C50" s="34"/>
      <c r="D50" s="34">
        <f t="shared" ref="D50:F51" si="1">+E29</f>
        <v>6013.4400000000005</v>
      </c>
      <c r="E50" s="34">
        <f t="shared" si="1"/>
        <v>6013.4400000000005</v>
      </c>
      <c r="F50" s="34">
        <f t="shared" si="1"/>
        <v>6013.4400000000005</v>
      </c>
      <c r="G50" s="34">
        <f>+F50</f>
        <v>6013.4400000000005</v>
      </c>
      <c r="H50" s="67"/>
    </row>
    <row r="51" spans="2:13" ht="16.5" x14ac:dyDescent="0.3">
      <c r="B51" s="72" t="str">
        <f>+B30</f>
        <v>(-) Gastos de ventas (6%)</v>
      </c>
      <c r="C51" s="34"/>
      <c r="D51" s="34">
        <f t="shared" si="1"/>
        <v>2405.3760000000002</v>
      </c>
      <c r="E51" s="34">
        <f t="shared" si="1"/>
        <v>2405.3760000000002</v>
      </c>
      <c r="F51" s="34">
        <f t="shared" si="1"/>
        <v>2405.3760000000002</v>
      </c>
      <c r="G51" s="34">
        <f>+F51</f>
        <v>2405.3760000000002</v>
      </c>
      <c r="H51" s="67"/>
    </row>
    <row r="52" spans="2:13" ht="16.5" x14ac:dyDescent="0.3">
      <c r="B52" s="72" t="s">
        <v>48</v>
      </c>
      <c r="C52" s="34">
        <f>+C35</f>
        <v>0</v>
      </c>
      <c r="D52" s="34">
        <f>+D35</f>
        <v>825.44520000000341</v>
      </c>
      <c r="E52" s="34">
        <f>+E35</f>
        <v>825.44520000000341</v>
      </c>
      <c r="F52" s="34">
        <f>+F35</f>
        <v>825.44520000000341</v>
      </c>
      <c r="G52" s="34">
        <f>+G35</f>
        <v>1116.4452000000033</v>
      </c>
      <c r="H52" s="67"/>
    </row>
    <row r="53" spans="2:13" ht="16.5" x14ac:dyDescent="0.3">
      <c r="B53" s="153" t="s">
        <v>49</v>
      </c>
      <c r="C53" s="154">
        <f>+SUM(C48)-SUM((C49:C52))</f>
        <v>0</v>
      </c>
      <c r="D53" s="154">
        <f>+SUM(D48)-SUM((D49:D52))</f>
        <v>3888.5388000000094</v>
      </c>
      <c r="E53" s="154">
        <f>+SUM(E48)-SUM((E49:E52))</f>
        <v>3888.5388000000094</v>
      </c>
      <c r="F53" s="154">
        <f>+SUM(F48)-SUM((F49:F52))</f>
        <v>3888.5388000000094</v>
      </c>
      <c r="G53" s="154">
        <f>+SUM(G48)-SUM((G49:G52))</f>
        <v>3597.5388000000094</v>
      </c>
      <c r="H53" s="68"/>
    </row>
    <row r="54" spans="2:13" ht="18" customHeight="1" x14ac:dyDescent="0.3">
      <c r="B54" s="73" t="s">
        <v>50</v>
      </c>
      <c r="C54" s="76">
        <f>+C47+C53</f>
        <v>-7850</v>
      </c>
      <c r="D54" s="76">
        <f>+D47+D53</f>
        <v>3888.5388000000094</v>
      </c>
      <c r="E54" s="76">
        <f>+E47+E53</f>
        <v>3888.5388000000094</v>
      </c>
      <c r="F54" s="76">
        <f>+F47+F53</f>
        <v>3888.5388000000094</v>
      </c>
      <c r="G54" s="76">
        <f>+G47+G53</f>
        <v>4567.5388000000094</v>
      </c>
      <c r="H54" s="69"/>
    </row>
    <row r="56" spans="2:13" x14ac:dyDescent="0.25">
      <c r="B56" s="179" t="s">
        <v>106</v>
      </c>
      <c r="C56" s="179"/>
      <c r="D56" s="179"/>
      <c r="E56" s="179"/>
      <c r="F56" s="179"/>
      <c r="G56" s="179"/>
      <c r="H56" s="27"/>
      <c r="I56" s="27"/>
      <c r="J56" s="27"/>
      <c r="K56" s="27"/>
      <c r="L56" s="27"/>
      <c r="M56" s="27"/>
    </row>
    <row r="58" spans="2:13" x14ac:dyDescent="0.25">
      <c r="B58" s="166" t="s">
        <v>21</v>
      </c>
      <c r="C58" s="167" t="s">
        <v>22</v>
      </c>
      <c r="D58" s="168"/>
      <c r="E58" s="168"/>
      <c r="F58" s="168"/>
      <c r="G58" s="168"/>
      <c r="H58" s="178"/>
      <c r="I58" s="195"/>
      <c r="J58" s="195"/>
      <c r="K58" s="195"/>
      <c r="L58" s="195"/>
      <c r="M58" s="195"/>
    </row>
    <row r="59" spans="2:13" x14ac:dyDescent="0.25">
      <c r="B59" s="166"/>
      <c r="C59" s="33">
        <f>C42</f>
        <v>0</v>
      </c>
      <c r="D59" s="33">
        <f>D42</f>
        <v>1</v>
      </c>
      <c r="E59" s="42">
        <f>E42</f>
        <v>2</v>
      </c>
      <c r="F59" s="33">
        <f>F42</f>
        <v>3</v>
      </c>
      <c r="G59" s="42">
        <f>G42</f>
        <v>4</v>
      </c>
      <c r="H59" s="178"/>
      <c r="I59" s="77"/>
      <c r="J59" s="77"/>
      <c r="K59" s="77"/>
      <c r="L59" s="77"/>
      <c r="M59" s="77"/>
    </row>
    <row r="60" spans="2:13" x14ac:dyDescent="0.25">
      <c r="B60" s="72" t="s">
        <v>107</v>
      </c>
      <c r="C60" s="79">
        <f>+C54</f>
        <v>-7850</v>
      </c>
      <c r="D60" s="79">
        <f>+D54</f>
        <v>3888.5388000000094</v>
      </c>
      <c r="E60" s="79">
        <f>+E54</f>
        <v>3888.5388000000094</v>
      </c>
      <c r="F60" s="79">
        <f>+F54</f>
        <v>3888.5388000000094</v>
      </c>
      <c r="G60" s="79">
        <f>+G54</f>
        <v>4567.5388000000094</v>
      </c>
      <c r="H60" s="78"/>
      <c r="I60" s="78"/>
      <c r="J60" s="78"/>
      <c r="K60" s="78"/>
      <c r="L60" s="78"/>
      <c r="M60" s="78"/>
    </row>
    <row r="61" spans="2:13" x14ac:dyDescent="0.25">
      <c r="B61" s="72" t="s">
        <v>108</v>
      </c>
      <c r="C61" s="79">
        <f>+'Alter Sin Py'!D37</f>
        <v>0</v>
      </c>
      <c r="D61" s="79">
        <f>+'Alter Sin Py'!E37</f>
        <v>2571.2400000000016</v>
      </c>
      <c r="E61" s="79">
        <f>+'Alter Sin Py'!F37</f>
        <v>2571.2400000000016</v>
      </c>
      <c r="F61" s="79">
        <f>+'Alter Sin Py'!G37</f>
        <v>2571.2400000000016</v>
      </c>
      <c r="G61" s="79">
        <f>+'Alter Sin Py'!H37</f>
        <v>2571.2400000000016</v>
      </c>
      <c r="H61" s="78"/>
      <c r="I61" s="78"/>
      <c r="J61" s="78"/>
      <c r="K61" s="78"/>
      <c r="L61" s="78"/>
      <c r="M61" s="78"/>
    </row>
    <row r="62" spans="2:13" x14ac:dyDescent="0.25">
      <c r="B62" s="73" t="s">
        <v>52</v>
      </c>
      <c r="C62" s="80">
        <f>C60-C61</f>
        <v>-7850</v>
      </c>
      <c r="D62" s="40">
        <f>D60-D61</f>
        <v>1317.2988000000078</v>
      </c>
      <c r="E62" s="40">
        <f>E60-E61</f>
        <v>1317.2988000000078</v>
      </c>
      <c r="F62" s="40">
        <f>F60-F61</f>
        <v>1317.2988000000078</v>
      </c>
      <c r="G62" s="40">
        <f>G60-G61</f>
        <v>1996.2988000000078</v>
      </c>
    </row>
    <row r="64" spans="2:13" x14ac:dyDescent="0.25">
      <c r="B64" s="179" t="s">
        <v>96</v>
      </c>
      <c r="C64" s="179"/>
      <c r="D64" s="179"/>
      <c r="E64" s="179"/>
      <c r="F64" s="179"/>
      <c r="G64" s="179"/>
      <c r="H64" s="180"/>
      <c r="I64" s="180"/>
      <c r="J64" s="180"/>
      <c r="K64" s="180"/>
      <c r="L64" s="180"/>
      <c r="M64" s="180"/>
    </row>
    <row r="66" spans="2:8" x14ac:dyDescent="0.25">
      <c r="B66" s="166" t="s">
        <v>21</v>
      </c>
      <c r="C66" s="196" t="s">
        <v>22</v>
      </c>
      <c r="D66" s="196"/>
      <c r="E66" s="196"/>
      <c r="F66" s="196"/>
      <c r="G66" s="196"/>
    </row>
    <row r="67" spans="2:8" x14ac:dyDescent="0.25">
      <c r="B67" s="166"/>
      <c r="C67" s="33">
        <v>0</v>
      </c>
      <c r="D67" s="33">
        <v>1</v>
      </c>
      <c r="E67" s="33">
        <v>2</v>
      </c>
      <c r="F67" s="33">
        <v>3</v>
      </c>
      <c r="G67" s="33">
        <v>4</v>
      </c>
    </row>
    <row r="68" spans="2:8" x14ac:dyDescent="0.25">
      <c r="B68" s="82" t="str">
        <f t="shared" ref="B68:G68" si="2">B60</f>
        <v>FCE Con Equipos Nuevos</v>
      </c>
      <c r="C68" s="82">
        <f t="shared" si="2"/>
        <v>-7850</v>
      </c>
      <c r="D68" s="147">
        <f t="shared" si="2"/>
        <v>3888.5388000000094</v>
      </c>
      <c r="E68" s="147">
        <f t="shared" si="2"/>
        <v>3888.5388000000094</v>
      </c>
      <c r="F68" s="147">
        <f t="shared" si="2"/>
        <v>3888.5388000000094</v>
      </c>
      <c r="G68" s="147">
        <f t="shared" si="2"/>
        <v>4567.5388000000094</v>
      </c>
    </row>
    <row r="69" spans="2:8" x14ac:dyDescent="0.25">
      <c r="B69" s="83" t="s">
        <v>53</v>
      </c>
      <c r="C69" s="84"/>
      <c r="D69" s="84"/>
      <c r="E69" s="84"/>
      <c r="F69" s="84"/>
      <c r="G69" s="84"/>
    </row>
    <row r="70" spans="2:8" x14ac:dyDescent="0.25">
      <c r="B70" s="85" t="s">
        <v>54</v>
      </c>
      <c r="C70" s="87">
        <f>+J31</f>
        <v>5000</v>
      </c>
      <c r="D70" s="89"/>
      <c r="E70" s="89"/>
      <c r="F70" s="89"/>
      <c r="G70" s="89"/>
    </row>
    <row r="71" spans="2:8" x14ac:dyDescent="0.25">
      <c r="B71" s="85" t="s">
        <v>55</v>
      </c>
      <c r="C71" s="89"/>
      <c r="D71" s="150">
        <f>+$K$40</f>
        <v>2500</v>
      </c>
      <c r="E71" s="150">
        <f>+$K$40</f>
        <v>2500</v>
      </c>
      <c r="F71" s="87"/>
      <c r="G71" s="89"/>
    </row>
    <row r="72" spans="2:8" x14ac:dyDescent="0.25">
      <c r="B72" s="85" t="s">
        <v>56</v>
      </c>
      <c r="C72" s="89"/>
      <c r="D72" s="148">
        <f>+L40</f>
        <v>601.45631067961119</v>
      </c>
      <c r="E72" s="148">
        <f>+L41</f>
        <v>300.7281553398056</v>
      </c>
      <c r="F72" s="89"/>
      <c r="G72" s="89"/>
    </row>
    <row r="73" spans="2:8" x14ac:dyDescent="0.25">
      <c r="B73" s="85" t="s">
        <v>57</v>
      </c>
      <c r="C73" s="89"/>
      <c r="D73" s="148">
        <f>+D72*0.3</f>
        <v>180.43689320388336</v>
      </c>
      <c r="E73" s="148">
        <f>+E72*0.3</f>
        <v>90.218446601941679</v>
      </c>
      <c r="F73" s="89"/>
      <c r="G73" s="89"/>
    </row>
    <row r="74" spans="2:8" x14ac:dyDescent="0.25">
      <c r="B74" s="86" t="s">
        <v>58</v>
      </c>
      <c r="C74" s="88">
        <f>+C70-C71-C72-C73</f>
        <v>5000</v>
      </c>
      <c r="D74" s="88">
        <f>+D70-D71-D72-D73</f>
        <v>-3281.8932038834946</v>
      </c>
      <c r="E74" s="88">
        <f>+E70-E71-E72-E73</f>
        <v>-2890.9466019417473</v>
      </c>
      <c r="F74" s="88">
        <v>0</v>
      </c>
      <c r="G74" s="88">
        <f>+G70-G71-G72-G73</f>
        <v>0</v>
      </c>
    </row>
    <row r="75" spans="2:8" x14ac:dyDescent="0.25">
      <c r="B75" s="73" t="s">
        <v>111</v>
      </c>
      <c r="C75" s="81">
        <f>C68+C74</f>
        <v>-2850</v>
      </c>
      <c r="D75" s="81">
        <f>D68+D74</f>
        <v>606.64559611651475</v>
      </c>
      <c r="E75" s="81">
        <f>E68+E74</f>
        <v>997.59219805826206</v>
      </c>
      <c r="F75" s="81">
        <f>F68+F74</f>
        <v>3888.5388000000094</v>
      </c>
      <c r="G75" s="81">
        <f>G68+G74</f>
        <v>4567.5388000000094</v>
      </c>
    </row>
    <row r="78" spans="2:8" x14ac:dyDescent="0.25">
      <c r="B78" s="9" t="s">
        <v>59</v>
      </c>
    </row>
    <row r="79" spans="2:8" x14ac:dyDescent="0.25">
      <c r="H79" s="60">
        <f>+'costo capital'!J14</f>
        <v>8.8180610871179455E-2</v>
      </c>
    </row>
    <row r="80" spans="2:8" x14ac:dyDescent="0.25">
      <c r="B80" s="92" t="s">
        <v>91</v>
      </c>
      <c r="C80" s="100">
        <f>NPV(H79,C62:G62)</f>
        <v>-2831.3097912194671</v>
      </c>
    </row>
    <row r="81" spans="2:8" x14ac:dyDescent="0.25">
      <c r="H81" s="60">
        <f>+'costo capital'!M41</f>
        <v>0.12029126213592223</v>
      </c>
    </row>
    <row r="82" spans="2:8" x14ac:dyDescent="0.25">
      <c r="B82" s="92" t="s">
        <v>92</v>
      </c>
      <c r="C82" s="91">
        <f>IRR(C62:G62)</f>
        <v>-9.6352658390439272E-2</v>
      </c>
    </row>
    <row r="85" spans="2:8" x14ac:dyDescent="0.25">
      <c r="B85" s="9" t="s">
        <v>66</v>
      </c>
    </row>
    <row r="89" spans="2:8" x14ac:dyDescent="0.25">
      <c r="C89" s="102">
        <f>NPV(H79,D68:G68)+C68</f>
        <v>5282.4959290463885</v>
      </c>
    </row>
    <row r="91" spans="2:8" x14ac:dyDescent="0.25">
      <c r="B91" s="187" t="s">
        <v>97</v>
      </c>
      <c r="C91" s="187"/>
    </row>
    <row r="93" spans="2:8" ht="26.25" customHeight="1" x14ac:dyDescent="0.25">
      <c r="C93" s="149">
        <f>NPV(H81,D73:E73)</f>
        <v>232.94668440214951</v>
      </c>
    </row>
    <row r="94" spans="2:8" ht="18.75" customHeight="1" x14ac:dyDescent="0.25"/>
    <row r="96" spans="2:8" x14ac:dyDescent="0.25">
      <c r="C96" s="103">
        <f>C89+C93</f>
        <v>5515.4426134485384</v>
      </c>
    </row>
    <row r="97" spans="2:3" ht="11.25" customHeight="1" x14ac:dyDescent="0.25"/>
    <row r="98" spans="2:3" x14ac:dyDescent="0.25">
      <c r="B98" s="125" t="s">
        <v>67</v>
      </c>
      <c r="C98" s="126">
        <f>+IRR(C75:G75)</f>
        <v>0.50949447335224129</v>
      </c>
    </row>
  </sheetData>
  <mergeCells count="23">
    <mergeCell ref="B66:B67"/>
    <mergeCell ref="C66:G66"/>
    <mergeCell ref="B58:B59"/>
    <mergeCell ref="B56:G56"/>
    <mergeCell ref="B6:B7"/>
    <mergeCell ref="C6:D6"/>
    <mergeCell ref="E6:E7"/>
    <mergeCell ref="F6:F7"/>
    <mergeCell ref="B91:C91"/>
    <mergeCell ref="B23:G23"/>
    <mergeCell ref="B25:B26"/>
    <mergeCell ref="C25:G25"/>
    <mergeCell ref="B16:I16"/>
    <mergeCell ref="I58:M58"/>
    <mergeCell ref="C58:G58"/>
    <mergeCell ref="H58:H59"/>
    <mergeCell ref="B64:G64"/>
    <mergeCell ref="H64:M64"/>
    <mergeCell ref="K15:Q15"/>
    <mergeCell ref="B39:G39"/>
    <mergeCell ref="B41:B42"/>
    <mergeCell ref="C41:G41"/>
    <mergeCell ref="B37:G3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Alter Sin Py</vt:lpstr>
      <vt:lpstr>costo capital</vt:lpstr>
      <vt:lpstr>Alter Con 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EDISON ACHALMA</cp:lastModifiedBy>
  <dcterms:created xsi:type="dcterms:W3CDTF">2012-10-08T15:21:45Z</dcterms:created>
  <dcterms:modified xsi:type="dcterms:W3CDTF">2021-08-04T00:06:28Z</dcterms:modified>
</cp:coreProperties>
</file>