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2. CASO MERMELADA DE ROCOTO II y III/"/>
    </mc:Choice>
  </mc:AlternateContent>
  <xr:revisionPtr revIDLastSave="0" documentId="8_{00C6A3FE-D171-4D8C-AD94-ACAE1730CC8F}" xr6:coauthVersionLast="47" xr6:coauthVersionMax="47" xr10:uidLastSave="{00000000-0000-0000-0000-000000000000}"/>
  <bookViews>
    <workbookView xWindow="-120" yWindow="-16320" windowWidth="29040" windowHeight="15720" firstSheet="6" activeTab="11"/>
  </bookViews>
  <sheets>
    <sheet name="Resumen" sheetId="14" r:id="rId1"/>
    <sheet name="Ventas_Unidades" sheetId="16" r:id="rId2"/>
    <sheet name="Presupuesto_Ventas" sheetId="1" r:id="rId3"/>
    <sheet name="Inversión_Inicial" sheetId="2" r:id="rId4"/>
    <sheet name="Depreciación_VR" sheetId="4" r:id="rId5"/>
    <sheet name="KW_Año 1" sheetId="15" r:id="rId6"/>
    <sheet name="Costos_Producción" sheetId="23" r:id="rId7"/>
    <sheet name="Sueldos" sheetId="21" r:id="rId8"/>
    <sheet name="Gastos_Operativos" sheetId="8" r:id="rId9"/>
    <sheet name="Costos_Unitarios" sheetId="5" r:id="rId10"/>
    <sheet name="Punto de equilibrio" sheetId="6" r:id="rId11"/>
    <sheet name="Estado de Resultados" sheetId="9" r:id="rId12"/>
  </sheets>
  <definedNames>
    <definedName name="MANO_DE_OBRA_M">#REF!</definedName>
    <definedName name="PRECIO_DE_VENTA_M">#REF!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9" i="6"/>
  <c r="D7" i="6"/>
  <c r="C17" i="5"/>
  <c r="F16" i="21"/>
  <c r="F5" i="8"/>
  <c r="F4" i="8"/>
  <c r="C6" i="5"/>
  <c r="H6" i="21"/>
  <c r="H5" i="21"/>
  <c r="D5" i="21"/>
  <c r="K17" i="21"/>
  <c r="K12" i="21"/>
  <c r="F14" i="23"/>
  <c r="F13" i="23"/>
  <c r="F12" i="23"/>
  <c r="F11" i="23"/>
  <c r="F10" i="23"/>
  <c r="F9" i="23"/>
  <c r="F8" i="23"/>
  <c r="F7" i="23"/>
  <c r="F6" i="23"/>
  <c r="F6" i="8"/>
  <c r="H7" i="21"/>
  <c r="F17" i="21"/>
  <c r="E17" i="21"/>
  <c r="D17" i="21"/>
  <c r="G17" i="21"/>
  <c r="E16" i="21"/>
  <c r="G16" i="21"/>
  <c r="D16" i="21"/>
  <c r="L33" i="2"/>
  <c r="L32" i="2"/>
  <c r="L31" i="2"/>
  <c r="L34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6" i="2"/>
  <c r="L7" i="2"/>
  <c r="F12" i="8"/>
  <c r="D6" i="21"/>
  <c r="G6" i="21"/>
  <c r="I6" i="21"/>
  <c r="G5" i="21"/>
  <c r="I5" i="21"/>
  <c r="E7" i="4"/>
  <c r="E9" i="15"/>
  <c r="F9" i="15"/>
  <c r="G9" i="15"/>
  <c r="H9" i="15"/>
  <c r="I9" i="15"/>
  <c r="J9" i="15"/>
  <c r="K9" i="15"/>
  <c r="L9" i="15"/>
  <c r="M9" i="15"/>
  <c r="N9" i="15"/>
  <c r="O9" i="15"/>
  <c r="D9" i="15"/>
  <c r="O11" i="16"/>
  <c r="O10" i="16"/>
  <c r="O9" i="16"/>
  <c r="O8" i="16"/>
  <c r="O7" i="16"/>
  <c r="C42" i="2"/>
  <c r="F42" i="2"/>
  <c r="F41" i="2"/>
  <c r="C12" i="5"/>
  <c r="E13" i="14"/>
  <c r="C9" i="1"/>
  <c r="N9" i="1"/>
  <c r="C10" i="1"/>
  <c r="J10" i="1"/>
  <c r="C11" i="1"/>
  <c r="J11" i="1"/>
  <c r="P11" i="1"/>
  <c r="G6" i="9"/>
  <c r="C12" i="1"/>
  <c r="M12" i="1"/>
  <c r="C8" i="1"/>
  <c r="G8" i="1"/>
  <c r="F37" i="2"/>
  <c r="F36" i="2"/>
  <c r="F14" i="8"/>
  <c r="F13" i="8"/>
  <c r="F11" i="8"/>
  <c r="H13" i="9"/>
  <c r="F10" i="8"/>
  <c r="F9" i="8"/>
  <c r="F8" i="8"/>
  <c r="F7" i="8"/>
  <c r="F38" i="2"/>
  <c r="F39" i="2"/>
  <c r="F40" i="2"/>
  <c r="F44" i="2"/>
  <c r="F43" i="2"/>
  <c r="C13" i="5"/>
  <c r="E6" i="4"/>
  <c r="E8" i="4"/>
  <c r="E5" i="4"/>
  <c r="F23" i="2"/>
  <c r="F22" i="2"/>
  <c r="F8" i="2"/>
  <c r="F9" i="2"/>
  <c r="F20" i="2"/>
  <c r="F32" i="2"/>
  <c r="F33" i="2"/>
  <c r="F26" i="2"/>
  <c r="F27" i="2"/>
  <c r="F28" i="2"/>
  <c r="F16" i="2"/>
  <c r="F17" i="2"/>
  <c r="F18" i="2"/>
  <c r="F14" i="2"/>
  <c r="C7" i="4"/>
  <c r="F19" i="2"/>
  <c r="F21" i="2"/>
  <c r="F12" i="2"/>
  <c r="F13" i="2"/>
  <c r="F31" i="2"/>
  <c r="F11" i="2"/>
  <c r="F15" i="2"/>
  <c r="F25" i="2"/>
  <c r="F24" i="2"/>
  <c r="F7" i="2"/>
  <c r="F6" i="2"/>
  <c r="C5" i="4"/>
  <c r="G11" i="1"/>
  <c r="L11" i="1"/>
  <c r="F11" i="1"/>
  <c r="M11" i="1"/>
  <c r="K11" i="1"/>
  <c r="K9" i="1"/>
  <c r="N10" i="1"/>
  <c r="E8" i="1"/>
  <c r="H8" i="1"/>
  <c r="L10" i="1"/>
  <c r="D8" i="1"/>
  <c r="D10" i="1"/>
  <c r="N8" i="1"/>
  <c r="E11" i="1"/>
  <c r="N11" i="1"/>
  <c r="D11" i="1"/>
  <c r="H11" i="1"/>
  <c r="O11" i="1"/>
  <c r="I11" i="1"/>
  <c r="O10" i="1"/>
  <c r="K10" i="1"/>
  <c r="M10" i="1"/>
  <c r="H10" i="1"/>
  <c r="G10" i="1"/>
  <c r="F10" i="1"/>
  <c r="F9" i="1"/>
  <c r="O9" i="1"/>
  <c r="M8" i="1"/>
  <c r="J9" i="1"/>
  <c r="H9" i="1"/>
  <c r="M9" i="1"/>
  <c r="I9" i="1"/>
  <c r="O8" i="1"/>
  <c r="L8" i="1"/>
  <c r="L9" i="1"/>
  <c r="E9" i="1"/>
  <c r="D9" i="1"/>
  <c r="P9" i="1"/>
  <c r="E6" i="9"/>
  <c r="F34" i="2"/>
  <c r="D14" i="9"/>
  <c r="F10" i="2"/>
  <c r="C6" i="4"/>
  <c r="F6" i="4"/>
  <c r="G6" i="4"/>
  <c r="H12" i="1"/>
  <c r="G9" i="1"/>
  <c r="I10" i="1"/>
  <c r="L12" i="1"/>
  <c r="E10" i="1"/>
  <c r="P10" i="1"/>
  <c r="F6" i="9"/>
  <c r="F12" i="1"/>
  <c r="G14" i="9"/>
  <c r="D13" i="9"/>
  <c r="C8" i="5"/>
  <c r="C13" i="14"/>
  <c r="C15" i="14"/>
  <c r="E15" i="14"/>
  <c r="F5" i="4"/>
  <c r="I7" i="21"/>
  <c r="F12" i="9"/>
  <c r="F15" i="9"/>
  <c r="D12" i="9"/>
  <c r="H12" i="9"/>
  <c r="C5" i="5"/>
  <c r="C9" i="5"/>
  <c r="E12" i="9"/>
  <c r="E15" i="9"/>
  <c r="G12" i="9"/>
  <c r="F15" i="8"/>
  <c r="H12" i="15"/>
  <c r="H13" i="15"/>
  <c r="F29" i="2"/>
  <c r="F4" i="2"/>
  <c r="F46" i="2"/>
  <c r="C8" i="4"/>
  <c r="C9" i="4"/>
  <c r="F7" i="4"/>
  <c r="G7" i="4"/>
  <c r="H7" i="4"/>
  <c r="F45" i="2"/>
  <c r="C11" i="5"/>
  <c r="C14" i="5"/>
  <c r="C18" i="5"/>
  <c r="H17" i="21"/>
  <c r="I17" i="21"/>
  <c r="H8" i="9"/>
  <c r="L29" i="2"/>
  <c r="L4" i="2"/>
  <c r="H16" i="21"/>
  <c r="I16" i="21"/>
  <c r="F15" i="23"/>
  <c r="J12" i="1"/>
  <c r="I8" i="1"/>
  <c r="P8" i="1"/>
  <c r="D6" i="9"/>
  <c r="C7" i="5"/>
  <c r="E13" i="9"/>
  <c r="H14" i="9"/>
  <c r="K12" i="1"/>
  <c r="J8" i="1"/>
  <c r="G12" i="1"/>
  <c r="H6" i="4"/>
  <c r="G13" i="9"/>
  <c r="F14" i="9"/>
  <c r="I12" i="1"/>
  <c r="O12" i="1"/>
  <c r="N12" i="1"/>
  <c r="D5" i="6"/>
  <c r="F13" i="9"/>
  <c r="E14" i="9"/>
  <c r="D12" i="1"/>
  <c r="P12" i="1"/>
  <c r="H6" i="9"/>
  <c r="E12" i="1"/>
  <c r="K8" i="1"/>
  <c r="F8" i="1"/>
  <c r="F8" i="4"/>
  <c r="G8" i="4"/>
  <c r="G5" i="4"/>
  <c r="H5" i="4"/>
  <c r="F9" i="4"/>
  <c r="H8" i="4"/>
  <c r="J12" i="15"/>
  <c r="J13" i="15"/>
  <c r="M12" i="15"/>
  <c r="M13" i="15"/>
  <c r="N12" i="15"/>
  <c r="F12" i="15"/>
  <c r="F13" i="15"/>
  <c r="D12" i="15"/>
  <c r="D13" i="15"/>
  <c r="D8" i="9"/>
  <c r="K10" i="15"/>
  <c r="K11" i="15"/>
  <c r="G10" i="15"/>
  <c r="G11" i="15"/>
  <c r="M10" i="15"/>
  <c r="M11" i="15"/>
  <c r="D6" i="6"/>
  <c r="D10" i="15"/>
  <c r="D11" i="15"/>
  <c r="F10" i="15"/>
  <c r="F11" i="15"/>
  <c r="L10" i="15"/>
  <c r="L11" i="15"/>
  <c r="E10" i="15"/>
  <c r="E11" i="15"/>
  <c r="N10" i="15"/>
  <c r="N11" i="15"/>
  <c r="N13" i="15"/>
  <c r="O10" i="15"/>
  <c r="O11" i="15"/>
  <c r="G8" i="9"/>
  <c r="J10" i="15"/>
  <c r="J11" i="15"/>
  <c r="I10" i="15"/>
  <c r="I11" i="15"/>
  <c r="H10" i="15"/>
  <c r="H11" i="15"/>
  <c r="F8" i="9"/>
  <c r="I18" i="21"/>
  <c r="E8" i="9"/>
  <c r="E10" i="9"/>
  <c r="H9" i="9"/>
  <c r="H10" i="9"/>
  <c r="H15" i="9"/>
  <c r="E9" i="9"/>
  <c r="G9" i="9"/>
  <c r="F9" i="9"/>
  <c r="F10" i="9"/>
  <c r="D9" i="9"/>
  <c r="D10" i="9"/>
  <c r="D15" i="9"/>
  <c r="D17" i="9"/>
  <c r="H9" i="4"/>
  <c r="G10" i="9"/>
  <c r="G15" i="9"/>
  <c r="G16" i="9"/>
  <c r="H16" i="9"/>
  <c r="H17" i="9"/>
  <c r="F16" i="9"/>
  <c r="F17" i="9"/>
  <c r="E16" i="9"/>
  <c r="E17" i="9"/>
  <c r="C19" i="5"/>
  <c r="D4" i="6"/>
  <c r="C14" i="15"/>
  <c r="G12" i="15"/>
  <c r="G13" i="15"/>
  <c r="I12" i="15"/>
  <c r="I13" i="15"/>
  <c r="G17" i="9"/>
  <c r="O12" i="15"/>
  <c r="O13" i="15"/>
  <c r="L12" i="15"/>
  <c r="L13" i="15"/>
  <c r="K12" i="15"/>
  <c r="K13" i="15"/>
  <c r="E12" i="15"/>
  <c r="E13" i="15"/>
  <c r="O15" i="15"/>
  <c r="D14" i="15"/>
  <c r="D15" i="15"/>
  <c r="E14" i="15"/>
  <c r="E15" i="15"/>
  <c r="F14" i="15"/>
  <c r="F15" i="15"/>
  <c r="G14" i="15"/>
  <c r="G15" i="15"/>
  <c r="H14" i="15"/>
  <c r="H15" i="15"/>
  <c r="I14" i="15"/>
  <c r="I15" i="15"/>
  <c r="J14" i="15"/>
  <c r="J15" i="15"/>
  <c r="K14" i="15"/>
  <c r="K15" i="15"/>
  <c r="L14" i="15"/>
  <c r="L15" i="15"/>
  <c r="M14" i="15"/>
  <c r="M15" i="15"/>
  <c r="N14" i="15"/>
  <c r="N15" i="15"/>
  <c r="P14" i="15"/>
  <c r="L36" i="2"/>
  <c r="L45" i="2"/>
  <c r="L46" i="2"/>
</calcChain>
</file>

<file path=xl/sharedStrings.xml><?xml version="1.0" encoding="utf-8"?>
<sst xmlns="http://schemas.openxmlformats.org/spreadsheetml/2006/main" count="349" uniqueCount="197">
  <si>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</si>
  <si>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</si>
  <si>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</si>
  <si>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</si>
  <si>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</si>
  <si>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</si>
  <si>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</si>
  <si>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</si>
  <si>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</si>
  <si>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</si>
  <si>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</si>
  <si>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</si>
  <si>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</si>
  <si>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Proyeccion de ventas en unidades</t>
  </si>
  <si>
    <t>P. U.</t>
  </si>
  <si>
    <t>RUBRO</t>
  </si>
  <si>
    <t>VALOR UNITARIO</t>
  </si>
  <si>
    <t>UNIDAD REQUERIDA</t>
  </si>
  <si>
    <t>COSTO TOTAL</t>
  </si>
  <si>
    <t>maquinaria y/o equipos</t>
  </si>
  <si>
    <t>Herramientas</t>
  </si>
  <si>
    <t>Muebles y enseres</t>
  </si>
  <si>
    <t>Mesa de trabajo</t>
  </si>
  <si>
    <t>Estantes</t>
  </si>
  <si>
    <t>Mano de obra</t>
  </si>
  <si>
    <t>Gastos Administrativos</t>
  </si>
  <si>
    <t>Materia Prima</t>
  </si>
  <si>
    <t>Unidad</t>
  </si>
  <si>
    <t>Balanza</t>
  </si>
  <si>
    <t>Escritorio</t>
  </si>
  <si>
    <t>Carnet sanitario</t>
  </si>
  <si>
    <t>Gas</t>
  </si>
  <si>
    <t>Utiles de oficina</t>
  </si>
  <si>
    <t>Transporte</t>
  </si>
  <si>
    <t>Infraestructura</t>
  </si>
  <si>
    <t>Construcción de local</t>
  </si>
  <si>
    <t>Instalación eléctrica</t>
  </si>
  <si>
    <t>Instación de agua y desague</t>
  </si>
  <si>
    <t>Termómetro</t>
  </si>
  <si>
    <t>Cocina semi industrial</t>
  </si>
  <si>
    <t>Cuchillos</t>
  </si>
  <si>
    <t>Jarra de 2 litros</t>
  </si>
  <si>
    <t>Coladores</t>
  </si>
  <si>
    <t>cucharones de madera</t>
  </si>
  <si>
    <t>Ollas medianas</t>
  </si>
  <si>
    <t>Tazones</t>
  </si>
  <si>
    <t>Cucharas</t>
  </si>
  <si>
    <t>tablas para picar</t>
  </si>
  <si>
    <t>peladores</t>
  </si>
  <si>
    <t>Sillas</t>
  </si>
  <si>
    <t>Rocoto</t>
  </si>
  <si>
    <t>Especias</t>
  </si>
  <si>
    <t>Azúcar blanca</t>
  </si>
  <si>
    <t>Frascos</t>
  </si>
  <si>
    <t>Cocineros</t>
  </si>
  <si>
    <t>Mantenimiento de local</t>
  </si>
  <si>
    <t>ACTIVO FIJO</t>
  </si>
  <si>
    <t>Valor de compra</t>
  </si>
  <si>
    <t>Maquinaria y Equipo</t>
  </si>
  <si>
    <t>Total</t>
  </si>
  <si>
    <t>Vida útil (años)</t>
  </si>
  <si>
    <t>Depreciación anual</t>
  </si>
  <si>
    <t>Depreciación acumulada</t>
  </si>
  <si>
    <t>Costo variable</t>
  </si>
  <si>
    <t>Gastos administrativos</t>
  </si>
  <si>
    <t>Amortización de intangibles</t>
  </si>
  <si>
    <t>Gastos de ventas</t>
  </si>
  <si>
    <t>Materia prima e insumos</t>
  </si>
  <si>
    <t>Total Costo Variable</t>
  </si>
  <si>
    <t>Costo variable unitario</t>
  </si>
  <si>
    <t>Costo total unitario</t>
  </si>
  <si>
    <t>Año</t>
  </si>
  <si>
    <t>Margen de contribución</t>
  </si>
  <si>
    <t>Punto de equilibrio</t>
  </si>
  <si>
    <t>Año 1</t>
  </si>
  <si>
    <t>Año 2</t>
  </si>
  <si>
    <t>Año 3</t>
  </si>
  <si>
    <t>TOTAL INVERSION FIJA INTANGIBLE</t>
  </si>
  <si>
    <t>I.- INVERSION FIJA</t>
  </si>
  <si>
    <t>1.1.  ACTIVO FIJO TANGIBLE</t>
  </si>
  <si>
    <t>Gastos indirectos</t>
  </si>
  <si>
    <t>Balon</t>
  </si>
  <si>
    <t>TOTAL CAPITAL DE TRABAJO</t>
  </si>
  <si>
    <t>TOTAL INVERSION INICIAL</t>
  </si>
  <si>
    <t>Unidades</t>
  </si>
  <si>
    <t>TOTAL ACTIVO FIJO TANGIBLE</t>
  </si>
  <si>
    <t>Gastos de constitución y formalizacion</t>
  </si>
  <si>
    <t>Licencia de Funcionamiento y avisos</t>
  </si>
  <si>
    <t>II. CAPITAL DE TRABAJO (100 Unid.)</t>
  </si>
  <si>
    <t>Luz, agua y telefono</t>
  </si>
  <si>
    <t>Volantes</t>
  </si>
  <si>
    <t>Llaveros</t>
  </si>
  <si>
    <t>TOTAL COSTOS OPERATIVOS</t>
  </si>
  <si>
    <t>Tasa de Deprec.</t>
  </si>
  <si>
    <t>Total Costo Fijo</t>
  </si>
  <si>
    <t>Amortizacion de intangibles</t>
  </si>
  <si>
    <t>Costo de ventas</t>
  </si>
  <si>
    <t>Costos de produccion</t>
  </si>
  <si>
    <t>Utilidad Bruta</t>
  </si>
  <si>
    <t>Gastos operativos</t>
  </si>
  <si>
    <t>Utilidad Imponible</t>
  </si>
  <si>
    <t>Utilidad Neta</t>
  </si>
  <si>
    <t>Inflacion</t>
  </si>
  <si>
    <t>e.)</t>
  </si>
  <si>
    <t>Punto de equilibrio contable</t>
  </si>
  <si>
    <t>soles</t>
  </si>
  <si>
    <t>Depreciacion Activo Fijo</t>
  </si>
  <si>
    <t>Nº de frascos de 250 grs.</t>
  </si>
  <si>
    <t>COSTO UNITARIO: LOTE DE 100 FRASCOS</t>
  </si>
  <si>
    <t>UNIDAD DE MEDIDA</t>
  </si>
  <si>
    <t>Global</t>
  </si>
  <si>
    <t>Documento</t>
  </si>
  <si>
    <t>Kgrs.</t>
  </si>
  <si>
    <t>Persona</t>
  </si>
  <si>
    <t>Ciento</t>
  </si>
  <si>
    <t xml:space="preserve">Costo fijo </t>
  </si>
  <si>
    <t>MODELO FINANCIERO</t>
  </si>
  <si>
    <t>EVALUACION ECONOMICA</t>
  </si>
  <si>
    <t>COK</t>
  </si>
  <si>
    <t>nominal anual</t>
  </si>
  <si>
    <t>anual</t>
  </si>
  <si>
    <t>años</t>
  </si>
  <si>
    <t>TEA</t>
  </si>
  <si>
    <t>por frasco</t>
  </si>
  <si>
    <t>Precio venta</t>
  </si>
  <si>
    <t>Año 4</t>
  </si>
  <si>
    <t>Año 5</t>
  </si>
  <si>
    <t>Costo fijo total</t>
  </si>
  <si>
    <t>Precio de venta</t>
  </si>
  <si>
    <t>Depreciación activo fijo</t>
  </si>
  <si>
    <t>Costo fijo unitario (100% )</t>
  </si>
  <si>
    <t>Mano Obra</t>
  </si>
  <si>
    <t>VANE</t>
  </si>
  <si>
    <t>VANF</t>
  </si>
  <si>
    <t>TIRE</t>
  </si>
  <si>
    <t>TIRF</t>
  </si>
  <si>
    <t>1.2. INVERSION INTANGIBLE</t>
  </si>
  <si>
    <t>MES</t>
  </si>
  <si>
    <t>Variacion KW</t>
  </si>
  <si>
    <t>CV Unitario</t>
  </si>
  <si>
    <t>VARIACION DE CAPITAL DE TRABAJO AÑO 1</t>
  </si>
  <si>
    <t>Y FINANCIERA DE INVERSIONES</t>
  </si>
  <si>
    <t>Valor de Recupero</t>
  </si>
  <si>
    <t>Utensilios</t>
  </si>
  <si>
    <t>Cargo</t>
  </si>
  <si>
    <t>Personal Administratico</t>
  </si>
  <si>
    <t>Personal de Ventas</t>
  </si>
  <si>
    <t>Administrativo</t>
  </si>
  <si>
    <t>Vendedor</t>
  </si>
  <si>
    <t>REGIMEN LABORAL PEQUEÑA EMPRESA</t>
  </si>
  <si>
    <t>Sub Total</t>
  </si>
  <si>
    <t>Gratificación(*)</t>
  </si>
  <si>
    <t>CTS (**)</t>
  </si>
  <si>
    <t>Essalud (***)</t>
  </si>
  <si>
    <t>(*) Medio sueldo en julio y diciembre</t>
  </si>
  <si>
    <t>(**) Medio sueldo</t>
  </si>
  <si>
    <t>(***) 9%</t>
  </si>
  <si>
    <t>Anual</t>
  </si>
  <si>
    <t>Básico mes</t>
  </si>
  <si>
    <t>Impuesto II</t>
  </si>
  <si>
    <t>Impuesto I</t>
  </si>
  <si>
    <t>Proyeccion de ventas netas en nuevos soles</t>
  </si>
  <si>
    <t>PRESUPUESTO DE INVERSION INICIAL EN NUEVOS SOLES - MERMELADA DE ROCOTO</t>
  </si>
  <si>
    <t>CALCULO DE DEPRECIACION Y VALOR DE RECUPERO</t>
  </si>
  <si>
    <t>Horizonte Ev.</t>
  </si>
  <si>
    <t>0-S/. 66,000</t>
  </si>
  <si>
    <t>Mayor a 66,000</t>
  </si>
  <si>
    <t>II. CAPITAL DE TRABAJO AÑO 1</t>
  </si>
  <si>
    <t>CV Total</t>
  </si>
  <si>
    <t>GF Total</t>
  </si>
  <si>
    <t>KW Total</t>
  </si>
  <si>
    <t>REGIMEN LABORAL MICRO EMPRESA</t>
  </si>
  <si>
    <t>CIS</t>
  </si>
  <si>
    <t>CIS (***)</t>
  </si>
  <si>
    <t>(***) 15 soles mensuales por trabajador</t>
  </si>
  <si>
    <t>(*) No tiene gratificaciones</t>
  </si>
  <si>
    <t>(**) No tiene CTS</t>
  </si>
  <si>
    <t>Costos Indirectos de Fabricación</t>
  </si>
  <si>
    <t>Materia Prima Directa</t>
  </si>
  <si>
    <t>Mano de obra Directa</t>
  </si>
  <si>
    <t>Valor Unitario</t>
  </si>
  <si>
    <t>Unidad Requerida</t>
  </si>
  <si>
    <t>Unidad de Medida</t>
  </si>
  <si>
    <t>COSTOS DE PRODUCCIÓN (100 unidades)</t>
  </si>
  <si>
    <t xml:space="preserve">COSTOS OPERATIVOS MENSUALES EN NUEVOS SOLES </t>
  </si>
  <si>
    <t>Costos indirectos de fabricación</t>
  </si>
  <si>
    <t>UIT</t>
  </si>
  <si>
    <t>Micro empresa</t>
  </si>
  <si>
    <t>Pequeña empresa</t>
  </si>
  <si>
    <t>Costos de producción y GO</t>
  </si>
  <si>
    <t>Ventas netas</t>
  </si>
  <si>
    <t>ESTADO DE RESULTADOS ECONOMICO</t>
  </si>
  <si>
    <t>Unidades/mes</t>
  </si>
  <si>
    <t>soles/mes</t>
  </si>
  <si>
    <t>Impuestos (*)</t>
  </si>
  <si>
    <t>(*) corresponde al MYPE tributario</t>
  </si>
  <si>
    <t>Utilidades &lt; a 15 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</si>
</sst>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_ * #,##0.00_ ;_ * \-#,##0.00_ ;_ * &quot;-&quot;??_ ;_ @_ "/>
    <numFmt numFmtId="177" formatCode="0.0%"/>
    <numFmt numFmtId="178" formatCode="_ * #,##0_ ;_ * \-#,##0_ ;_ * &quot;-&quot;??_ ;_ @_ 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73" fontId="1" fillId="0" borderId="0" applyFon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3" xfId="0" applyNumberForma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/>
    <xf numFmtId="2" fontId="2" fillId="0" borderId="0" xfId="0" applyNumberFormat="1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2" fontId="0" fillId="0" borderId="8" xfId="0" applyNumberForma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4" fillId="0" borderId="6" xfId="0" applyFont="1" applyFill="1" applyBorder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2" fontId="2" fillId="0" borderId="8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" fontId="0" fillId="0" borderId="3" xfId="0" applyNumberFormat="1" applyBorder="1"/>
    <xf numFmtId="0" fontId="0" fillId="0" borderId="1" xfId="0" applyBorder="1"/>
    <xf numFmtId="0" fontId="0" fillId="0" borderId="12" xfId="0" applyBorder="1"/>
    <xf numFmtId="0" fontId="2" fillId="5" borderId="13" xfId="0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0" borderId="3" xfId="0" applyNumberFormat="1" applyFont="1" applyBorder="1"/>
    <xf numFmtId="9" fontId="0" fillId="0" borderId="0" xfId="0" applyNumberFormat="1"/>
    <xf numFmtId="0" fontId="5" fillId="0" borderId="1" xfId="0" applyFont="1" applyBorder="1"/>
    <xf numFmtId="0" fontId="2" fillId="0" borderId="7" xfId="0" applyFont="1" applyBorder="1"/>
    <xf numFmtId="0" fontId="0" fillId="0" borderId="8" xfId="0" applyBorder="1"/>
    <xf numFmtId="0" fontId="5" fillId="0" borderId="7" xfId="0" applyFont="1" applyBorder="1"/>
    <xf numFmtId="1" fontId="0" fillId="0" borderId="8" xfId="0" applyNumberFormat="1" applyBorder="1"/>
    <xf numFmtId="1" fontId="2" fillId="0" borderId="8" xfId="0" applyNumberFormat="1" applyFont="1" applyBorder="1"/>
    <xf numFmtId="0" fontId="0" fillId="0" borderId="7" xfId="0" applyBorder="1"/>
    <xf numFmtId="0" fontId="3" fillId="0" borderId="0" xfId="0" applyFont="1" applyFill="1" applyBorder="1" applyAlignment="1">
      <alignment horizontal="left" vertical="center" wrapText="1"/>
    </xf>
    <xf numFmtId="2" fontId="0" fillId="0" borderId="8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0" fontId="5" fillId="0" borderId="12" xfId="0" applyFont="1" applyBorder="1"/>
    <xf numFmtId="2" fontId="0" fillId="0" borderId="14" xfId="0" applyNumberFormat="1" applyBorder="1"/>
    <xf numFmtId="0" fontId="4" fillId="4" borderId="13" xfId="0" applyFont="1" applyFill="1" applyBorder="1" applyAlignment="1">
      <alignment horizontal="center" vertical="center" wrapText="1"/>
    </xf>
    <xf numFmtId="0" fontId="5" fillId="0" borderId="15" xfId="0" applyFont="1" applyBorder="1"/>
    <xf numFmtId="1" fontId="0" fillId="0" borderId="3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right"/>
    </xf>
    <xf numFmtId="1" fontId="0" fillId="0" borderId="8" xfId="0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6" borderId="0" xfId="0" applyFill="1"/>
    <xf numFmtId="0" fontId="5" fillId="6" borderId="0" xfId="0" applyFont="1" applyFill="1"/>
    <xf numFmtId="0" fontId="0" fillId="0" borderId="0" xfId="0" applyAlignment="1">
      <alignment horizontal="left"/>
    </xf>
    <xf numFmtId="0" fontId="5" fillId="0" borderId="16" xfId="0" applyFont="1" applyBorder="1"/>
    <xf numFmtId="0" fontId="0" fillId="0" borderId="17" xfId="0" applyBorder="1"/>
    <xf numFmtId="0" fontId="2" fillId="6" borderId="0" xfId="0" applyFont="1" applyFill="1"/>
    <xf numFmtId="2" fontId="0" fillId="6" borderId="0" xfId="0" applyNumberFormat="1" applyFill="1"/>
    <xf numFmtId="2" fontId="2" fillId="6" borderId="0" xfId="0" applyNumberFormat="1" applyFont="1" applyFill="1"/>
    <xf numFmtId="0" fontId="4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0" fillId="3" borderId="22" xfId="0" applyFill="1" applyBorder="1" applyAlignment="1">
      <alignment horizontal="right"/>
    </xf>
    <xf numFmtId="0" fontId="0" fillId="3" borderId="22" xfId="0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right"/>
    </xf>
    <xf numFmtId="0" fontId="5" fillId="0" borderId="2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2" fontId="5" fillId="0" borderId="8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2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left" vertical="center" wrapText="1"/>
    </xf>
    <xf numFmtId="2" fontId="0" fillId="5" borderId="22" xfId="0" applyNumberFormat="1" applyFill="1" applyBorder="1" applyAlignment="1">
      <alignment horizontal="right"/>
    </xf>
    <xf numFmtId="0" fontId="0" fillId="5" borderId="22" xfId="0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0" borderId="25" xfId="0" applyBorder="1" applyAlignment="1">
      <alignment horizontal="right"/>
    </xf>
    <xf numFmtId="2" fontId="0" fillId="0" borderId="29" xfId="0" applyNumberFormat="1" applyBorder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2" fontId="5" fillId="0" borderId="3" xfId="0" applyNumberFormat="1" applyFont="1" applyFill="1" applyBorder="1" applyAlignment="1"/>
    <xf numFmtId="0" fontId="5" fillId="0" borderId="3" xfId="0" applyFont="1" applyFill="1" applyBorder="1" applyAlignment="1"/>
    <xf numFmtId="2" fontId="2" fillId="0" borderId="8" xfId="0" applyNumberFormat="1" applyFont="1" applyFill="1" applyBorder="1" applyAlignment="1"/>
    <xf numFmtId="2" fontId="5" fillId="0" borderId="3" xfId="0" applyNumberFormat="1" applyFont="1" applyBorder="1" applyAlignment="1"/>
    <xf numFmtId="0" fontId="5" fillId="0" borderId="3" xfId="0" applyFont="1" applyBorder="1" applyAlignment="1"/>
    <xf numFmtId="2" fontId="5" fillId="0" borderId="8" xfId="0" applyNumberFormat="1" applyFont="1" applyBorder="1" applyAlignment="1"/>
    <xf numFmtId="2" fontId="5" fillId="0" borderId="25" xfId="0" applyNumberFormat="1" applyFont="1" applyBorder="1" applyAlignment="1"/>
    <xf numFmtId="0" fontId="5" fillId="0" borderId="25" xfId="0" applyFont="1" applyBorder="1" applyAlignment="1"/>
    <xf numFmtId="2" fontId="5" fillId="0" borderId="26" xfId="0" applyNumberFormat="1" applyFont="1" applyBorder="1" applyAlignment="1"/>
    <xf numFmtId="0" fontId="2" fillId="0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2" fillId="7" borderId="30" xfId="0" applyFont="1" applyFill="1" applyBorder="1" applyAlignment="1">
      <alignment wrapText="1"/>
    </xf>
    <xf numFmtId="0" fontId="2" fillId="7" borderId="31" xfId="0" applyFont="1" applyFill="1" applyBorder="1" applyAlignment="1"/>
    <xf numFmtId="2" fontId="2" fillId="7" borderId="29" xfId="0" applyNumberFormat="1" applyFont="1" applyFill="1" applyBorder="1" applyAlignment="1"/>
    <xf numFmtId="2" fontId="2" fillId="7" borderId="10" xfId="0" applyNumberFormat="1" applyFont="1" applyFill="1" applyBorder="1"/>
    <xf numFmtId="0" fontId="2" fillId="7" borderId="10" xfId="0" applyFont="1" applyFill="1" applyBorder="1"/>
    <xf numFmtId="2" fontId="2" fillId="7" borderId="11" xfId="0" applyNumberFormat="1" applyFont="1" applyFill="1" applyBorder="1"/>
    <xf numFmtId="0" fontId="5" fillId="0" borderId="6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2" fontId="0" fillId="7" borderId="10" xfId="0" applyNumberFormat="1" applyFill="1" applyBorder="1" applyAlignment="1">
      <alignment horizontal="right"/>
    </xf>
    <xf numFmtId="0" fontId="0" fillId="7" borderId="10" xfId="0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0" fontId="5" fillId="0" borderId="8" xfId="0" applyFont="1" applyBorder="1"/>
    <xf numFmtId="2" fontId="5" fillId="0" borderId="26" xfId="0" applyNumberFormat="1" applyFont="1" applyBorder="1"/>
    <xf numFmtId="0" fontId="2" fillId="0" borderId="0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0" fontId="2" fillId="7" borderId="16" xfId="0" applyFont="1" applyFill="1" applyBorder="1"/>
    <xf numFmtId="2" fontId="2" fillId="7" borderId="17" xfId="0" applyNumberFormat="1" applyFont="1" applyFill="1" applyBorder="1" applyAlignment="1">
      <alignment horizontal="center"/>
    </xf>
    <xf numFmtId="0" fontId="2" fillId="4" borderId="7" xfId="0" applyFont="1" applyFill="1" applyBorder="1"/>
    <xf numFmtId="2" fontId="2" fillId="4" borderId="8" xfId="0" applyNumberFormat="1" applyFont="1" applyFill="1" applyBorder="1"/>
    <xf numFmtId="0" fontId="2" fillId="7" borderId="7" xfId="0" applyFont="1" applyFill="1" applyBorder="1"/>
    <xf numFmtId="2" fontId="2" fillId="7" borderId="8" xfId="0" applyNumberFormat="1" applyFont="1" applyFill="1" applyBorder="1" applyAlignment="1">
      <alignment horizontal="center"/>
    </xf>
    <xf numFmtId="0" fontId="2" fillId="4" borderId="15" xfId="0" applyFont="1" applyFill="1" applyBorder="1"/>
    <xf numFmtId="2" fontId="2" fillId="4" borderId="26" xfId="0" applyNumberFormat="1" applyFont="1" applyFill="1" applyBorder="1"/>
    <xf numFmtId="0" fontId="5" fillId="0" borderId="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left"/>
    </xf>
    <xf numFmtId="1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1" fontId="0" fillId="0" borderId="25" xfId="0" applyNumberFormat="1" applyBorder="1"/>
    <xf numFmtId="1" fontId="0" fillId="0" borderId="0" xfId="0" applyNumberFormat="1"/>
    <xf numFmtId="1" fontId="0" fillId="0" borderId="24" xfId="0" applyNumberFormat="1" applyBorder="1"/>
    <xf numFmtId="1" fontId="0" fillId="0" borderId="17" xfId="0" applyNumberFormat="1" applyBorder="1"/>
    <xf numFmtId="0" fontId="0" fillId="0" borderId="15" xfId="0" applyBorder="1"/>
    <xf numFmtId="9" fontId="0" fillId="0" borderId="3" xfId="0" applyNumberFormat="1" applyBorder="1"/>
    <xf numFmtId="178" fontId="0" fillId="0" borderId="3" xfId="1" applyNumberFormat="1" applyFont="1" applyBorder="1"/>
    <xf numFmtId="0" fontId="0" fillId="6" borderId="3" xfId="0" applyFill="1" applyBorder="1"/>
    <xf numFmtId="0" fontId="5" fillId="6" borderId="3" xfId="0" applyFont="1" applyFill="1" applyBorder="1"/>
    <xf numFmtId="0" fontId="2" fillId="8" borderId="16" xfId="0" applyFont="1" applyFill="1" applyBorder="1" applyAlignment="1">
      <alignment horizontal="center"/>
    </xf>
    <xf numFmtId="1" fontId="5" fillId="6" borderId="24" xfId="0" applyNumberFormat="1" applyFont="1" applyFill="1" applyBorder="1"/>
    <xf numFmtId="0" fontId="2" fillId="8" borderId="24" xfId="0" applyFont="1" applyFill="1" applyBorder="1" applyAlignment="1">
      <alignment horizontal="center"/>
    </xf>
    <xf numFmtId="1" fontId="0" fillId="6" borderId="17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2" fillId="8" borderId="15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3" fontId="5" fillId="0" borderId="3" xfId="0" applyNumberFormat="1" applyFont="1" applyBorder="1"/>
    <xf numFmtId="1" fontId="5" fillId="0" borderId="3" xfId="0" applyNumberFormat="1" applyFont="1" applyBorder="1"/>
    <xf numFmtId="1" fontId="5" fillId="0" borderId="8" xfId="0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15" xfId="0" applyFont="1" applyBorder="1" applyAlignment="1">
      <alignment horizontal="center"/>
    </xf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0" fontId="2" fillId="9" borderId="0" xfId="0" applyFont="1" applyFill="1" applyBorder="1" applyAlignment="1">
      <alignment horizontal="center"/>
    </xf>
    <xf numFmtId="0" fontId="0" fillId="9" borderId="37" xfId="0" applyFill="1" applyBorder="1"/>
    <xf numFmtId="177" fontId="0" fillId="6" borderId="25" xfId="0" applyNumberFormat="1" applyFill="1" applyBorder="1" applyAlignment="1">
      <alignment horizontal="center"/>
    </xf>
    <xf numFmtId="177" fontId="0" fillId="6" borderId="26" xfId="0" applyNumberFormat="1" applyFill="1" applyBorder="1" applyAlignment="1">
      <alignment horizontal="center"/>
    </xf>
    <xf numFmtId="0" fontId="2" fillId="7" borderId="3" xfId="0" applyFont="1" applyFill="1" applyBorder="1"/>
    <xf numFmtId="177" fontId="0" fillId="0" borderId="3" xfId="0" applyNumberFormat="1" applyBorder="1"/>
    <xf numFmtId="0" fontId="2" fillId="7" borderId="3" xfId="0" applyFont="1" applyFill="1" applyBorder="1" applyAlignment="1">
      <alignment horizontal="center"/>
    </xf>
    <xf numFmtId="0" fontId="0" fillId="7" borderId="3" xfId="0" applyFill="1" applyBorder="1"/>
    <xf numFmtId="1" fontId="2" fillId="7" borderId="3" xfId="0" applyNumberFormat="1" applyFont="1" applyFill="1" applyBorder="1" applyAlignment="1">
      <alignment horizontal="center"/>
    </xf>
    <xf numFmtId="1" fontId="5" fillId="0" borderId="25" xfId="0" applyNumberFormat="1" applyFont="1" applyBorder="1"/>
    <xf numFmtId="0" fontId="7" fillId="0" borderId="6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2" fontId="7" fillId="0" borderId="2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/>
    </xf>
    <xf numFmtId="2" fontId="8" fillId="0" borderId="3" xfId="0" applyNumberFormat="1" applyFont="1" applyBorder="1" applyAlignment="1">
      <alignment horizontal="right"/>
    </xf>
    <xf numFmtId="0" fontId="7" fillId="0" borderId="7" xfId="0" applyFont="1" applyBorder="1" applyAlignment="1">
      <alignment horizontal="left" vertical="center" wrapText="1"/>
    </xf>
    <xf numFmtId="2" fontId="7" fillId="0" borderId="8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2" fontId="8" fillId="0" borderId="25" xfId="0" applyNumberFormat="1" applyFont="1" applyBorder="1" applyAlignment="1">
      <alignment horizontal="right"/>
    </xf>
    <xf numFmtId="2" fontId="8" fillId="0" borderId="26" xfId="0" applyNumberFormat="1" applyFont="1" applyBorder="1" applyAlignment="1">
      <alignment horizontal="center"/>
    </xf>
    <xf numFmtId="0" fontId="7" fillId="4" borderId="1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justify" wrapText="1"/>
    </xf>
    <xf numFmtId="2" fontId="7" fillId="4" borderId="11" xfId="0" applyNumberFormat="1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left" vertical="center" wrapText="1"/>
    </xf>
    <xf numFmtId="0" fontId="8" fillId="4" borderId="31" xfId="0" applyFont="1" applyFill="1" applyBorder="1" applyAlignment="1">
      <alignment horizontal="center"/>
    </xf>
    <xf numFmtId="2" fontId="8" fillId="4" borderId="31" xfId="0" applyNumberFormat="1" applyFont="1" applyFill="1" applyBorder="1" applyAlignment="1">
      <alignment horizontal="right"/>
    </xf>
    <xf numFmtId="2" fontId="7" fillId="4" borderId="29" xfId="0" applyNumberFormat="1" applyFont="1" applyFill="1" applyBorder="1" applyAlignment="1">
      <alignment horizontal="center"/>
    </xf>
    <xf numFmtId="0" fontId="0" fillId="0" borderId="37" xfId="0" applyBorder="1"/>
    <xf numFmtId="0" fontId="0" fillId="0" borderId="21" xfId="0" applyFill="1" applyBorder="1"/>
    <xf numFmtId="0" fontId="9" fillId="9" borderId="36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37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workbookViewId="0">
      <selection activeCell="N14" sqref="N14"/>
    </sheetView>
  </sheetViews>
  <sheetFormatPr baseColWidth="10" defaultColWidth="11.5703125" defaultRowHeight="12.75" x14ac:dyDescent="0.2"/>
  <cols>
    <col min="1" max="1" width="3.42578125" customWidth="1"/>
    <col min="2" max="2" width="6.5703125" customWidth="1"/>
    <col min="3" max="3" width="8" customWidth="1"/>
    <col min="4" max="4" width="7.7109375" customWidth="1"/>
    <col min="5" max="5" width="7" customWidth="1"/>
    <col min="6" max="6" width="2.140625" customWidth="1"/>
    <col min="7" max="7" width="11.5703125" customWidth="1"/>
    <col min="8" max="8" width="7.42578125" customWidth="1"/>
    <col min="9" max="9" width="14.85546875" customWidth="1"/>
  </cols>
  <sheetData>
    <row r="6" spans="2:9" ht="13.5" thickBot="1" x14ac:dyDescent="0.25"/>
    <row r="7" spans="2:9" ht="13.5" thickBot="1" x14ac:dyDescent="0.25">
      <c r="B7" s="246" t="s">
        <v>116</v>
      </c>
      <c r="C7" s="247"/>
      <c r="D7" s="247"/>
      <c r="E7" s="248"/>
      <c r="G7" s="30" t="s">
        <v>118</v>
      </c>
      <c r="H7" s="187">
        <v>0.12</v>
      </c>
      <c r="I7" s="30" t="s">
        <v>119</v>
      </c>
    </row>
    <row r="8" spans="2:9" x14ac:dyDescent="0.2">
      <c r="B8" s="205"/>
      <c r="C8" s="206"/>
      <c r="D8" s="206"/>
      <c r="E8" s="207"/>
      <c r="G8" s="30" t="s">
        <v>102</v>
      </c>
      <c r="H8" s="187">
        <v>0.02</v>
      </c>
      <c r="I8" s="30" t="s">
        <v>120</v>
      </c>
    </row>
    <row r="9" spans="2:9" x14ac:dyDescent="0.2">
      <c r="B9" s="243" t="s">
        <v>117</v>
      </c>
      <c r="C9" s="244"/>
      <c r="D9" s="244"/>
      <c r="E9" s="245"/>
      <c r="G9" s="30" t="s">
        <v>164</v>
      </c>
      <c r="H9" s="9">
        <v>5</v>
      </c>
      <c r="I9" s="30" t="s">
        <v>121</v>
      </c>
    </row>
    <row r="10" spans="2:9" x14ac:dyDescent="0.2">
      <c r="B10" s="249" t="s">
        <v>141</v>
      </c>
      <c r="C10" s="250"/>
      <c r="D10" s="250"/>
      <c r="E10" s="251"/>
      <c r="G10" s="30" t="s">
        <v>122</v>
      </c>
      <c r="H10" s="187">
        <v>0.15</v>
      </c>
      <c r="I10" s="9"/>
    </row>
    <row r="11" spans="2:9" x14ac:dyDescent="0.2">
      <c r="B11" s="243"/>
      <c r="C11" s="244"/>
      <c r="D11" s="244"/>
      <c r="E11" s="245"/>
      <c r="G11" s="30" t="s">
        <v>160</v>
      </c>
      <c r="H11" s="187">
        <v>0.1</v>
      </c>
      <c r="I11" s="30" t="s">
        <v>165</v>
      </c>
    </row>
    <row r="12" spans="2:9" ht="13.5" thickBot="1" x14ac:dyDescent="0.25">
      <c r="B12" s="208"/>
      <c r="C12" s="209"/>
      <c r="D12" s="209"/>
      <c r="E12" s="210"/>
      <c r="G12" s="30" t="s">
        <v>159</v>
      </c>
      <c r="H12" s="214">
        <v>0.29499999999999998</v>
      </c>
      <c r="I12" s="30" t="s">
        <v>166</v>
      </c>
    </row>
    <row r="13" spans="2:9" x14ac:dyDescent="0.2">
      <c r="B13" s="191" t="s">
        <v>132</v>
      </c>
      <c r="C13" s="192" t="e">
        <f>#REF!</f>
        <v>#REF!</v>
      </c>
      <c r="D13" s="193" t="s">
        <v>133</v>
      </c>
      <c r="E13" s="194" t="e">
        <f>#REF!</f>
        <v>#REF!</v>
      </c>
      <c r="F13" s="183"/>
      <c r="G13" s="30" t="s">
        <v>124</v>
      </c>
      <c r="H13" s="188">
        <v>12</v>
      </c>
      <c r="I13" s="30" t="s">
        <v>123</v>
      </c>
    </row>
    <row r="14" spans="2:9" x14ac:dyDescent="0.2">
      <c r="B14" s="195"/>
      <c r="C14" s="190"/>
      <c r="D14" s="189"/>
      <c r="E14" s="196"/>
      <c r="G14" s="30" t="s">
        <v>131</v>
      </c>
      <c r="H14" s="9">
        <v>5</v>
      </c>
      <c r="I14" s="30" t="s">
        <v>123</v>
      </c>
    </row>
    <row r="15" spans="2:9" ht="13.5" thickBot="1" x14ac:dyDescent="0.25">
      <c r="B15" s="197" t="s">
        <v>134</v>
      </c>
      <c r="C15" s="211" t="e">
        <f>#REF!</f>
        <v>#REF!</v>
      </c>
      <c r="D15" s="198" t="s">
        <v>135</v>
      </c>
      <c r="E15" s="212" t="e">
        <f>#REF!</f>
        <v>#REF!</v>
      </c>
      <c r="F15" s="60"/>
      <c r="G15" s="9"/>
      <c r="H15" s="9"/>
      <c r="I15" s="9"/>
    </row>
  </sheetData>
  <scenarios current="1" sqref="C13 C15 E13 E15">
    <scenario name="OPTIMISTA" locked="1" count="2" user="Tony Hinojosa" comment="Creado por Tony Hinojosa el 28/12/2017">
      <inputCells r="H13" val="10,5"/>
      <inputCells r="H14" val="4,5"/>
    </scenario>
    <scenario name="PESIMISTA" locked="1" count="2" user="Tony Hinojosa" comment="Creado por Tony Hinojosa el 28/12/2017">
      <inputCells r="H13" val="9,5"/>
      <inputCells r="H14" val="5,5"/>
    </scenario>
  </scenarios>
  <mergeCells count="4">
    <mergeCell ref="B11:E11"/>
    <mergeCell ref="B7:E7"/>
    <mergeCell ref="B9:E9"/>
    <mergeCell ref="B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F16" sqref="F16"/>
    </sheetView>
  </sheetViews>
  <sheetFormatPr baseColWidth="10" defaultColWidth="11.5703125" defaultRowHeight="12.75" x14ac:dyDescent="0.2"/>
  <cols>
    <col min="1" max="1" width="11.5703125" customWidth="1"/>
    <col min="2" max="2" width="28.140625" customWidth="1"/>
    <col min="3" max="3" width="10.7109375" customWidth="1"/>
  </cols>
  <sheetData>
    <row r="2" spans="2:4" x14ac:dyDescent="0.2">
      <c r="B2" s="252" t="s">
        <v>108</v>
      </c>
      <c r="C2" s="252"/>
    </row>
    <row r="3" spans="2:4" ht="13.5" thickBot="1" x14ac:dyDescent="0.25">
      <c r="B3" s="29"/>
      <c r="C3" s="87"/>
      <c r="D3" s="29"/>
    </row>
    <row r="4" spans="2:4" x14ac:dyDescent="0.2">
      <c r="B4" s="169" t="s">
        <v>115</v>
      </c>
      <c r="C4" s="170" t="s">
        <v>105</v>
      </c>
    </row>
    <row r="5" spans="2:4" x14ac:dyDescent="0.2">
      <c r="B5" s="64" t="s">
        <v>64</v>
      </c>
      <c r="C5" s="69">
        <f>Gastos_Operativos!F4</f>
        <v>1470</v>
      </c>
    </row>
    <row r="6" spans="2:4" x14ac:dyDescent="0.2">
      <c r="B6" s="64" t="s">
        <v>129</v>
      </c>
      <c r="C6" s="69">
        <f>Depreciación_VR!F9/12</f>
        <v>101.20833333333333</v>
      </c>
    </row>
    <row r="7" spans="2:4" x14ac:dyDescent="0.2">
      <c r="B7" s="64" t="s">
        <v>65</v>
      </c>
      <c r="C7" s="241">
        <f>(Inversión_Inicial!F34/Resumen!H9)/12</f>
        <v>24.25</v>
      </c>
    </row>
    <row r="8" spans="2:4" x14ac:dyDescent="0.2">
      <c r="B8" s="64" t="s">
        <v>66</v>
      </c>
      <c r="C8" s="69">
        <f>Gastos_Operativos!F11</f>
        <v>995</v>
      </c>
    </row>
    <row r="9" spans="2:4" x14ac:dyDescent="0.2">
      <c r="B9" s="171" t="s">
        <v>94</v>
      </c>
      <c r="C9" s="172">
        <f>SUM(C5:C8)</f>
        <v>2590.458333333333</v>
      </c>
    </row>
    <row r="10" spans="2:4" x14ac:dyDescent="0.2">
      <c r="B10" s="173" t="s">
        <v>63</v>
      </c>
      <c r="C10" s="174" t="s">
        <v>105</v>
      </c>
    </row>
    <row r="11" spans="2:4" x14ac:dyDescent="0.2">
      <c r="B11" s="64" t="s">
        <v>67</v>
      </c>
      <c r="C11" s="69">
        <f>Inversión_Inicial!F36</f>
        <v>207</v>
      </c>
    </row>
    <row r="12" spans="2:4" x14ac:dyDescent="0.2">
      <c r="B12" s="64" t="s">
        <v>24</v>
      </c>
      <c r="C12" s="69">
        <f>Inversión_Inicial!F41</f>
        <v>500</v>
      </c>
    </row>
    <row r="13" spans="2:4" x14ac:dyDescent="0.2">
      <c r="B13" s="64" t="s">
        <v>185</v>
      </c>
      <c r="C13" s="69">
        <f>Inversión_Inicial!F43</f>
        <v>100</v>
      </c>
    </row>
    <row r="14" spans="2:4" ht="13.5" thickBot="1" x14ac:dyDescent="0.25">
      <c r="B14" s="175" t="s">
        <v>68</v>
      </c>
      <c r="C14" s="176">
        <f>C11+C12+C13</f>
        <v>807</v>
      </c>
    </row>
    <row r="15" spans="2:4" ht="13.5" thickBot="1" x14ac:dyDescent="0.25">
      <c r="B15" s="11"/>
      <c r="C15" s="31"/>
    </row>
    <row r="16" spans="2:4" x14ac:dyDescent="0.2">
      <c r="B16" s="88" t="s">
        <v>107</v>
      </c>
      <c r="C16" s="89">
        <v>100</v>
      </c>
      <c r="D16" s="29"/>
    </row>
    <row r="17" spans="2:6" x14ac:dyDescent="0.2">
      <c r="B17" s="64" t="s">
        <v>130</v>
      </c>
      <c r="C17" s="69">
        <f>C9/1000</f>
        <v>2.5904583333333329</v>
      </c>
      <c r="D17" s="29"/>
      <c r="E17" s="29"/>
      <c r="F17" s="29"/>
    </row>
    <row r="18" spans="2:6" x14ac:dyDescent="0.2">
      <c r="B18" s="64" t="s">
        <v>69</v>
      </c>
      <c r="C18" s="158">
        <f>C14/100</f>
        <v>8.07</v>
      </c>
    </row>
    <row r="19" spans="2:6" ht="13.5" thickBot="1" x14ac:dyDescent="0.25">
      <c r="B19" s="77" t="s">
        <v>70</v>
      </c>
      <c r="C19" s="159">
        <f>+C18+C17</f>
        <v>10.660458333333333</v>
      </c>
    </row>
  </sheetData>
  <mergeCells count="1"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23" sqref="D23"/>
    </sheetView>
  </sheetViews>
  <sheetFormatPr baseColWidth="10" defaultColWidth="11.5703125" defaultRowHeight="12.75" x14ac:dyDescent="0.2"/>
  <cols>
    <col min="1" max="1" width="11.5703125" customWidth="1"/>
    <col min="2" max="2" width="3.42578125" customWidth="1"/>
    <col min="3" max="3" width="22.85546875" customWidth="1"/>
    <col min="4" max="4" width="12.5703125" bestFit="1" customWidth="1"/>
  </cols>
  <sheetData>
    <row r="2" spans="2:5" x14ac:dyDescent="0.2">
      <c r="B2" s="11" t="s">
        <v>103</v>
      </c>
      <c r="C2" s="90" t="s">
        <v>104</v>
      </c>
      <c r="D2" s="85"/>
      <c r="E2" s="85"/>
    </row>
    <row r="3" spans="2:5" x14ac:dyDescent="0.2">
      <c r="C3" s="85"/>
      <c r="D3" s="85"/>
      <c r="E3" s="85"/>
    </row>
    <row r="4" spans="2:5" x14ac:dyDescent="0.2">
      <c r="C4" s="86" t="s">
        <v>127</v>
      </c>
      <c r="D4" s="91">
        <f>Costos_Unitarios!C9</f>
        <v>2590.458333333333</v>
      </c>
      <c r="E4" s="85"/>
    </row>
    <row r="5" spans="2:5" x14ac:dyDescent="0.2">
      <c r="C5" s="86" t="s">
        <v>128</v>
      </c>
      <c r="D5" s="91">
        <f>+Presupuesto_Ventas!C8*1.18</f>
        <v>14.16</v>
      </c>
      <c r="E5" s="85"/>
    </row>
    <row r="6" spans="2:5" x14ac:dyDescent="0.2">
      <c r="C6" s="86" t="s">
        <v>69</v>
      </c>
      <c r="D6" s="85">
        <f>+Costos_Unitarios!C18</f>
        <v>8.07</v>
      </c>
      <c r="E6" s="85"/>
    </row>
    <row r="7" spans="2:5" x14ac:dyDescent="0.2">
      <c r="C7" s="90" t="s">
        <v>72</v>
      </c>
      <c r="D7" s="92">
        <f>+D5-D6</f>
        <v>6.09</v>
      </c>
      <c r="E7" s="85"/>
    </row>
    <row r="8" spans="2:5" x14ac:dyDescent="0.2">
      <c r="C8" s="85"/>
      <c r="D8" s="85"/>
      <c r="E8" s="85"/>
    </row>
    <row r="9" spans="2:5" x14ac:dyDescent="0.2">
      <c r="C9" s="90" t="s">
        <v>73</v>
      </c>
      <c r="D9" s="180">
        <f>D4/D7</f>
        <v>425.36261631089212</v>
      </c>
      <c r="E9" s="179" t="s">
        <v>192</v>
      </c>
    </row>
    <row r="10" spans="2:5" x14ac:dyDescent="0.2">
      <c r="C10" s="86"/>
      <c r="D10" s="91"/>
      <c r="E10" s="85"/>
    </row>
    <row r="11" spans="2:5" x14ac:dyDescent="0.2">
      <c r="C11" s="90" t="s">
        <v>73</v>
      </c>
      <c r="D11" s="181">
        <f>D9*D5</f>
        <v>6023.1346469622322</v>
      </c>
      <c r="E11" s="85" t="s">
        <v>193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workbookViewId="0">
      <selection activeCell="J8" sqref="J8"/>
    </sheetView>
  </sheetViews>
  <sheetFormatPr baseColWidth="10" defaultColWidth="11.5703125" defaultRowHeight="12.75" x14ac:dyDescent="0.2"/>
  <cols>
    <col min="1" max="1" width="11.5703125" customWidth="1"/>
    <col min="2" max="2" width="4.42578125" customWidth="1"/>
    <col min="3" max="3" width="24" customWidth="1"/>
    <col min="4" max="4" width="9.140625" customWidth="1"/>
    <col min="5" max="5" width="9.28515625" customWidth="1"/>
    <col min="6" max="6" width="8.42578125" customWidth="1"/>
  </cols>
  <sheetData>
    <row r="1" spans="2:9" x14ac:dyDescent="0.2">
      <c r="B1" s="11"/>
    </row>
    <row r="2" spans="2:9" x14ac:dyDescent="0.2">
      <c r="B2" s="29"/>
    </row>
    <row r="3" spans="2:9" x14ac:dyDescent="0.2">
      <c r="C3" s="264" t="s">
        <v>191</v>
      </c>
      <c r="D3" s="264"/>
      <c r="E3" s="264"/>
      <c r="F3" s="264"/>
      <c r="G3" s="264"/>
      <c r="H3" s="264"/>
    </row>
    <row r="4" spans="2:9" ht="13.5" thickBot="1" x14ac:dyDescent="0.25">
      <c r="C4" s="85"/>
      <c r="D4" s="85"/>
      <c r="E4" s="85"/>
      <c r="F4" s="85"/>
    </row>
    <row r="5" spans="2:9" ht="13.5" thickBot="1" x14ac:dyDescent="0.25">
      <c r="C5" s="54" t="s">
        <v>15</v>
      </c>
      <c r="D5" s="57" t="s">
        <v>74</v>
      </c>
      <c r="E5" s="57" t="s">
        <v>75</v>
      </c>
      <c r="F5" s="57" t="s">
        <v>76</v>
      </c>
      <c r="G5" s="57" t="s">
        <v>125</v>
      </c>
      <c r="H5" s="58" t="s">
        <v>126</v>
      </c>
      <c r="I5" s="160"/>
    </row>
    <row r="6" spans="2:9" x14ac:dyDescent="0.2">
      <c r="C6" s="88" t="s">
        <v>190</v>
      </c>
      <c r="D6" s="184">
        <f>Presupuesto_Ventas!P8</f>
        <v>87600</v>
      </c>
      <c r="E6" s="184">
        <f>Presupuesto_Ventas!P9</f>
        <v>144000</v>
      </c>
      <c r="F6" s="184">
        <f>Presupuesto_Ventas!P10</f>
        <v>144000</v>
      </c>
      <c r="G6" s="184">
        <f>Presupuesto_Ventas!P11</f>
        <v>144000</v>
      </c>
      <c r="H6" s="185">
        <f>Presupuesto_Ventas!P12</f>
        <v>144000</v>
      </c>
    </row>
    <row r="7" spans="2:9" x14ac:dyDescent="0.2">
      <c r="C7" s="67" t="s">
        <v>96</v>
      </c>
      <c r="D7" s="9"/>
      <c r="E7" s="9"/>
      <c r="F7" s="9"/>
      <c r="G7" s="9"/>
      <c r="H7" s="63"/>
    </row>
    <row r="8" spans="2:9" x14ac:dyDescent="0.2">
      <c r="C8" s="67" t="s">
        <v>97</v>
      </c>
      <c r="D8" s="9">
        <f>Ventas_Unidades!O7*Costos_Unitarios!$C$18</f>
        <v>58911</v>
      </c>
      <c r="E8" s="9">
        <f>Ventas_Unidades!O8*Costos_Unitarios!$C$18</f>
        <v>96840</v>
      </c>
      <c r="F8" s="9">
        <f>Ventas_Unidades!O9*Costos_Unitarios!$C$18</f>
        <v>96840</v>
      </c>
      <c r="G8" s="9">
        <f>Ventas_Unidades!O10*Costos_Unitarios!$C$18</f>
        <v>96840</v>
      </c>
      <c r="H8" s="63">
        <f>Ventas_Unidades!O11*Costos_Unitarios!$C$18</f>
        <v>96840</v>
      </c>
    </row>
    <row r="9" spans="2:9" x14ac:dyDescent="0.2">
      <c r="C9" s="64" t="s">
        <v>106</v>
      </c>
      <c r="D9" s="51">
        <f>Depreciación_VR!$F$9</f>
        <v>1214.5</v>
      </c>
      <c r="E9" s="51">
        <f>Depreciación_VR!$F$9</f>
        <v>1214.5</v>
      </c>
      <c r="F9" s="51">
        <f>Depreciación_VR!$F$9</f>
        <v>1214.5</v>
      </c>
      <c r="G9" s="51">
        <f>Depreciación_VR!$F$9</f>
        <v>1214.5</v>
      </c>
      <c r="H9" s="65">
        <f>Depreciación_VR!$F$9</f>
        <v>1214.5</v>
      </c>
    </row>
    <row r="10" spans="2:9" x14ac:dyDescent="0.2">
      <c r="C10" s="62" t="s">
        <v>98</v>
      </c>
      <c r="D10" s="59">
        <f>D6-D8-D9</f>
        <v>27474.5</v>
      </c>
      <c r="E10" s="59">
        <f>E6-E8-E9</f>
        <v>45945.5</v>
      </c>
      <c r="F10" s="59">
        <f>F6-F8-F9</f>
        <v>45945.5</v>
      </c>
      <c r="G10" s="59">
        <f>G6-G8-G9</f>
        <v>45945.5</v>
      </c>
      <c r="H10" s="66">
        <f>H6-H8-H9</f>
        <v>45945.5</v>
      </c>
    </row>
    <row r="11" spans="2:9" x14ac:dyDescent="0.2">
      <c r="C11" s="67" t="s">
        <v>99</v>
      </c>
      <c r="D11" s="9"/>
      <c r="E11" s="9"/>
      <c r="F11" s="9"/>
      <c r="G11" s="9"/>
      <c r="H11" s="63"/>
    </row>
    <row r="12" spans="2:9" x14ac:dyDescent="0.2">
      <c r="C12" s="67" t="s">
        <v>64</v>
      </c>
      <c r="D12" s="9">
        <f>Gastos_Operativos!$F$4*12</f>
        <v>17640</v>
      </c>
      <c r="E12" s="9">
        <f>Gastos_Operativos!$F$4*12</f>
        <v>17640</v>
      </c>
      <c r="F12" s="9">
        <f>Gastos_Operativos!$F$4*12</f>
        <v>17640</v>
      </c>
      <c r="G12" s="9">
        <f>Gastos_Operativos!$F$4*12</f>
        <v>17640</v>
      </c>
      <c r="H12" s="9">
        <f>Gastos_Operativos!$F$4*12</f>
        <v>17640</v>
      </c>
    </row>
    <row r="13" spans="2:9" x14ac:dyDescent="0.2">
      <c r="C13" s="67" t="s">
        <v>66</v>
      </c>
      <c r="D13" s="9">
        <f>Gastos_Operativos!$F$11*12</f>
        <v>11940</v>
      </c>
      <c r="E13" s="9">
        <f>Gastos_Operativos!$F$11*12</f>
        <v>11940</v>
      </c>
      <c r="F13" s="9">
        <f>Gastos_Operativos!$F$11*12</f>
        <v>11940</v>
      </c>
      <c r="G13" s="9">
        <f>Gastos_Operativos!$F$11*12</f>
        <v>11940</v>
      </c>
      <c r="H13" s="9">
        <f>Gastos_Operativos!$F$11*12</f>
        <v>11940</v>
      </c>
    </row>
    <row r="14" spans="2:9" x14ac:dyDescent="0.2">
      <c r="C14" s="67" t="s">
        <v>95</v>
      </c>
      <c r="D14" s="51">
        <f>Inversión_Inicial!$F$34/Resumen!$H$9</f>
        <v>291</v>
      </c>
      <c r="E14" s="51">
        <f>Inversión_Inicial!$F$34/Resumen!$H$9</f>
        <v>291</v>
      </c>
      <c r="F14" s="51">
        <f>Inversión_Inicial!$F$34/Resumen!$H$9</f>
        <v>291</v>
      </c>
      <c r="G14" s="51">
        <f>Inversión_Inicial!$F$34/Resumen!$H$9</f>
        <v>291</v>
      </c>
      <c r="H14" s="65">
        <f>Inversión_Inicial!$F$34/Resumen!$H$9</f>
        <v>291</v>
      </c>
    </row>
    <row r="15" spans="2:9" x14ac:dyDescent="0.2">
      <c r="C15" s="62" t="s">
        <v>100</v>
      </c>
      <c r="D15" s="59">
        <f>D10-D12-D13-D14</f>
        <v>-2396.5</v>
      </c>
      <c r="E15" s="59">
        <f>E10-E12-E13-E14</f>
        <v>16074.5</v>
      </c>
      <c r="F15" s="59">
        <f>F10-F12-F13-F14</f>
        <v>16074.5</v>
      </c>
      <c r="G15" s="59">
        <f>G10-G12-G13-G14</f>
        <v>16074.5</v>
      </c>
      <c r="H15" s="66">
        <f>H10-H12-H13-H14</f>
        <v>16074.5</v>
      </c>
    </row>
    <row r="16" spans="2:9" ht="13.5" thickBot="1" x14ac:dyDescent="0.25">
      <c r="C16" s="186" t="s">
        <v>194</v>
      </c>
      <c r="D16" s="182"/>
      <c r="E16" s="182">
        <f>(E15+D15)*Resumen!H11</f>
        <v>1367.8000000000002</v>
      </c>
      <c r="F16" s="182">
        <f>F15*Resumen!$H$11</f>
        <v>1607.45</v>
      </c>
      <c r="G16" s="182">
        <f>G15*Resumen!$H$11</f>
        <v>1607.45</v>
      </c>
      <c r="H16" s="182">
        <f>H15*Resumen!$H$11</f>
        <v>1607.45</v>
      </c>
    </row>
    <row r="17" spans="3:8" ht="13.5" thickBot="1" x14ac:dyDescent="0.25">
      <c r="C17" s="54" t="s">
        <v>101</v>
      </c>
      <c r="D17" s="55">
        <f>D15-D16</f>
        <v>-2396.5</v>
      </c>
      <c r="E17" s="55">
        <f>E15-E16</f>
        <v>14706.7</v>
      </c>
      <c r="F17" s="55">
        <f>F15-F16</f>
        <v>14467.05</v>
      </c>
      <c r="G17" s="55">
        <f>G15-G16</f>
        <v>14467.05</v>
      </c>
      <c r="H17" s="56">
        <f>H15-H16</f>
        <v>14467.05</v>
      </c>
    </row>
    <row r="18" spans="3:8" x14ac:dyDescent="0.2">
      <c r="C18" s="242" t="s">
        <v>195</v>
      </c>
    </row>
    <row r="20" spans="3:8" x14ac:dyDescent="0.2">
      <c r="C20" t="s">
        <v>196</v>
      </c>
      <c r="D20" s="60">
        <v>0.1</v>
      </c>
    </row>
  </sheetData>
  <mergeCells count="1">
    <mergeCell ref="C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workbookViewId="0">
      <selection activeCell="F7" sqref="F7"/>
    </sheetView>
  </sheetViews>
  <sheetFormatPr baseColWidth="10" defaultColWidth="11.5703125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4" spans="2:15" x14ac:dyDescent="0.2">
      <c r="B4" s="11" t="s">
        <v>13</v>
      </c>
    </row>
    <row r="5" spans="2:15" ht="13.5" thickBot="1" x14ac:dyDescent="0.25"/>
    <row r="6" spans="2:15" s="1" customFormat="1" ht="24.95" customHeight="1" thickBot="1" x14ac:dyDescent="0.25">
      <c r="B6" s="129" t="s">
        <v>71</v>
      </c>
      <c r="C6" s="130" t="s">
        <v>0</v>
      </c>
      <c r="D6" s="130" t="s">
        <v>1</v>
      </c>
      <c r="E6" s="130" t="s">
        <v>2</v>
      </c>
      <c r="F6" s="130" t="s">
        <v>3</v>
      </c>
      <c r="G6" s="130" t="s">
        <v>4</v>
      </c>
      <c r="H6" s="130" t="s">
        <v>5</v>
      </c>
      <c r="I6" s="130" t="s">
        <v>6</v>
      </c>
      <c r="J6" s="130" t="s">
        <v>7</v>
      </c>
      <c r="K6" s="130" t="s">
        <v>8</v>
      </c>
      <c r="L6" s="130" t="s">
        <v>9</v>
      </c>
      <c r="M6" s="130" t="s">
        <v>10</v>
      </c>
      <c r="N6" s="130" t="s">
        <v>11</v>
      </c>
      <c r="O6" s="131" t="s">
        <v>12</v>
      </c>
    </row>
    <row r="7" spans="2:15" s="1" customFormat="1" ht="15" customHeight="1" x14ac:dyDescent="0.2">
      <c r="B7" s="177">
        <v>1</v>
      </c>
      <c r="C7" s="4">
        <v>100</v>
      </c>
      <c r="D7" s="4">
        <v>200</v>
      </c>
      <c r="E7" s="4">
        <v>300</v>
      </c>
      <c r="F7" s="4">
        <v>400</v>
      </c>
      <c r="G7" s="4">
        <v>500</v>
      </c>
      <c r="H7" s="4">
        <v>600</v>
      </c>
      <c r="I7" s="4">
        <v>700</v>
      </c>
      <c r="J7" s="4">
        <v>800</v>
      </c>
      <c r="K7" s="4">
        <v>800</v>
      </c>
      <c r="L7" s="4">
        <v>900</v>
      </c>
      <c r="M7" s="4">
        <v>1000</v>
      </c>
      <c r="N7" s="4">
        <v>1000</v>
      </c>
      <c r="O7" s="5">
        <f>SUM(C7:N7)</f>
        <v>7300</v>
      </c>
    </row>
    <row r="8" spans="2:15" s="1" customFormat="1" ht="18.75" customHeight="1" x14ac:dyDescent="0.2">
      <c r="B8" s="84">
        <v>2</v>
      </c>
      <c r="C8" s="28">
        <v>1000</v>
      </c>
      <c r="D8" s="28">
        <v>1000</v>
      </c>
      <c r="E8" s="28">
        <v>1000</v>
      </c>
      <c r="F8" s="28">
        <v>1000</v>
      </c>
      <c r="G8" s="28">
        <v>1000</v>
      </c>
      <c r="H8" s="28">
        <v>1000</v>
      </c>
      <c r="I8" s="28">
        <v>1000</v>
      </c>
      <c r="J8" s="28">
        <v>1000</v>
      </c>
      <c r="K8" s="28">
        <v>1000</v>
      </c>
      <c r="L8" s="28">
        <v>1000</v>
      </c>
      <c r="M8" s="28">
        <v>1000</v>
      </c>
      <c r="N8" s="28">
        <v>1000</v>
      </c>
      <c r="O8" s="166">
        <f>SUM(C8:N8)</f>
        <v>12000</v>
      </c>
    </row>
    <row r="9" spans="2:15" x14ac:dyDescent="0.2">
      <c r="B9" s="84">
        <v>3</v>
      </c>
      <c r="C9" s="28">
        <v>1000</v>
      </c>
      <c r="D9" s="28">
        <v>1000</v>
      </c>
      <c r="E9" s="28">
        <v>1000</v>
      </c>
      <c r="F9" s="28">
        <v>1000</v>
      </c>
      <c r="G9" s="28">
        <v>1000</v>
      </c>
      <c r="H9" s="28">
        <v>1000</v>
      </c>
      <c r="I9" s="28">
        <v>1000</v>
      </c>
      <c r="J9" s="28">
        <v>1000</v>
      </c>
      <c r="K9" s="28">
        <v>1000</v>
      </c>
      <c r="L9" s="28">
        <v>1000</v>
      </c>
      <c r="M9" s="28">
        <v>1000</v>
      </c>
      <c r="N9" s="28">
        <v>1000</v>
      </c>
      <c r="O9" s="166">
        <f>SUM(C9:N9)</f>
        <v>12000</v>
      </c>
    </row>
    <row r="10" spans="2:15" x14ac:dyDescent="0.2">
      <c r="B10" s="84">
        <v>4</v>
      </c>
      <c r="C10" s="28">
        <v>1000</v>
      </c>
      <c r="D10" s="28">
        <v>1000</v>
      </c>
      <c r="E10" s="28">
        <v>1000</v>
      </c>
      <c r="F10" s="28">
        <v>1000</v>
      </c>
      <c r="G10" s="28">
        <v>1000</v>
      </c>
      <c r="H10" s="28">
        <v>1000</v>
      </c>
      <c r="I10" s="28">
        <v>1000</v>
      </c>
      <c r="J10" s="28">
        <v>1000</v>
      </c>
      <c r="K10" s="28">
        <v>1000</v>
      </c>
      <c r="L10" s="28">
        <v>1000</v>
      </c>
      <c r="M10" s="28">
        <v>1000</v>
      </c>
      <c r="N10" s="28">
        <v>1000</v>
      </c>
      <c r="O10" s="166">
        <f>SUM(C10:N10)</f>
        <v>12000</v>
      </c>
    </row>
    <row r="11" spans="2:15" ht="13.5" thickBot="1" x14ac:dyDescent="0.25">
      <c r="B11" s="178">
        <v>5</v>
      </c>
      <c r="C11" s="167">
        <v>1000</v>
      </c>
      <c r="D11" s="167">
        <v>1000</v>
      </c>
      <c r="E11" s="167">
        <v>1000</v>
      </c>
      <c r="F11" s="167">
        <v>1000</v>
      </c>
      <c r="G11" s="167">
        <v>1000</v>
      </c>
      <c r="H11" s="167">
        <v>1000</v>
      </c>
      <c r="I11" s="167">
        <v>1000</v>
      </c>
      <c r="J11" s="167">
        <v>1000</v>
      </c>
      <c r="K11" s="167">
        <v>1000</v>
      </c>
      <c r="L11" s="167">
        <v>1000</v>
      </c>
      <c r="M11" s="167">
        <v>1000</v>
      </c>
      <c r="N11" s="167">
        <v>1000</v>
      </c>
      <c r="O11" s="168">
        <f>SUM(C11:N11)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2"/>
  <sheetViews>
    <sheetView topLeftCell="B1" workbookViewId="0">
      <selection activeCell="I20" sqref="I20:I22"/>
    </sheetView>
  </sheetViews>
  <sheetFormatPr baseColWidth="10" defaultColWidth="11.5703125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5" spans="1:16" x14ac:dyDescent="0.2">
      <c r="B5" s="252" t="s">
        <v>161</v>
      </c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</row>
    <row r="6" spans="1:16" ht="13.5" thickBot="1" x14ac:dyDescent="0.25"/>
    <row r="7" spans="1:16" ht="24.95" customHeight="1" thickBot="1" x14ac:dyDescent="0.25">
      <c r="A7" s="29"/>
      <c r="B7" s="129" t="s">
        <v>71</v>
      </c>
      <c r="C7" s="130" t="s">
        <v>14</v>
      </c>
      <c r="D7" s="130" t="s">
        <v>0</v>
      </c>
      <c r="E7" s="130" t="s">
        <v>1</v>
      </c>
      <c r="F7" s="130" t="s">
        <v>2</v>
      </c>
      <c r="G7" s="130" t="s">
        <v>3</v>
      </c>
      <c r="H7" s="130" t="s">
        <v>4</v>
      </c>
      <c r="I7" s="130" t="s">
        <v>5</v>
      </c>
      <c r="J7" s="130" t="s">
        <v>6</v>
      </c>
      <c r="K7" s="130" t="s">
        <v>7</v>
      </c>
      <c r="L7" s="130" t="s">
        <v>8</v>
      </c>
      <c r="M7" s="130" t="s">
        <v>9</v>
      </c>
      <c r="N7" s="130" t="s">
        <v>10</v>
      </c>
      <c r="O7" s="130" t="s">
        <v>11</v>
      </c>
      <c r="P7" s="131" t="s">
        <v>12</v>
      </c>
    </row>
    <row r="8" spans="1:16" ht="15" customHeight="1" thickBot="1" x14ac:dyDescent="0.25">
      <c r="A8" s="3"/>
      <c r="B8" s="161">
        <v>1</v>
      </c>
      <c r="C8" s="162">
        <f>Resumen!$H$13</f>
        <v>12</v>
      </c>
      <c r="D8" s="162">
        <f>Ventas_Unidades!C7*$C$8</f>
        <v>1200</v>
      </c>
      <c r="E8" s="162">
        <f>Ventas_Unidades!D7*$C$8</f>
        <v>2400</v>
      </c>
      <c r="F8" s="162">
        <f>Ventas_Unidades!E7*$C$8</f>
        <v>3600</v>
      </c>
      <c r="G8" s="162">
        <f>Ventas_Unidades!F7*$C$8</f>
        <v>4800</v>
      </c>
      <c r="H8" s="162">
        <f>Ventas_Unidades!G7*$C$8</f>
        <v>6000</v>
      </c>
      <c r="I8" s="162">
        <f>Ventas_Unidades!H7*$C$8</f>
        <v>7200</v>
      </c>
      <c r="J8" s="162">
        <f>Ventas_Unidades!I7*$C$8</f>
        <v>8400</v>
      </c>
      <c r="K8" s="162">
        <f>Ventas_Unidades!J7*$C$8</f>
        <v>9600</v>
      </c>
      <c r="L8" s="162">
        <f>Ventas_Unidades!K7*$C$8</f>
        <v>9600</v>
      </c>
      <c r="M8" s="162">
        <f>Ventas_Unidades!L7*$C$8</f>
        <v>10800</v>
      </c>
      <c r="N8" s="162">
        <f>Ventas_Unidades!M7*$C$8</f>
        <v>12000</v>
      </c>
      <c r="O8" s="162">
        <f>Ventas_Unidades!N7*$C$8</f>
        <v>12000</v>
      </c>
      <c r="P8" s="163">
        <f>SUM(D8:O8)</f>
        <v>87600</v>
      </c>
    </row>
    <row r="9" spans="1:16" ht="15" customHeight="1" thickBot="1" x14ac:dyDescent="0.25">
      <c r="A9" s="3"/>
      <c r="B9" s="84">
        <v>2</v>
      </c>
      <c r="C9" s="162">
        <f>Resumen!$H$13</f>
        <v>12</v>
      </c>
      <c r="D9" s="48">
        <f>Ventas_Unidades!C8*$C$9</f>
        <v>12000</v>
      </c>
      <c r="E9" s="48">
        <f>Ventas_Unidades!D8*$C$9</f>
        <v>12000</v>
      </c>
      <c r="F9" s="48">
        <f>Ventas_Unidades!E8*$C$9</f>
        <v>12000</v>
      </c>
      <c r="G9" s="48">
        <f>Ventas_Unidades!F8*$C$9</f>
        <v>12000</v>
      </c>
      <c r="H9" s="48">
        <f>Ventas_Unidades!G8*$C$9</f>
        <v>12000</v>
      </c>
      <c r="I9" s="48">
        <f>Ventas_Unidades!H8*$C$9</f>
        <v>12000</v>
      </c>
      <c r="J9" s="48">
        <f>Ventas_Unidades!I8*$C$9</f>
        <v>12000</v>
      </c>
      <c r="K9" s="48">
        <f>Ventas_Unidades!J8*$C$9</f>
        <v>12000</v>
      </c>
      <c r="L9" s="48">
        <f>Ventas_Unidades!K8*$C$9</f>
        <v>12000</v>
      </c>
      <c r="M9" s="48">
        <f>Ventas_Unidades!L8*$C$9</f>
        <v>12000</v>
      </c>
      <c r="N9" s="48">
        <f>Ventas_Unidades!M8*$C$9</f>
        <v>12000</v>
      </c>
      <c r="O9" s="48">
        <f>Ventas_Unidades!N8*$C$9</f>
        <v>12000</v>
      </c>
      <c r="P9" s="83">
        <f>SUM(D9:O9)</f>
        <v>144000</v>
      </c>
    </row>
    <row r="10" spans="1:16" ht="15.75" customHeight="1" thickBot="1" x14ac:dyDescent="0.25">
      <c r="B10" s="84">
        <v>3</v>
      </c>
      <c r="C10" s="162">
        <f>Resumen!$H$13</f>
        <v>12</v>
      </c>
      <c r="D10" s="48">
        <f>Ventas_Unidades!C9*$C$10</f>
        <v>12000</v>
      </c>
      <c r="E10" s="48">
        <f>Ventas_Unidades!D9*$C$10</f>
        <v>12000</v>
      </c>
      <c r="F10" s="48">
        <f>Ventas_Unidades!E9*$C$10</f>
        <v>12000</v>
      </c>
      <c r="G10" s="48">
        <f>Ventas_Unidades!F9*$C$10</f>
        <v>12000</v>
      </c>
      <c r="H10" s="48">
        <f>Ventas_Unidades!G9*$C$10</f>
        <v>12000</v>
      </c>
      <c r="I10" s="48">
        <f>Ventas_Unidades!H9*$C$10</f>
        <v>12000</v>
      </c>
      <c r="J10" s="48">
        <f>Ventas_Unidades!I9*$C$10</f>
        <v>12000</v>
      </c>
      <c r="K10" s="48">
        <f>Ventas_Unidades!J9*$C$10</f>
        <v>12000</v>
      </c>
      <c r="L10" s="48">
        <f>Ventas_Unidades!K9*$C$10</f>
        <v>12000</v>
      </c>
      <c r="M10" s="48">
        <f>Ventas_Unidades!L9*$C$10</f>
        <v>12000</v>
      </c>
      <c r="N10" s="48">
        <f>Ventas_Unidades!M9*$C$10</f>
        <v>12000</v>
      </c>
      <c r="O10" s="48">
        <f>Ventas_Unidades!N9*$C$10</f>
        <v>12000</v>
      </c>
      <c r="P10" s="83">
        <f>SUM(D10:O10)</f>
        <v>144000</v>
      </c>
    </row>
    <row r="11" spans="1:16" ht="13.5" thickBot="1" x14ac:dyDescent="0.25">
      <c r="B11" s="164">
        <v>4</v>
      </c>
      <c r="C11" s="162">
        <f>Resumen!$H$13</f>
        <v>12</v>
      </c>
      <c r="D11" s="48">
        <f>Ventas_Unidades!C10*$C$11</f>
        <v>12000</v>
      </c>
      <c r="E11" s="48">
        <f>Ventas_Unidades!D10*$C$11</f>
        <v>12000</v>
      </c>
      <c r="F11" s="48">
        <f>Ventas_Unidades!E10*$C$11</f>
        <v>12000</v>
      </c>
      <c r="G11" s="48">
        <f>Ventas_Unidades!F10*$C$11</f>
        <v>12000</v>
      </c>
      <c r="H11" s="48">
        <f>Ventas_Unidades!G10*$C$11</f>
        <v>12000</v>
      </c>
      <c r="I11" s="48">
        <f>Ventas_Unidades!H10*$C$11</f>
        <v>12000</v>
      </c>
      <c r="J11" s="48">
        <f>Ventas_Unidades!I10*$C$11</f>
        <v>12000</v>
      </c>
      <c r="K11" s="48">
        <f>Ventas_Unidades!J10*$C$11</f>
        <v>12000</v>
      </c>
      <c r="L11" s="48">
        <f>Ventas_Unidades!K10*$C$11</f>
        <v>12000</v>
      </c>
      <c r="M11" s="48">
        <f>Ventas_Unidades!L10*$C$11</f>
        <v>12000</v>
      </c>
      <c r="N11" s="48">
        <f>Ventas_Unidades!M10*$C$11</f>
        <v>12000</v>
      </c>
      <c r="O11" s="48">
        <f>Ventas_Unidades!N10*$C$11</f>
        <v>12000</v>
      </c>
      <c r="P11" s="83">
        <f>SUM(D11:O11)</f>
        <v>144000</v>
      </c>
    </row>
    <row r="12" spans="1:16" ht="13.5" thickBot="1" x14ac:dyDescent="0.25">
      <c r="B12" s="165">
        <v>5</v>
      </c>
      <c r="C12" s="162">
        <f>Resumen!$H$13</f>
        <v>12</v>
      </c>
      <c r="D12" s="48">
        <f>Ventas_Unidades!C11*$C$12</f>
        <v>12000</v>
      </c>
      <c r="E12" s="48">
        <f>Ventas_Unidades!D11*$C$12</f>
        <v>12000</v>
      </c>
      <c r="F12" s="48">
        <f>Ventas_Unidades!E11*$C$12</f>
        <v>12000</v>
      </c>
      <c r="G12" s="48">
        <f>Ventas_Unidades!F11*$C$12</f>
        <v>12000</v>
      </c>
      <c r="H12" s="48">
        <f>Ventas_Unidades!G11*$C$12</f>
        <v>12000</v>
      </c>
      <c r="I12" s="48">
        <f>Ventas_Unidades!H11*$C$12</f>
        <v>12000</v>
      </c>
      <c r="J12" s="48">
        <f>Ventas_Unidades!I11*$C$12</f>
        <v>12000</v>
      </c>
      <c r="K12" s="48">
        <f>Ventas_Unidades!J11*$C$12</f>
        <v>12000</v>
      </c>
      <c r="L12" s="48">
        <f>Ventas_Unidades!K11*$C$12</f>
        <v>12000</v>
      </c>
      <c r="M12" s="48">
        <f>Ventas_Unidades!L11*$C$12</f>
        <v>12000</v>
      </c>
      <c r="N12" s="48">
        <f>Ventas_Unidades!M11*$C$12</f>
        <v>12000</v>
      </c>
      <c r="O12" s="48">
        <f>Ventas_Unidades!N11*$C$12</f>
        <v>12000</v>
      </c>
      <c r="P12" s="83">
        <f>SUM(D12:O12)</f>
        <v>144000</v>
      </c>
    </row>
  </sheetData>
  <mergeCells count="1">
    <mergeCell ref="B5:P5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opLeftCell="B36" zoomScale="130" zoomScaleNormal="130" workbookViewId="0">
      <selection activeCell="H40" sqref="H40"/>
    </sheetView>
  </sheetViews>
  <sheetFormatPr baseColWidth="10" defaultColWidth="11.5703125" defaultRowHeight="12.75" x14ac:dyDescent="0.2"/>
  <cols>
    <col min="1" max="1" width="4.5703125" customWidth="1"/>
    <col min="2" max="2" width="27.42578125" customWidth="1"/>
    <col min="3" max="3" width="9" style="22" customWidth="1"/>
    <col min="4" max="5" width="11.5703125" customWidth="1"/>
    <col min="6" max="6" width="8.28515625" customWidth="1"/>
    <col min="7" max="7" width="5.85546875" customWidth="1"/>
    <col min="8" max="8" width="27.7109375" customWidth="1"/>
    <col min="9" max="9" width="9.7109375" customWidth="1"/>
    <col min="10" max="11" width="10.28515625" customWidth="1"/>
  </cols>
  <sheetData>
    <row r="1" spans="2:12" x14ac:dyDescent="0.2">
      <c r="B1" s="253" t="s">
        <v>162</v>
      </c>
      <c r="C1" s="253"/>
      <c r="D1" s="253"/>
      <c r="E1" s="253"/>
      <c r="F1" s="253"/>
      <c r="G1" s="6"/>
      <c r="H1" s="253" t="s">
        <v>162</v>
      </c>
      <c r="I1" s="253"/>
      <c r="J1" s="253"/>
      <c r="K1" s="253"/>
      <c r="L1" s="253"/>
    </row>
    <row r="2" spans="2:12" ht="13.5" thickBot="1" x14ac:dyDescent="0.25">
      <c r="B2" s="6"/>
      <c r="C2" s="16"/>
      <c r="D2" s="6"/>
      <c r="E2" s="6"/>
      <c r="F2" s="6"/>
      <c r="G2" s="6"/>
      <c r="H2" s="6"/>
      <c r="I2" s="16"/>
      <c r="J2" s="6"/>
      <c r="K2" s="6"/>
      <c r="L2" s="6"/>
    </row>
    <row r="3" spans="2:12" s="2" customFormat="1" ht="25.5" customHeight="1" thickBot="1" x14ac:dyDescent="0.25">
      <c r="B3" s="116" t="s">
        <v>15</v>
      </c>
      <c r="C3" s="117" t="s">
        <v>16</v>
      </c>
      <c r="D3" s="117" t="s">
        <v>17</v>
      </c>
      <c r="E3" s="117" t="s">
        <v>109</v>
      </c>
      <c r="F3" s="118" t="s">
        <v>18</v>
      </c>
      <c r="G3" s="7"/>
      <c r="H3" s="116" t="s">
        <v>15</v>
      </c>
      <c r="I3" s="117" t="s">
        <v>16</v>
      </c>
      <c r="J3" s="117" t="s">
        <v>17</v>
      </c>
      <c r="K3" s="117" t="s">
        <v>109</v>
      </c>
      <c r="L3" s="118" t="s">
        <v>18</v>
      </c>
    </row>
    <row r="4" spans="2:12" s="2" customFormat="1" ht="12.75" hidden="1" customHeight="1" thickBot="1" x14ac:dyDescent="0.25">
      <c r="B4" s="41" t="s">
        <v>78</v>
      </c>
      <c r="C4" s="45"/>
      <c r="D4" s="46"/>
      <c r="E4" s="46"/>
      <c r="F4" s="47">
        <f>F29+F34</f>
        <v>10492</v>
      </c>
      <c r="G4" s="7"/>
      <c r="H4" s="41" t="s">
        <v>78</v>
      </c>
      <c r="I4" s="45"/>
      <c r="J4" s="46"/>
      <c r="K4" s="46"/>
      <c r="L4" s="47">
        <f>L29+L34</f>
        <v>10492</v>
      </c>
    </row>
    <row r="5" spans="2:12" ht="12.75" hidden="1" customHeight="1" thickBot="1" x14ac:dyDescent="0.25">
      <c r="B5" s="93" t="s">
        <v>79</v>
      </c>
      <c r="C5" s="94"/>
      <c r="D5" s="95"/>
      <c r="E5" s="95"/>
      <c r="F5" s="96"/>
      <c r="H5" s="93" t="s">
        <v>79</v>
      </c>
      <c r="I5" s="94"/>
      <c r="J5" s="95"/>
      <c r="K5" s="95"/>
      <c r="L5" s="96"/>
    </row>
    <row r="6" spans="2:12" ht="13.5" customHeight="1" thickBot="1" x14ac:dyDescent="0.25">
      <c r="B6" s="101" t="s">
        <v>34</v>
      </c>
      <c r="C6" s="102"/>
      <c r="D6" s="103"/>
      <c r="E6" s="112"/>
      <c r="F6" s="114">
        <f>SUM(F7:F9)</f>
        <v>7000</v>
      </c>
      <c r="H6" s="101" t="s">
        <v>34</v>
      </c>
      <c r="I6" s="102"/>
      <c r="J6" s="103"/>
      <c r="K6" s="112"/>
      <c r="L6" s="114">
        <f>SUM(L7:L9)</f>
        <v>7000</v>
      </c>
    </row>
    <row r="7" spans="2:12" ht="11.25" customHeight="1" x14ac:dyDescent="0.2">
      <c r="B7" s="104" t="s">
        <v>35</v>
      </c>
      <c r="C7" s="82">
        <v>5000</v>
      </c>
      <c r="D7" s="81">
        <v>1</v>
      </c>
      <c r="E7" s="81" t="s">
        <v>110</v>
      </c>
      <c r="F7" s="113">
        <f>C7*D7</f>
        <v>5000</v>
      </c>
      <c r="H7" s="104" t="s">
        <v>35</v>
      </c>
      <c r="I7" s="82">
        <v>5000</v>
      </c>
      <c r="J7" s="81">
        <v>1</v>
      </c>
      <c r="K7" s="81" t="s">
        <v>110</v>
      </c>
      <c r="L7" s="113">
        <f>I7*J7</f>
        <v>5000</v>
      </c>
    </row>
    <row r="8" spans="2:12" ht="11.25" customHeight="1" x14ac:dyDescent="0.2">
      <c r="B8" s="104" t="s">
        <v>36</v>
      </c>
      <c r="C8" s="82">
        <v>1000</v>
      </c>
      <c r="D8" s="81">
        <v>1</v>
      </c>
      <c r="E8" s="81" t="s">
        <v>27</v>
      </c>
      <c r="F8" s="105">
        <f>C8*D8</f>
        <v>1000</v>
      </c>
      <c r="H8" s="104" t="s">
        <v>36</v>
      </c>
      <c r="I8" s="82">
        <v>1000</v>
      </c>
      <c r="J8" s="81">
        <v>1</v>
      </c>
      <c r="K8" s="81" t="s">
        <v>27</v>
      </c>
      <c r="L8" s="105">
        <f>I8*J8</f>
        <v>1000</v>
      </c>
    </row>
    <row r="9" spans="2:12" ht="10.5" customHeight="1" x14ac:dyDescent="0.2">
      <c r="B9" s="104" t="s">
        <v>37</v>
      </c>
      <c r="C9" s="82">
        <v>1000</v>
      </c>
      <c r="D9" s="81">
        <v>1</v>
      </c>
      <c r="E9" s="81" t="s">
        <v>27</v>
      </c>
      <c r="F9" s="105">
        <f>C9*D9</f>
        <v>1000</v>
      </c>
      <c r="H9" s="104" t="s">
        <v>37</v>
      </c>
      <c r="I9" s="82">
        <v>1000</v>
      </c>
      <c r="J9" s="81">
        <v>1</v>
      </c>
      <c r="K9" s="81" t="s">
        <v>27</v>
      </c>
      <c r="L9" s="105">
        <f>I9*J9</f>
        <v>1000</v>
      </c>
    </row>
    <row r="10" spans="2:12" ht="12.75" customHeight="1" x14ac:dyDescent="0.2">
      <c r="B10" s="106" t="s">
        <v>19</v>
      </c>
      <c r="C10" s="82"/>
      <c r="D10" s="81"/>
      <c r="E10" s="81"/>
      <c r="F10" s="115">
        <f>SUM(F11:F13)</f>
        <v>590</v>
      </c>
      <c r="H10" s="106" t="s">
        <v>19</v>
      </c>
      <c r="I10" s="82"/>
      <c r="J10" s="81"/>
      <c r="K10" s="81"/>
      <c r="L10" s="115">
        <f>SUM(L11:L13)</f>
        <v>590</v>
      </c>
    </row>
    <row r="11" spans="2:12" ht="12" customHeight="1" x14ac:dyDescent="0.2">
      <c r="B11" s="104" t="s">
        <v>28</v>
      </c>
      <c r="C11" s="82">
        <v>50</v>
      </c>
      <c r="D11" s="81">
        <v>1</v>
      </c>
      <c r="E11" s="81" t="s">
        <v>27</v>
      </c>
      <c r="F11" s="105">
        <f>C11*D11</f>
        <v>50</v>
      </c>
      <c r="H11" s="104" t="s">
        <v>28</v>
      </c>
      <c r="I11" s="82">
        <v>50</v>
      </c>
      <c r="J11" s="81">
        <v>1</v>
      </c>
      <c r="K11" s="81" t="s">
        <v>27</v>
      </c>
      <c r="L11" s="105">
        <f>I11*J11</f>
        <v>50</v>
      </c>
    </row>
    <row r="12" spans="2:12" ht="13.5" customHeight="1" x14ac:dyDescent="0.2">
      <c r="B12" s="104" t="s">
        <v>38</v>
      </c>
      <c r="C12" s="82">
        <v>40</v>
      </c>
      <c r="D12" s="81">
        <v>1</v>
      </c>
      <c r="E12" s="81" t="s">
        <v>27</v>
      </c>
      <c r="F12" s="105">
        <f>C12*D12</f>
        <v>40</v>
      </c>
      <c r="H12" s="104" t="s">
        <v>38</v>
      </c>
      <c r="I12" s="82">
        <v>40</v>
      </c>
      <c r="J12" s="81">
        <v>1</v>
      </c>
      <c r="K12" s="81" t="s">
        <v>27</v>
      </c>
      <c r="L12" s="105">
        <f>I12*J12</f>
        <v>40</v>
      </c>
    </row>
    <row r="13" spans="2:12" ht="11.25" customHeight="1" x14ac:dyDescent="0.2">
      <c r="B13" s="104" t="s">
        <v>39</v>
      </c>
      <c r="C13" s="82">
        <v>500</v>
      </c>
      <c r="D13" s="81">
        <v>1</v>
      </c>
      <c r="E13" s="81" t="s">
        <v>27</v>
      </c>
      <c r="F13" s="105">
        <f>C13*D13</f>
        <v>500</v>
      </c>
      <c r="H13" s="104" t="s">
        <v>39</v>
      </c>
      <c r="I13" s="82">
        <v>500</v>
      </c>
      <c r="J13" s="81">
        <v>1</v>
      </c>
      <c r="K13" s="81" t="s">
        <v>27</v>
      </c>
      <c r="L13" s="105">
        <f>I13*J13</f>
        <v>500</v>
      </c>
    </row>
    <row r="14" spans="2:12" ht="12" customHeight="1" x14ac:dyDescent="0.2">
      <c r="B14" s="106" t="s">
        <v>143</v>
      </c>
      <c r="C14" s="82"/>
      <c r="D14" s="81"/>
      <c r="E14" s="81"/>
      <c r="F14" s="115">
        <f>SUM(F15:F23)</f>
        <v>357</v>
      </c>
      <c r="H14" s="106" t="s">
        <v>143</v>
      </c>
      <c r="I14" s="82"/>
      <c r="J14" s="81"/>
      <c r="K14" s="81"/>
      <c r="L14" s="115">
        <f>SUM(L15:L23)</f>
        <v>357</v>
      </c>
    </row>
    <row r="15" spans="2:12" ht="12" customHeight="1" x14ac:dyDescent="0.2">
      <c r="B15" s="104" t="s">
        <v>40</v>
      </c>
      <c r="C15" s="82">
        <v>15</v>
      </c>
      <c r="D15" s="81">
        <v>2</v>
      </c>
      <c r="E15" s="81" t="s">
        <v>27</v>
      </c>
      <c r="F15" s="105">
        <f t="shared" ref="F15:F23" si="0">C15*D15</f>
        <v>30</v>
      </c>
      <c r="H15" s="104" t="s">
        <v>40</v>
      </c>
      <c r="I15" s="82">
        <v>15</v>
      </c>
      <c r="J15" s="81">
        <v>2</v>
      </c>
      <c r="K15" s="81" t="s">
        <v>27</v>
      </c>
      <c r="L15" s="105">
        <f t="shared" ref="L15:L23" si="1">I15*J15</f>
        <v>30</v>
      </c>
    </row>
    <row r="16" spans="2:12" ht="13.5" customHeight="1" x14ac:dyDescent="0.2">
      <c r="B16" s="104" t="s">
        <v>41</v>
      </c>
      <c r="C16" s="82">
        <v>10</v>
      </c>
      <c r="D16" s="81">
        <v>2</v>
      </c>
      <c r="E16" s="81" t="s">
        <v>27</v>
      </c>
      <c r="F16" s="105">
        <f t="shared" si="0"/>
        <v>20</v>
      </c>
      <c r="H16" s="104" t="s">
        <v>41</v>
      </c>
      <c r="I16" s="82">
        <v>10</v>
      </c>
      <c r="J16" s="81">
        <v>2</v>
      </c>
      <c r="K16" s="81" t="s">
        <v>27</v>
      </c>
      <c r="L16" s="105">
        <f t="shared" si="1"/>
        <v>20</v>
      </c>
    </row>
    <row r="17" spans="2:12" ht="11.25" customHeight="1" x14ac:dyDescent="0.2">
      <c r="B17" s="104" t="s">
        <v>42</v>
      </c>
      <c r="C17" s="82">
        <v>5</v>
      </c>
      <c r="D17" s="81">
        <v>3</v>
      </c>
      <c r="E17" s="81" t="s">
        <v>27</v>
      </c>
      <c r="F17" s="105">
        <f t="shared" si="0"/>
        <v>15</v>
      </c>
      <c r="H17" s="104" t="s">
        <v>42</v>
      </c>
      <c r="I17" s="82">
        <v>5</v>
      </c>
      <c r="J17" s="81">
        <v>3</v>
      </c>
      <c r="K17" s="81" t="s">
        <v>27</v>
      </c>
      <c r="L17" s="105">
        <f t="shared" si="1"/>
        <v>15</v>
      </c>
    </row>
    <row r="18" spans="2:12" ht="10.5" customHeight="1" x14ac:dyDescent="0.2">
      <c r="B18" s="104" t="s">
        <v>43</v>
      </c>
      <c r="C18" s="82">
        <v>10</v>
      </c>
      <c r="D18" s="81">
        <v>2</v>
      </c>
      <c r="E18" s="81" t="s">
        <v>27</v>
      </c>
      <c r="F18" s="105">
        <f t="shared" si="0"/>
        <v>20</v>
      </c>
      <c r="H18" s="104" t="s">
        <v>43</v>
      </c>
      <c r="I18" s="82">
        <v>10</v>
      </c>
      <c r="J18" s="81">
        <v>2</v>
      </c>
      <c r="K18" s="81" t="s">
        <v>27</v>
      </c>
      <c r="L18" s="105">
        <f t="shared" si="1"/>
        <v>20</v>
      </c>
    </row>
    <row r="19" spans="2:12" ht="13.5" customHeight="1" x14ac:dyDescent="0.2">
      <c r="B19" s="104" t="s">
        <v>44</v>
      </c>
      <c r="C19" s="82">
        <v>50</v>
      </c>
      <c r="D19" s="81">
        <v>4</v>
      </c>
      <c r="E19" s="81" t="s">
        <v>27</v>
      </c>
      <c r="F19" s="105">
        <f t="shared" si="0"/>
        <v>200</v>
      </c>
      <c r="H19" s="104" t="s">
        <v>44</v>
      </c>
      <c r="I19" s="82">
        <v>50</v>
      </c>
      <c r="J19" s="81">
        <v>4</v>
      </c>
      <c r="K19" s="81" t="s">
        <v>27</v>
      </c>
      <c r="L19" s="105">
        <f t="shared" si="1"/>
        <v>200</v>
      </c>
    </row>
    <row r="20" spans="2:12" ht="11.25" customHeight="1" x14ac:dyDescent="0.2">
      <c r="B20" s="104" t="s">
        <v>45</v>
      </c>
      <c r="C20" s="82">
        <v>15</v>
      </c>
      <c r="D20" s="81">
        <v>1</v>
      </c>
      <c r="E20" s="81" t="s">
        <v>27</v>
      </c>
      <c r="F20" s="105">
        <f t="shared" si="0"/>
        <v>15</v>
      </c>
      <c r="H20" s="104" t="s">
        <v>45</v>
      </c>
      <c r="I20" s="82">
        <v>15</v>
      </c>
      <c r="J20" s="81">
        <v>1</v>
      </c>
      <c r="K20" s="81" t="s">
        <v>27</v>
      </c>
      <c r="L20" s="105">
        <f t="shared" si="1"/>
        <v>15</v>
      </c>
    </row>
    <row r="21" spans="2:12" ht="12.75" customHeight="1" x14ac:dyDescent="0.2">
      <c r="B21" s="104" t="s">
        <v>46</v>
      </c>
      <c r="C21" s="82">
        <v>2</v>
      </c>
      <c r="D21" s="81">
        <v>3</v>
      </c>
      <c r="E21" s="81" t="s">
        <v>27</v>
      </c>
      <c r="F21" s="105">
        <f t="shared" si="0"/>
        <v>6</v>
      </c>
      <c r="H21" s="104" t="s">
        <v>46</v>
      </c>
      <c r="I21" s="82">
        <v>2</v>
      </c>
      <c r="J21" s="81">
        <v>3</v>
      </c>
      <c r="K21" s="81" t="s">
        <v>27</v>
      </c>
      <c r="L21" s="105">
        <f t="shared" si="1"/>
        <v>6</v>
      </c>
    </row>
    <row r="22" spans="2:12" ht="11.25" customHeight="1" x14ac:dyDescent="0.2">
      <c r="B22" s="104" t="s">
        <v>47</v>
      </c>
      <c r="C22" s="82">
        <v>12</v>
      </c>
      <c r="D22" s="81">
        <v>3</v>
      </c>
      <c r="E22" s="81" t="s">
        <v>27</v>
      </c>
      <c r="F22" s="105">
        <f t="shared" si="0"/>
        <v>36</v>
      </c>
      <c r="H22" s="104" t="s">
        <v>47</v>
      </c>
      <c r="I22" s="82">
        <v>12</v>
      </c>
      <c r="J22" s="81">
        <v>3</v>
      </c>
      <c r="K22" s="81" t="s">
        <v>27</v>
      </c>
      <c r="L22" s="105">
        <f t="shared" si="1"/>
        <v>36</v>
      </c>
    </row>
    <row r="23" spans="2:12" ht="10.5" customHeight="1" x14ac:dyDescent="0.2">
      <c r="B23" s="104" t="s">
        <v>48</v>
      </c>
      <c r="C23" s="82">
        <v>5</v>
      </c>
      <c r="D23" s="81">
        <v>3</v>
      </c>
      <c r="E23" s="81" t="s">
        <v>27</v>
      </c>
      <c r="F23" s="105">
        <f t="shared" si="0"/>
        <v>15</v>
      </c>
      <c r="H23" s="104" t="s">
        <v>48</v>
      </c>
      <c r="I23" s="82">
        <v>5</v>
      </c>
      <c r="J23" s="81">
        <v>3</v>
      </c>
      <c r="K23" s="81" t="s">
        <v>27</v>
      </c>
      <c r="L23" s="105">
        <f t="shared" si="1"/>
        <v>15</v>
      </c>
    </row>
    <row r="24" spans="2:12" x14ac:dyDescent="0.2">
      <c r="B24" s="106" t="s">
        <v>21</v>
      </c>
      <c r="C24" s="82"/>
      <c r="D24" s="81"/>
      <c r="E24" s="81"/>
      <c r="F24" s="115">
        <f>SUM(F25:F28)</f>
        <v>1090</v>
      </c>
      <c r="H24" s="106" t="s">
        <v>21</v>
      </c>
      <c r="I24" s="82"/>
      <c r="J24" s="81"/>
      <c r="K24" s="81"/>
      <c r="L24" s="115">
        <f>SUM(L25:L28)</f>
        <v>1090</v>
      </c>
    </row>
    <row r="25" spans="2:12" ht="11.25" customHeight="1" x14ac:dyDescent="0.2">
      <c r="B25" s="35" t="s">
        <v>22</v>
      </c>
      <c r="C25" s="21">
        <v>70</v>
      </c>
      <c r="D25" s="10">
        <v>1</v>
      </c>
      <c r="E25" s="26" t="s">
        <v>27</v>
      </c>
      <c r="F25" s="36">
        <f>C25*D25</f>
        <v>70</v>
      </c>
      <c r="H25" s="35" t="s">
        <v>22</v>
      </c>
      <c r="I25" s="21">
        <v>70</v>
      </c>
      <c r="J25" s="10">
        <v>1</v>
      </c>
      <c r="K25" s="26" t="s">
        <v>27</v>
      </c>
      <c r="L25" s="36">
        <f>I25*J25</f>
        <v>70</v>
      </c>
    </row>
    <row r="26" spans="2:12" ht="13.5" customHeight="1" x14ac:dyDescent="0.2">
      <c r="B26" s="35" t="s">
        <v>49</v>
      </c>
      <c r="C26" s="21">
        <v>20</v>
      </c>
      <c r="D26" s="10">
        <v>6</v>
      </c>
      <c r="E26" s="26" t="s">
        <v>27</v>
      </c>
      <c r="F26" s="36">
        <f>C26*D26</f>
        <v>120</v>
      </c>
      <c r="H26" s="35" t="s">
        <v>49</v>
      </c>
      <c r="I26" s="21">
        <v>20</v>
      </c>
      <c r="J26" s="10">
        <v>6</v>
      </c>
      <c r="K26" s="26" t="s">
        <v>27</v>
      </c>
      <c r="L26" s="36">
        <f>I26*J26</f>
        <v>120</v>
      </c>
    </row>
    <row r="27" spans="2:12" ht="12" customHeight="1" x14ac:dyDescent="0.2">
      <c r="B27" s="37" t="s">
        <v>23</v>
      </c>
      <c r="C27" s="21">
        <v>250</v>
      </c>
      <c r="D27" s="10">
        <v>2</v>
      </c>
      <c r="E27" s="26" t="s">
        <v>27</v>
      </c>
      <c r="F27" s="36">
        <f>C27*D27</f>
        <v>500</v>
      </c>
      <c r="H27" s="37" t="s">
        <v>23</v>
      </c>
      <c r="I27" s="21">
        <v>250</v>
      </c>
      <c r="J27" s="10">
        <v>2</v>
      </c>
      <c r="K27" s="26" t="s">
        <v>27</v>
      </c>
      <c r="L27" s="36">
        <f>I27*J27</f>
        <v>500</v>
      </c>
    </row>
    <row r="28" spans="2:12" ht="15.75" customHeight="1" thickBot="1" x14ac:dyDescent="0.25">
      <c r="B28" s="107" t="s">
        <v>29</v>
      </c>
      <c r="C28" s="108">
        <v>200</v>
      </c>
      <c r="D28" s="109">
        <v>2</v>
      </c>
      <c r="E28" s="110" t="s">
        <v>27</v>
      </c>
      <c r="F28" s="111">
        <f>C28*D28</f>
        <v>400</v>
      </c>
      <c r="H28" s="107" t="s">
        <v>29</v>
      </c>
      <c r="I28" s="108">
        <v>200</v>
      </c>
      <c r="J28" s="109">
        <v>2</v>
      </c>
      <c r="K28" s="110" t="s">
        <v>27</v>
      </c>
      <c r="L28" s="111">
        <f>I28*J28</f>
        <v>400</v>
      </c>
    </row>
    <row r="29" spans="2:12" ht="18" customHeight="1" x14ac:dyDescent="0.2">
      <c r="B29" s="97" t="s">
        <v>85</v>
      </c>
      <c r="C29" s="98"/>
      <c r="D29" s="99"/>
      <c r="E29" s="99"/>
      <c r="F29" s="100">
        <f>+F24+F14+F10+F6</f>
        <v>9037</v>
      </c>
      <c r="H29" s="97" t="s">
        <v>85</v>
      </c>
      <c r="I29" s="98"/>
      <c r="J29" s="99"/>
      <c r="K29" s="99"/>
      <c r="L29" s="100">
        <f>+L24+L14+L10+L6</f>
        <v>9037</v>
      </c>
    </row>
    <row r="30" spans="2:12" ht="16.5" customHeight="1" x14ac:dyDescent="0.2">
      <c r="B30" s="32" t="s">
        <v>136</v>
      </c>
      <c r="C30" s="19"/>
      <c r="D30" s="14"/>
      <c r="E30" s="14"/>
      <c r="F30" s="38"/>
      <c r="H30" s="32" t="s">
        <v>136</v>
      </c>
      <c r="I30" s="19"/>
      <c r="J30" s="14"/>
      <c r="K30" s="14"/>
      <c r="L30" s="38"/>
    </row>
    <row r="31" spans="2:12" x14ac:dyDescent="0.2">
      <c r="B31" s="39" t="s">
        <v>87</v>
      </c>
      <c r="C31" s="20">
        <v>420</v>
      </c>
      <c r="D31" s="13">
        <v>1</v>
      </c>
      <c r="E31" s="25" t="s">
        <v>111</v>
      </c>
      <c r="F31" s="40">
        <f>C31*D31</f>
        <v>420</v>
      </c>
      <c r="H31" s="39" t="s">
        <v>87</v>
      </c>
      <c r="I31" s="20">
        <v>420</v>
      </c>
      <c r="J31" s="13">
        <v>1</v>
      </c>
      <c r="K31" s="25" t="s">
        <v>111</v>
      </c>
      <c r="L31" s="40">
        <f>I31*J31</f>
        <v>420</v>
      </c>
    </row>
    <row r="32" spans="2:12" x14ac:dyDescent="0.2">
      <c r="B32" s="35" t="s">
        <v>30</v>
      </c>
      <c r="C32" s="18">
        <v>15</v>
      </c>
      <c r="D32" s="10">
        <v>1</v>
      </c>
      <c r="E32" s="26" t="s">
        <v>111</v>
      </c>
      <c r="F32" s="40">
        <f>C32*D32</f>
        <v>15</v>
      </c>
      <c r="H32" s="35" t="s">
        <v>30</v>
      </c>
      <c r="I32" s="18">
        <v>15</v>
      </c>
      <c r="J32" s="10">
        <v>1</v>
      </c>
      <c r="K32" s="26" t="s">
        <v>111</v>
      </c>
      <c r="L32" s="40">
        <f>I32*J32</f>
        <v>15</v>
      </c>
    </row>
    <row r="33" spans="2:12" ht="15" customHeight="1" thickBot="1" x14ac:dyDescent="0.25">
      <c r="B33" s="107" t="s">
        <v>86</v>
      </c>
      <c r="C33" s="127">
        <v>1020</v>
      </c>
      <c r="D33" s="109">
        <v>1</v>
      </c>
      <c r="E33" s="110" t="s">
        <v>111</v>
      </c>
      <c r="F33" s="128">
        <f>C33*D33</f>
        <v>1020</v>
      </c>
      <c r="H33" s="107" t="s">
        <v>86</v>
      </c>
      <c r="I33" s="127">
        <v>1020</v>
      </c>
      <c r="J33" s="109">
        <v>1</v>
      </c>
      <c r="K33" s="110" t="s">
        <v>111</v>
      </c>
      <c r="L33" s="128">
        <f>I33*J33</f>
        <v>1020</v>
      </c>
    </row>
    <row r="34" spans="2:12" ht="15" customHeight="1" x14ac:dyDescent="0.2">
      <c r="B34" s="123" t="s">
        <v>77</v>
      </c>
      <c r="C34" s="124"/>
      <c r="D34" s="125"/>
      <c r="E34" s="125"/>
      <c r="F34" s="126">
        <f>SUM(F31:F33)</f>
        <v>1455</v>
      </c>
      <c r="H34" s="123" t="s">
        <v>77</v>
      </c>
      <c r="I34" s="124"/>
      <c r="J34" s="125"/>
      <c r="K34" s="125"/>
      <c r="L34" s="126">
        <f>SUM(L31:L33)</f>
        <v>1455</v>
      </c>
    </row>
    <row r="35" spans="2:12" ht="15.75" customHeight="1" x14ac:dyDescent="0.2">
      <c r="B35" s="33" t="s">
        <v>88</v>
      </c>
      <c r="C35" s="17"/>
      <c r="D35" s="12"/>
      <c r="E35" s="12"/>
      <c r="F35" s="34"/>
      <c r="H35" s="33" t="s">
        <v>167</v>
      </c>
      <c r="I35" s="17"/>
      <c r="J35" s="12"/>
      <c r="K35" s="12"/>
      <c r="L35" s="34"/>
    </row>
    <row r="36" spans="2:12" x14ac:dyDescent="0.2">
      <c r="B36" s="41" t="s">
        <v>26</v>
      </c>
      <c r="C36" s="23"/>
      <c r="D36" s="15"/>
      <c r="E36" s="15"/>
      <c r="F36" s="42">
        <f>F37+F38+F39+F40</f>
        <v>207</v>
      </c>
      <c r="H36" s="41" t="s">
        <v>189</v>
      </c>
      <c r="I36" s="23"/>
      <c r="J36" s="15"/>
      <c r="K36" s="15"/>
      <c r="L36" s="42">
        <f>'KW_Año 1'!P14</f>
        <v>7263</v>
      </c>
    </row>
    <row r="37" spans="2:12" ht="10.5" customHeight="1" x14ac:dyDescent="0.2">
      <c r="B37" s="80" t="s">
        <v>50</v>
      </c>
      <c r="C37" s="23">
        <v>3.5</v>
      </c>
      <c r="D37" s="15">
        <v>30</v>
      </c>
      <c r="E37" s="79" t="s">
        <v>112</v>
      </c>
      <c r="F37" s="36">
        <f t="shared" ref="F37:F44" si="2">C37*D37</f>
        <v>105</v>
      </c>
      <c r="H37" s="80"/>
      <c r="I37" s="23"/>
      <c r="J37" s="15"/>
      <c r="K37" s="79"/>
      <c r="L37" s="36"/>
    </row>
    <row r="38" spans="2:12" ht="11.25" customHeight="1" x14ac:dyDescent="0.2">
      <c r="B38" s="35" t="s">
        <v>51</v>
      </c>
      <c r="C38" s="21">
        <v>12</v>
      </c>
      <c r="D38" s="10">
        <v>0.5</v>
      </c>
      <c r="E38" s="26" t="s">
        <v>112</v>
      </c>
      <c r="F38" s="36">
        <f t="shared" si="2"/>
        <v>6</v>
      </c>
      <c r="H38" s="35"/>
      <c r="I38" s="21"/>
      <c r="J38" s="10"/>
      <c r="K38" s="26"/>
      <c r="L38" s="36"/>
    </row>
    <row r="39" spans="2:12" ht="11.25" customHeight="1" x14ac:dyDescent="0.2">
      <c r="B39" s="35" t="s">
        <v>52</v>
      </c>
      <c r="C39" s="21">
        <v>2.2999999999999998</v>
      </c>
      <c r="D39" s="10">
        <v>20</v>
      </c>
      <c r="E39" s="26" t="s">
        <v>112</v>
      </c>
      <c r="F39" s="36">
        <f t="shared" si="2"/>
        <v>46</v>
      </c>
      <c r="H39" s="35"/>
      <c r="I39" s="21"/>
      <c r="J39" s="10"/>
      <c r="K39" s="26"/>
      <c r="L39" s="36"/>
    </row>
    <row r="40" spans="2:12" ht="11.25" customHeight="1" x14ac:dyDescent="0.2">
      <c r="B40" s="35" t="s">
        <v>53</v>
      </c>
      <c r="C40" s="21">
        <v>0.5</v>
      </c>
      <c r="D40" s="10">
        <v>100</v>
      </c>
      <c r="E40" s="26" t="s">
        <v>27</v>
      </c>
      <c r="F40" s="36">
        <f t="shared" si="2"/>
        <v>50</v>
      </c>
      <c r="H40" s="35"/>
      <c r="I40" s="21"/>
      <c r="J40" s="10"/>
      <c r="K40" s="26"/>
      <c r="L40" s="36"/>
    </row>
    <row r="41" spans="2:12" ht="11.25" customHeight="1" x14ac:dyDescent="0.2">
      <c r="B41" s="43" t="s">
        <v>24</v>
      </c>
      <c r="C41" s="21"/>
      <c r="D41" s="10"/>
      <c r="E41" s="10"/>
      <c r="F41" s="44">
        <f>F42</f>
        <v>500</v>
      </c>
      <c r="H41" s="43"/>
      <c r="I41" s="21"/>
      <c r="J41" s="10"/>
      <c r="K41" s="10"/>
      <c r="L41" s="44"/>
    </row>
    <row r="42" spans="2:12" ht="10.5" customHeight="1" x14ac:dyDescent="0.2">
      <c r="B42" s="35" t="s">
        <v>54</v>
      </c>
      <c r="C42" s="21">
        <f>Resumen!H14</f>
        <v>5</v>
      </c>
      <c r="D42" s="10">
        <v>100</v>
      </c>
      <c r="E42" s="26" t="s">
        <v>27</v>
      </c>
      <c r="F42" s="36">
        <f t="shared" si="2"/>
        <v>500</v>
      </c>
      <c r="H42" s="35"/>
      <c r="I42" s="21"/>
      <c r="J42" s="10"/>
      <c r="K42" s="26"/>
      <c r="L42" s="36"/>
    </row>
    <row r="43" spans="2:12" ht="11.25" customHeight="1" x14ac:dyDescent="0.2">
      <c r="B43" s="43" t="s">
        <v>80</v>
      </c>
      <c r="C43" s="21"/>
      <c r="D43" s="10"/>
      <c r="E43" s="10"/>
      <c r="F43" s="44">
        <f>F44</f>
        <v>100</v>
      </c>
      <c r="H43" s="43"/>
      <c r="I43" s="21"/>
      <c r="J43" s="10"/>
      <c r="K43" s="10"/>
      <c r="L43" s="44"/>
    </row>
    <row r="44" spans="2:12" ht="12" customHeight="1" thickBot="1" x14ac:dyDescent="0.25">
      <c r="B44" s="107" t="s">
        <v>31</v>
      </c>
      <c r="C44" s="108">
        <v>100</v>
      </c>
      <c r="D44" s="109">
        <v>1</v>
      </c>
      <c r="E44" s="109" t="s">
        <v>81</v>
      </c>
      <c r="F44" s="111">
        <f t="shared" si="2"/>
        <v>100</v>
      </c>
      <c r="H44" s="107"/>
      <c r="I44" s="108"/>
      <c r="J44" s="109"/>
      <c r="K44" s="109"/>
      <c r="L44" s="111"/>
    </row>
    <row r="45" spans="2:12" ht="13.5" thickBot="1" x14ac:dyDescent="0.25">
      <c r="B45" s="119" t="s">
        <v>82</v>
      </c>
      <c r="C45" s="120"/>
      <c r="D45" s="121"/>
      <c r="E45" s="121"/>
      <c r="F45" s="122">
        <f>F36+F41+F43</f>
        <v>807</v>
      </c>
      <c r="H45" s="119" t="s">
        <v>82</v>
      </c>
      <c r="I45" s="120"/>
      <c r="J45" s="121"/>
      <c r="K45" s="121"/>
      <c r="L45" s="122">
        <f>L36+L41+L43</f>
        <v>7263</v>
      </c>
    </row>
    <row r="46" spans="2:12" ht="13.5" thickBot="1" x14ac:dyDescent="0.25">
      <c r="B46" s="154" t="s">
        <v>83</v>
      </c>
      <c r="C46" s="155"/>
      <c r="D46" s="156"/>
      <c r="E46" s="156"/>
      <c r="F46" s="157">
        <f>F4+F45</f>
        <v>11299</v>
      </c>
      <c r="H46" s="154" t="s">
        <v>83</v>
      </c>
      <c r="I46" s="155"/>
      <c r="J46" s="156"/>
      <c r="K46" s="156"/>
      <c r="L46" s="157">
        <f>L4+L45</f>
        <v>17755</v>
      </c>
    </row>
    <row r="47" spans="2:12" x14ac:dyDescent="0.2">
      <c r="B47" s="27"/>
    </row>
    <row r="48" spans="2:12" x14ac:dyDescent="0.2">
      <c r="B48" s="27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</sheetData>
  <mergeCells count="2">
    <mergeCell ref="B1:F1"/>
    <mergeCell ref="H1:L1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F9" sqref="F9"/>
    </sheetView>
  </sheetViews>
  <sheetFormatPr baseColWidth="10" defaultColWidth="11.5703125" defaultRowHeight="12.75" x14ac:dyDescent="0.2"/>
  <cols>
    <col min="1" max="1" width="11.5703125" customWidth="1"/>
    <col min="2" max="2" width="20" customWidth="1"/>
    <col min="3" max="3" width="10.7109375" customWidth="1"/>
    <col min="4" max="4" width="9.7109375" customWidth="1"/>
    <col min="5" max="5" width="10" customWidth="1"/>
    <col min="6" max="6" width="12.85546875" customWidth="1"/>
    <col min="7" max="7" width="13" customWidth="1"/>
    <col min="8" max="8" width="9.5703125" customWidth="1"/>
  </cols>
  <sheetData>
    <row r="3" spans="2:8" ht="22.5" customHeight="1" thickBot="1" x14ac:dyDescent="0.25">
      <c r="B3" s="254" t="s">
        <v>163</v>
      </c>
      <c r="C3" s="254"/>
      <c r="D3" s="254"/>
      <c r="E3" s="254"/>
      <c r="F3" s="254"/>
      <c r="G3" s="254"/>
      <c r="H3" s="254"/>
    </row>
    <row r="4" spans="2:8" s="11" customFormat="1" ht="39" thickBot="1" x14ac:dyDescent="0.25">
      <c r="B4" s="76" t="s">
        <v>56</v>
      </c>
      <c r="C4" s="49" t="s">
        <v>57</v>
      </c>
      <c r="D4" s="49" t="s">
        <v>60</v>
      </c>
      <c r="E4" s="49" t="s">
        <v>93</v>
      </c>
      <c r="F4" s="49" t="s">
        <v>61</v>
      </c>
      <c r="G4" s="49" t="s">
        <v>62</v>
      </c>
      <c r="H4" s="50" t="s">
        <v>142</v>
      </c>
    </row>
    <row r="5" spans="2:8" x14ac:dyDescent="0.2">
      <c r="B5" s="152" t="s">
        <v>34</v>
      </c>
      <c r="C5" s="70">
        <f>+Inversión_Inicial!F6</f>
        <v>7000</v>
      </c>
      <c r="D5" s="52">
        <v>10</v>
      </c>
      <c r="E5" s="61">
        <f>1/D5</f>
        <v>0.1</v>
      </c>
      <c r="F5" s="71">
        <f>+E5*C5</f>
        <v>700</v>
      </c>
      <c r="G5" s="70">
        <f>+F5*Resumen!$H$9</f>
        <v>3500</v>
      </c>
      <c r="H5" s="72">
        <f>+C5-G5</f>
        <v>3500</v>
      </c>
    </row>
    <row r="6" spans="2:8" ht="13.5" customHeight="1" x14ac:dyDescent="0.2">
      <c r="B6" s="132" t="s">
        <v>58</v>
      </c>
      <c r="C6" s="21">
        <f>+Inversión_Inicial!F10</f>
        <v>590</v>
      </c>
      <c r="D6" s="9">
        <v>5</v>
      </c>
      <c r="E6" s="30">
        <f>1/D6</f>
        <v>0.2</v>
      </c>
      <c r="F6" s="24">
        <f>+E6*C6</f>
        <v>118</v>
      </c>
      <c r="G6" s="70">
        <f>+F6*Resumen!$H$9</f>
        <v>590</v>
      </c>
      <c r="H6" s="69">
        <f>+C6-G6</f>
        <v>0</v>
      </c>
    </row>
    <row r="7" spans="2:8" ht="13.5" customHeight="1" x14ac:dyDescent="0.2">
      <c r="B7" s="132" t="s">
        <v>20</v>
      </c>
      <c r="C7" s="21">
        <f>Inversión_Inicial!F14</f>
        <v>357</v>
      </c>
      <c r="D7" s="9">
        <v>2</v>
      </c>
      <c r="E7" s="30">
        <f>1/D7</f>
        <v>0.5</v>
      </c>
      <c r="F7" s="24">
        <f>+E7*C7</f>
        <v>178.5</v>
      </c>
      <c r="G7" s="70">
        <f>F7</f>
        <v>178.5</v>
      </c>
      <c r="H7" s="69">
        <f>+C7-G7</f>
        <v>178.5</v>
      </c>
    </row>
    <row r="8" spans="2:8" ht="13.5" thickBot="1" x14ac:dyDescent="0.25">
      <c r="B8" s="153" t="s">
        <v>21</v>
      </c>
      <c r="C8" s="73">
        <f>+Inversión_Inicial!F24</f>
        <v>1090</v>
      </c>
      <c r="D8" s="53">
        <v>5</v>
      </c>
      <c r="E8" s="74">
        <f>1/D8</f>
        <v>0.2</v>
      </c>
      <c r="F8" s="73">
        <f>+E8*C8</f>
        <v>218</v>
      </c>
      <c r="G8" s="70">
        <f>+F8*Resumen!$H$9</f>
        <v>1090</v>
      </c>
      <c r="H8" s="75">
        <f>+C8-G8</f>
        <v>0</v>
      </c>
    </row>
    <row r="9" spans="2:8" ht="13.5" thickBot="1" x14ac:dyDescent="0.25">
      <c r="B9" s="129" t="s">
        <v>59</v>
      </c>
      <c r="C9" s="149">
        <f>SUM(C5:C8)</f>
        <v>9037</v>
      </c>
      <c r="D9" s="150"/>
      <c r="E9" s="150"/>
      <c r="F9" s="149">
        <f>SUM(F5:F8)</f>
        <v>1214.5</v>
      </c>
      <c r="G9" s="150"/>
      <c r="H9" s="151">
        <f>SUM(H5:H8)</f>
        <v>3678.5</v>
      </c>
    </row>
    <row r="10" spans="2:8" x14ac:dyDescent="0.2">
      <c r="B10" s="68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workbookViewId="0">
      <selection activeCell="A9" sqref="A9:IV9"/>
    </sheetView>
  </sheetViews>
  <sheetFormatPr baseColWidth="10" defaultColWidth="11.5703125" defaultRowHeight="12.75" x14ac:dyDescent="0.2"/>
  <cols>
    <col min="1" max="1" width="11.5703125" customWidth="1"/>
    <col min="2" max="2" width="15.85546875" customWidth="1"/>
    <col min="3" max="3" width="5.5703125" customWidth="1"/>
    <col min="4" max="4" width="7.5703125" customWidth="1"/>
    <col min="5" max="5" width="7.28515625" customWidth="1"/>
    <col min="6" max="6" width="7.7109375" customWidth="1"/>
    <col min="7" max="7" width="6" customWidth="1"/>
    <col min="8" max="8" width="6.140625" customWidth="1"/>
    <col min="9" max="9" width="5.85546875" customWidth="1"/>
    <col min="10" max="10" width="5.5703125" customWidth="1"/>
    <col min="11" max="11" width="7.42578125" customWidth="1"/>
    <col min="12" max="12" width="6.140625" customWidth="1"/>
    <col min="13" max="13" width="6.85546875" customWidth="1"/>
    <col min="14" max="14" width="6.7109375" customWidth="1"/>
    <col min="15" max="15" width="6.28515625" customWidth="1"/>
    <col min="16" max="16" width="7.28515625" customWidth="1"/>
  </cols>
  <sheetData>
    <row r="5" spans="2:16" x14ac:dyDescent="0.2">
      <c r="B5" s="252" t="s">
        <v>140</v>
      </c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</row>
    <row r="6" spans="2:16" ht="13.5" thickBot="1" x14ac:dyDescent="0.25"/>
    <row r="7" spans="2:16" x14ac:dyDescent="0.2">
      <c r="B7" s="262" t="s">
        <v>15</v>
      </c>
      <c r="C7" s="260">
        <v>0</v>
      </c>
      <c r="D7" s="255" t="s">
        <v>137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7"/>
      <c r="P7" s="258" t="s">
        <v>12</v>
      </c>
    </row>
    <row r="8" spans="2:16" x14ac:dyDescent="0.2">
      <c r="B8" s="263"/>
      <c r="C8" s="261"/>
      <c r="D8" s="215">
        <v>1</v>
      </c>
      <c r="E8" s="215">
        <v>2</v>
      </c>
      <c r="F8" s="215">
        <v>3</v>
      </c>
      <c r="G8" s="215">
        <v>4</v>
      </c>
      <c r="H8" s="215">
        <v>5</v>
      </c>
      <c r="I8" s="215">
        <v>6</v>
      </c>
      <c r="J8" s="215">
        <v>7</v>
      </c>
      <c r="K8" s="215">
        <v>8</v>
      </c>
      <c r="L8" s="215">
        <v>9</v>
      </c>
      <c r="M8" s="215">
        <v>10</v>
      </c>
      <c r="N8" s="215">
        <v>11</v>
      </c>
      <c r="O8" s="215">
        <v>12</v>
      </c>
      <c r="P8" s="259"/>
    </row>
    <row r="9" spans="2:16" x14ac:dyDescent="0.2">
      <c r="B9" s="64" t="s">
        <v>84</v>
      </c>
      <c r="C9" s="30"/>
      <c r="D9" s="199">
        <f>Ventas_Unidades!C7</f>
        <v>100</v>
      </c>
      <c r="E9" s="199">
        <f>Ventas_Unidades!D7</f>
        <v>200</v>
      </c>
      <c r="F9" s="199">
        <f>Ventas_Unidades!E7</f>
        <v>300</v>
      </c>
      <c r="G9" s="199">
        <f>Ventas_Unidades!F7</f>
        <v>400</v>
      </c>
      <c r="H9" s="199">
        <f>Ventas_Unidades!G7</f>
        <v>500</v>
      </c>
      <c r="I9" s="199">
        <f>Ventas_Unidades!H7</f>
        <v>600</v>
      </c>
      <c r="J9" s="199">
        <f>Ventas_Unidades!I7</f>
        <v>700</v>
      </c>
      <c r="K9" s="199">
        <f>Ventas_Unidades!J7</f>
        <v>800</v>
      </c>
      <c r="L9" s="199">
        <f>Ventas_Unidades!K7</f>
        <v>800</v>
      </c>
      <c r="M9" s="199">
        <f>Ventas_Unidades!L7</f>
        <v>900</v>
      </c>
      <c r="N9" s="199">
        <f>Ventas_Unidades!M7</f>
        <v>1000</v>
      </c>
      <c r="O9" s="199">
        <f>Ventas_Unidades!N7</f>
        <v>1000</v>
      </c>
      <c r="P9" s="158"/>
    </row>
    <row r="10" spans="2:16" x14ac:dyDescent="0.2">
      <c r="B10" s="64" t="s">
        <v>139</v>
      </c>
      <c r="C10" s="30"/>
      <c r="D10" s="30">
        <f>Costos_Unitarios!$C$18</f>
        <v>8.07</v>
      </c>
      <c r="E10" s="30">
        <f>Costos_Unitarios!$C$18</f>
        <v>8.07</v>
      </c>
      <c r="F10" s="30">
        <f>Costos_Unitarios!$C$18</f>
        <v>8.07</v>
      </c>
      <c r="G10" s="30">
        <f>Costos_Unitarios!$C$18</f>
        <v>8.07</v>
      </c>
      <c r="H10" s="30">
        <f>Costos_Unitarios!$C$18</f>
        <v>8.07</v>
      </c>
      <c r="I10" s="30">
        <f>Costos_Unitarios!$C$18</f>
        <v>8.07</v>
      </c>
      <c r="J10" s="30">
        <f>Costos_Unitarios!$C$18</f>
        <v>8.07</v>
      </c>
      <c r="K10" s="30">
        <f>Costos_Unitarios!$C$18</f>
        <v>8.07</v>
      </c>
      <c r="L10" s="30">
        <f>Costos_Unitarios!$C$18</f>
        <v>8.07</v>
      </c>
      <c r="M10" s="30">
        <f>Costos_Unitarios!$C$18</f>
        <v>8.07</v>
      </c>
      <c r="N10" s="30">
        <f>Costos_Unitarios!$C$18</f>
        <v>8.07</v>
      </c>
      <c r="O10" s="30">
        <f>Costos_Unitarios!$C$18</f>
        <v>8.07</v>
      </c>
      <c r="P10" s="158"/>
    </row>
    <row r="11" spans="2:16" x14ac:dyDescent="0.2">
      <c r="B11" s="64" t="s">
        <v>168</v>
      </c>
      <c r="C11" s="200"/>
      <c r="D11" s="30">
        <f t="shared" ref="D11:O11" si="0">D9*D10</f>
        <v>807</v>
      </c>
      <c r="E11" s="30">
        <f t="shared" si="0"/>
        <v>1614</v>
      </c>
      <c r="F11" s="30">
        <f t="shared" si="0"/>
        <v>2421</v>
      </c>
      <c r="G11" s="30">
        <f t="shared" si="0"/>
        <v>3228</v>
      </c>
      <c r="H11" s="30">
        <f t="shared" si="0"/>
        <v>4035</v>
      </c>
      <c r="I11" s="30">
        <f t="shared" si="0"/>
        <v>4842</v>
      </c>
      <c r="J11" s="30">
        <f t="shared" si="0"/>
        <v>5649</v>
      </c>
      <c r="K11" s="30">
        <f t="shared" si="0"/>
        <v>6456</v>
      </c>
      <c r="L11" s="30">
        <f t="shared" si="0"/>
        <v>6456</v>
      </c>
      <c r="M11" s="30">
        <f t="shared" si="0"/>
        <v>7263</v>
      </c>
      <c r="N11" s="30">
        <f t="shared" si="0"/>
        <v>8070</v>
      </c>
      <c r="O11" s="30">
        <f t="shared" si="0"/>
        <v>8070</v>
      </c>
      <c r="P11" s="158"/>
    </row>
    <row r="12" spans="2:16" x14ac:dyDescent="0.2">
      <c r="B12" s="64" t="s">
        <v>169</v>
      </c>
      <c r="C12" s="200"/>
      <c r="D12" s="200">
        <f>Gastos_Operativos!$F$15</f>
        <v>2465</v>
      </c>
      <c r="E12" s="200">
        <f>Gastos_Operativos!$F$15</f>
        <v>2465</v>
      </c>
      <c r="F12" s="200">
        <f>Gastos_Operativos!$F$15</f>
        <v>2465</v>
      </c>
      <c r="G12" s="200">
        <f>Gastos_Operativos!$F$15</f>
        <v>2465</v>
      </c>
      <c r="H12" s="200">
        <f>Gastos_Operativos!$F$15</f>
        <v>2465</v>
      </c>
      <c r="I12" s="200">
        <f>Gastos_Operativos!$F$15</f>
        <v>2465</v>
      </c>
      <c r="J12" s="200">
        <f>Gastos_Operativos!$F$15</f>
        <v>2465</v>
      </c>
      <c r="K12" s="200">
        <f>Gastos_Operativos!$F$15</f>
        <v>2465</v>
      </c>
      <c r="L12" s="200">
        <f>Gastos_Operativos!$F$15</f>
        <v>2465</v>
      </c>
      <c r="M12" s="200">
        <f>Gastos_Operativos!$F$15</f>
        <v>2465</v>
      </c>
      <c r="N12" s="200">
        <f>Gastos_Operativos!$F$15</f>
        <v>2465</v>
      </c>
      <c r="O12" s="200">
        <f>Gastos_Operativos!$F$15</f>
        <v>2465</v>
      </c>
      <c r="P12" s="158"/>
    </row>
    <row r="13" spans="2:16" x14ac:dyDescent="0.2">
      <c r="B13" s="64" t="s">
        <v>170</v>
      </c>
      <c r="C13" s="200"/>
      <c r="D13" s="200">
        <f>D11+D12</f>
        <v>3272</v>
      </c>
      <c r="E13" s="200">
        <f t="shared" ref="E13:O13" si="1">E11+E12</f>
        <v>4079</v>
      </c>
      <c r="F13" s="200">
        <f t="shared" si="1"/>
        <v>4886</v>
      </c>
      <c r="G13" s="200">
        <f t="shared" si="1"/>
        <v>5693</v>
      </c>
      <c r="H13" s="200">
        <f t="shared" si="1"/>
        <v>6500</v>
      </c>
      <c r="I13" s="200">
        <f t="shared" si="1"/>
        <v>7307</v>
      </c>
      <c r="J13" s="200">
        <f t="shared" si="1"/>
        <v>8114</v>
      </c>
      <c r="K13" s="200">
        <f t="shared" si="1"/>
        <v>8921</v>
      </c>
      <c r="L13" s="200">
        <f t="shared" si="1"/>
        <v>8921</v>
      </c>
      <c r="M13" s="200">
        <f t="shared" si="1"/>
        <v>9728</v>
      </c>
      <c r="N13" s="200">
        <f t="shared" si="1"/>
        <v>10535</v>
      </c>
      <c r="O13" s="200">
        <f t="shared" si="1"/>
        <v>10535</v>
      </c>
      <c r="P13" s="158"/>
    </row>
    <row r="14" spans="2:16" x14ac:dyDescent="0.2">
      <c r="B14" s="64" t="s">
        <v>138</v>
      </c>
      <c r="C14" s="200">
        <f>D13</f>
        <v>3272</v>
      </c>
      <c r="D14" s="200">
        <f>E13-C14</f>
        <v>807</v>
      </c>
      <c r="E14" s="200">
        <f>F13-D15</f>
        <v>807</v>
      </c>
      <c r="F14" s="200">
        <f>G13-E15</f>
        <v>807</v>
      </c>
      <c r="G14" s="200">
        <f t="shared" ref="G14:N14" si="2">H13-F15</f>
        <v>807</v>
      </c>
      <c r="H14" s="200">
        <f t="shared" si="2"/>
        <v>807</v>
      </c>
      <c r="I14" s="200">
        <f t="shared" si="2"/>
        <v>807</v>
      </c>
      <c r="J14" s="200">
        <f t="shared" si="2"/>
        <v>807</v>
      </c>
      <c r="K14" s="200">
        <f t="shared" si="2"/>
        <v>0</v>
      </c>
      <c r="L14" s="200">
        <f t="shared" si="2"/>
        <v>807</v>
      </c>
      <c r="M14" s="200">
        <f t="shared" si="2"/>
        <v>807</v>
      </c>
      <c r="N14" s="200">
        <f t="shared" si="2"/>
        <v>0</v>
      </c>
      <c r="O14" s="200"/>
      <c r="P14" s="201">
        <f>SUM(D14:O14)</f>
        <v>7263</v>
      </c>
    </row>
    <row r="15" spans="2:16" ht="13.5" thickBot="1" x14ac:dyDescent="0.25">
      <c r="B15" s="204" t="s">
        <v>12</v>
      </c>
      <c r="C15" s="202"/>
      <c r="D15" s="218">
        <f>D13+D14</f>
        <v>4079</v>
      </c>
      <c r="E15" s="218">
        <f t="shared" ref="E15:O15" si="3">E13+E14</f>
        <v>4886</v>
      </c>
      <c r="F15" s="218">
        <f t="shared" si="3"/>
        <v>5693</v>
      </c>
      <c r="G15" s="218">
        <f t="shared" si="3"/>
        <v>6500</v>
      </c>
      <c r="H15" s="218">
        <f t="shared" si="3"/>
        <v>7307</v>
      </c>
      <c r="I15" s="218">
        <f t="shared" si="3"/>
        <v>8114</v>
      </c>
      <c r="J15" s="218">
        <f t="shared" si="3"/>
        <v>8921</v>
      </c>
      <c r="K15" s="218">
        <f t="shared" si="3"/>
        <v>8921</v>
      </c>
      <c r="L15" s="218">
        <f t="shared" si="3"/>
        <v>9728</v>
      </c>
      <c r="M15" s="218">
        <f t="shared" si="3"/>
        <v>10535</v>
      </c>
      <c r="N15" s="218">
        <f t="shared" si="3"/>
        <v>10535</v>
      </c>
      <c r="O15" s="218">
        <f t="shared" si="3"/>
        <v>10535</v>
      </c>
      <c r="P15" s="203"/>
    </row>
    <row r="17" spans="5:11" x14ac:dyDescent="0.2">
      <c r="E17" s="183"/>
    </row>
    <row r="18" spans="5:11" x14ac:dyDescent="0.2">
      <c r="K18" s="183"/>
    </row>
  </sheetData>
  <mergeCells count="5">
    <mergeCell ref="D7:O7"/>
    <mergeCell ref="P7:P8"/>
    <mergeCell ref="C7:C8"/>
    <mergeCell ref="B7:B8"/>
    <mergeCell ref="B5:P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B18" sqref="B18"/>
    </sheetView>
  </sheetViews>
  <sheetFormatPr baseColWidth="10" defaultColWidth="11.5703125" defaultRowHeight="12.75" x14ac:dyDescent="0.2"/>
  <cols>
    <col min="1" max="1" width="11.5703125" customWidth="1"/>
    <col min="2" max="2" width="26.42578125" customWidth="1"/>
    <col min="3" max="3" width="10.42578125" customWidth="1"/>
    <col min="4" max="4" width="8.42578125" customWidth="1"/>
    <col min="5" max="5" width="11" customWidth="1"/>
  </cols>
  <sheetData>
    <row r="3" spans="2:6" x14ac:dyDescent="0.2">
      <c r="B3" s="252" t="s">
        <v>183</v>
      </c>
      <c r="C3" s="252"/>
      <c r="D3" s="252"/>
      <c r="E3" s="252"/>
      <c r="F3" s="252"/>
    </row>
    <row r="4" spans="2:6" ht="13.5" thickBot="1" x14ac:dyDescent="0.25"/>
    <row r="5" spans="2:6" ht="33.75" customHeight="1" thickBot="1" x14ac:dyDescent="0.25">
      <c r="B5" s="234" t="s">
        <v>15</v>
      </c>
      <c r="C5" s="235" t="s">
        <v>182</v>
      </c>
      <c r="D5" s="235" t="s">
        <v>180</v>
      </c>
      <c r="E5" s="235" t="s">
        <v>181</v>
      </c>
      <c r="F5" s="236" t="s">
        <v>12</v>
      </c>
    </row>
    <row r="6" spans="2:6" ht="19.5" customHeight="1" x14ac:dyDescent="0.25">
      <c r="B6" s="219" t="s">
        <v>178</v>
      </c>
      <c r="C6" s="220"/>
      <c r="D6" s="221"/>
      <c r="E6" s="220"/>
      <c r="F6" s="222">
        <f>F7+F8+F9+F10</f>
        <v>207</v>
      </c>
    </row>
    <row r="7" spans="2:6" ht="14.25" x14ac:dyDescent="0.2">
      <c r="B7" s="223" t="s">
        <v>50</v>
      </c>
      <c r="C7" s="220" t="s">
        <v>112</v>
      </c>
      <c r="D7" s="221">
        <v>3.5</v>
      </c>
      <c r="E7" s="220">
        <v>30</v>
      </c>
      <c r="F7" s="224">
        <f t="shared" ref="F7:F14" si="0">D7*E7</f>
        <v>105</v>
      </c>
    </row>
    <row r="8" spans="2:6" ht="14.25" x14ac:dyDescent="0.2">
      <c r="B8" s="225" t="s">
        <v>51</v>
      </c>
      <c r="C8" s="226" t="s">
        <v>112</v>
      </c>
      <c r="D8" s="227">
        <v>12</v>
      </c>
      <c r="E8" s="226">
        <v>0.5</v>
      </c>
      <c r="F8" s="224">
        <f t="shared" si="0"/>
        <v>6</v>
      </c>
    </row>
    <row r="9" spans="2:6" ht="14.25" x14ac:dyDescent="0.2">
      <c r="B9" s="225" t="s">
        <v>52</v>
      </c>
      <c r="C9" s="226" t="s">
        <v>112</v>
      </c>
      <c r="D9" s="227">
        <v>2.2999999999999998</v>
      </c>
      <c r="E9" s="226">
        <v>20</v>
      </c>
      <c r="F9" s="224">
        <f t="shared" si="0"/>
        <v>46</v>
      </c>
    </row>
    <row r="10" spans="2:6" ht="14.25" x14ac:dyDescent="0.2">
      <c r="B10" s="225" t="s">
        <v>53</v>
      </c>
      <c r="C10" s="226" t="s">
        <v>27</v>
      </c>
      <c r="D10" s="227">
        <v>0.5</v>
      </c>
      <c r="E10" s="226">
        <v>100</v>
      </c>
      <c r="F10" s="224">
        <f t="shared" si="0"/>
        <v>50</v>
      </c>
    </row>
    <row r="11" spans="2:6" ht="18.75" customHeight="1" x14ac:dyDescent="0.25">
      <c r="B11" s="228" t="s">
        <v>179</v>
      </c>
      <c r="C11" s="226"/>
      <c r="D11" s="227"/>
      <c r="E11" s="226"/>
      <c r="F11" s="229">
        <f>F12</f>
        <v>500</v>
      </c>
    </row>
    <row r="12" spans="2:6" ht="14.25" x14ac:dyDescent="0.2">
      <c r="B12" s="225" t="s">
        <v>54</v>
      </c>
      <c r="C12" s="226" t="s">
        <v>27</v>
      </c>
      <c r="D12" s="227">
        <v>5</v>
      </c>
      <c r="E12" s="226">
        <v>100</v>
      </c>
      <c r="F12" s="224">
        <f t="shared" si="0"/>
        <v>500</v>
      </c>
    </row>
    <row r="13" spans="2:6" ht="30" x14ac:dyDescent="0.25">
      <c r="B13" s="228" t="s">
        <v>177</v>
      </c>
      <c r="C13" s="226"/>
      <c r="D13" s="227"/>
      <c r="E13" s="226"/>
      <c r="F13" s="229">
        <f>F14</f>
        <v>100</v>
      </c>
    </row>
    <row r="14" spans="2:6" ht="15" thickBot="1" x14ac:dyDescent="0.25">
      <c r="B14" s="230" t="s">
        <v>31</v>
      </c>
      <c r="C14" s="231" t="s">
        <v>81</v>
      </c>
      <c r="D14" s="232">
        <v>100</v>
      </c>
      <c r="E14" s="231">
        <v>1</v>
      </c>
      <c r="F14" s="233">
        <f t="shared" si="0"/>
        <v>100</v>
      </c>
    </row>
    <row r="15" spans="2:6" ht="30.75" thickBot="1" x14ac:dyDescent="0.3">
      <c r="B15" s="237" t="s">
        <v>82</v>
      </c>
      <c r="C15" s="238"/>
      <c r="D15" s="239"/>
      <c r="E15" s="238"/>
      <c r="F15" s="240">
        <f>F6+F11+F13</f>
        <v>807</v>
      </c>
    </row>
  </sheetData>
  <mergeCells count="1">
    <mergeCell ref="B3:F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G27" sqref="G27"/>
    </sheetView>
  </sheetViews>
  <sheetFormatPr baseColWidth="10" defaultColWidth="11.5703125" defaultRowHeight="12.75" x14ac:dyDescent="0.2"/>
  <cols>
    <col min="1" max="1" width="11.5703125" customWidth="1"/>
    <col min="2" max="2" width="13" customWidth="1"/>
    <col min="3" max="3" width="11.5703125" customWidth="1"/>
    <col min="4" max="4" width="7.85546875" customWidth="1"/>
    <col min="5" max="5" width="13.85546875" customWidth="1"/>
    <col min="6" max="6" width="8.42578125" customWidth="1"/>
  </cols>
  <sheetData>
    <row r="2" spans="2:12" x14ac:dyDescent="0.2">
      <c r="B2" s="252" t="s">
        <v>171</v>
      </c>
      <c r="C2" s="252"/>
      <c r="D2" s="252"/>
      <c r="E2" s="252"/>
      <c r="F2" s="252"/>
      <c r="G2" s="252"/>
      <c r="H2" s="252"/>
      <c r="I2" s="252"/>
    </row>
    <row r="4" spans="2:12" x14ac:dyDescent="0.2">
      <c r="B4" s="213" t="s">
        <v>144</v>
      </c>
      <c r="C4" s="213" t="s">
        <v>158</v>
      </c>
      <c r="D4" s="213" t="s">
        <v>157</v>
      </c>
      <c r="E4" s="213" t="s">
        <v>151</v>
      </c>
      <c r="F4" s="213" t="s">
        <v>152</v>
      </c>
      <c r="G4" s="213" t="s">
        <v>150</v>
      </c>
      <c r="H4" s="213" t="s">
        <v>173</v>
      </c>
      <c r="I4" s="215" t="s">
        <v>12</v>
      </c>
    </row>
    <row r="5" spans="2:12" x14ac:dyDescent="0.2">
      <c r="B5" s="9" t="s">
        <v>147</v>
      </c>
      <c r="C5" s="9">
        <v>930</v>
      </c>
      <c r="D5" s="9">
        <f>C5*12</f>
        <v>11160</v>
      </c>
      <c r="E5" s="9">
        <v>0</v>
      </c>
      <c r="F5" s="9">
        <v>0</v>
      </c>
      <c r="G5" s="9">
        <f>D5+E5+F5</f>
        <v>11160</v>
      </c>
      <c r="H5" s="10">
        <f>15*12</f>
        <v>180</v>
      </c>
      <c r="I5" s="78">
        <f>G5+H5</f>
        <v>11340</v>
      </c>
    </row>
    <row r="6" spans="2:12" x14ac:dyDescent="0.2">
      <c r="B6" s="9" t="s">
        <v>148</v>
      </c>
      <c r="C6" s="9">
        <v>930</v>
      </c>
      <c r="D6" s="9">
        <f>C6*12</f>
        <v>11160</v>
      </c>
      <c r="E6" s="9">
        <v>0</v>
      </c>
      <c r="F6" s="9">
        <v>0</v>
      </c>
      <c r="G6" s="9">
        <f>D6+E6+F6</f>
        <v>11160</v>
      </c>
      <c r="H6" s="10">
        <f>15*12</f>
        <v>180</v>
      </c>
      <c r="I6" s="78">
        <f>G6+H6</f>
        <v>11340</v>
      </c>
    </row>
    <row r="7" spans="2:12" x14ac:dyDescent="0.2">
      <c r="B7" s="216" t="s">
        <v>12</v>
      </c>
      <c r="C7" s="216"/>
      <c r="D7" s="216"/>
      <c r="E7" s="216"/>
      <c r="F7" s="216"/>
      <c r="G7" s="216"/>
      <c r="H7" s="217">
        <f>H5+H6</f>
        <v>360</v>
      </c>
      <c r="I7" s="217">
        <f>I5+I6</f>
        <v>22680</v>
      </c>
    </row>
    <row r="8" spans="2:12" x14ac:dyDescent="0.2">
      <c r="B8" t="s">
        <v>175</v>
      </c>
    </row>
    <row r="9" spans="2:12" x14ac:dyDescent="0.2">
      <c r="B9" t="s">
        <v>176</v>
      </c>
    </row>
    <row r="10" spans="2:12" x14ac:dyDescent="0.2">
      <c r="B10" t="s">
        <v>174</v>
      </c>
      <c r="K10">
        <v>150</v>
      </c>
      <c r="L10" s="29" t="s">
        <v>186</v>
      </c>
    </row>
    <row r="11" spans="2:12" x14ac:dyDescent="0.2">
      <c r="K11">
        <v>4400</v>
      </c>
    </row>
    <row r="12" spans="2:12" x14ac:dyDescent="0.2">
      <c r="K12">
        <f>K10*K11</f>
        <v>660000</v>
      </c>
      <c r="L12" s="29" t="s">
        <v>187</v>
      </c>
    </row>
    <row r="13" spans="2:12" x14ac:dyDescent="0.2">
      <c r="B13" s="252" t="s">
        <v>149</v>
      </c>
      <c r="C13" s="252"/>
      <c r="D13" s="252"/>
      <c r="E13" s="252"/>
      <c r="F13" s="252"/>
      <c r="G13" s="252"/>
      <c r="H13" s="252"/>
      <c r="I13" s="252"/>
    </row>
    <row r="15" spans="2:12" x14ac:dyDescent="0.2">
      <c r="B15" s="213" t="s">
        <v>144</v>
      </c>
      <c r="C15" s="213" t="s">
        <v>158</v>
      </c>
      <c r="D15" s="213" t="s">
        <v>157</v>
      </c>
      <c r="E15" s="213" t="s">
        <v>151</v>
      </c>
      <c r="F15" s="213" t="s">
        <v>152</v>
      </c>
      <c r="G15" s="213" t="s">
        <v>150</v>
      </c>
      <c r="H15" s="213" t="s">
        <v>153</v>
      </c>
      <c r="I15" s="215" t="s">
        <v>12</v>
      </c>
      <c r="K15">
        <v>1700</v>
      </c>
      <c r="L15" s="29" t="s">
        <v>186</v>
      </c>
    </row>
    <row r="16" spans="2:12" x14ac:dyDescent="0.2">
      <c r="B16" s="9" t="s">
        <v>147</v>
      </c>
      <c r="C16" s="9">
        <v>930</v>
      </c>
      <c r="D16" s="9">
        <f>C16*12</f>
        <v>11160</v>
      </c>
      <c r="E16" s="9">
        <f>C16</f>
        <v>930</v>
      </c>
      <c r="F16" s="9">
        <f>C16/2</f>
        <v>465</v>
      </c>
      <c r="G16" s="9">
        <f>D16+E16+F16</f>
        <v>12555</v>
      </c>
      <c r="H16" s="9">
        <f>G16*0.09</f>
        <v>1129.95</v>
      </c>
      <c r="I16" s="78">
        <f>G16+H16</f>
        <v>13684.95</v>
      </c>
      <c r="K16">
        <v>4400</v>
      </c>
    </row>
    <row r="17" spans="2:12" x14ac:dyDescent="0.2">
      <c r="B17" s="9" t="s">
        <v>148</v>
      </c>
      <c r="C17" s="9">
        <v>930</v>
      </c>
      <c r="D17" s="9">
        <f>C17*12</f>
        <v>11160</v>
      </c>
      <c r="E17" s="9">
        <f>C17</f>
        <v>930</v>
      </c>
      <c r="F17" s="9">
        <f>C17/2</f>
        <v>465</v>
      </c>
      <c r="G17" s="9">
        <f>D17+E17+F17</f>
        <v>12555</v>
      </c>
      <c r="H17" s="9">
        <f>G17*0.09</f>
        <v>1129.95</v>
      </c>
      <c r="I17" s="78">
        <f>G17+H17</f>
        <v>13684.95</v>
      </c>
      <c r="K17">
        <f>K15*K16</f>
        <v>7480000</v>
      </c>
      <c r="L17" s="29" t="s">
        <v>188</v>
      </c>
    </row>
    <row r="18" spans="2:12" x14ac:dyDescent="0.2">
      <c r="B18" s="216" t="s">
        <v>12</v>
      </c>
      <c r="C18" s="216"/>
      <c r="D18" s="216"/>
      <c r="E18" s="216"/>
      <c r="F18" s="216"/>
      <c r="G18" s="216"/>
      <c r="H18" s="216"/>
      <c r="I18" s="217">
        <f>I16+I17</f>
        <v>27369.9</v>
      </c>
    </row>
    <row r="19" spans="2:12" x14ac:dyDescent="0.2">
      <c r="B19" t="s">
        <v>154</v>
      </c>
    </row>
    <row r="20" spans="2:12" x14ac:dyDescent="0.2">
      <c r="B20" t="s">
        <v>155</v>
      </c>
    </row>
    <row r="21" spans="2:12" x14ac:dyDescent="0.2">
      <c r="B21" t="s">
        <v>156</v>
      </c>
    </row>
  </sheetData>
  <mergeCells count="2">
    <mergeCell ref="B2:I2"/>
    <mergeCell ref="B13:I1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H11" sqref="H11"/>
    </sheetView>
  </sheetViews>
  <sheetFormatPr baseColWidth="10" defaultColWidth="11.5703125" defaultRowHeight="12.75" x14ac:dyDescent="0.2"/>
  <cols>
    <col min="1" max="1" width="11.5703125" customWidth="1"/>
    <col min="2" max="2" width="23" customWidth="1"/>
    <col min="3" max="3" width="10.42578125" style="22" customWidth="1"/>
    <col min="4" max="5" width="11.5703125" customWidth="1"/>
    <col min="6" max="6" width="9.140625" customWidth="1"/>
  </cols>
  <sheetData>
    <row r="1" spans="2:7" x14ac:dyDescent="0.2">
      <c r="B1" s="252" t="s">
        <v>184</v>
      </c>
      <c r="C1" s="253"/>
      <c r="D1" s="253"/>
      <c r="E1" s="253"/>
      <c r="F1" s="253"/>
      <c r="G1" s="6"/>
    </row>
    <row r="2" spans="2:7" ht="13.5" thickBot="1" x14ac:dyDescent="0.25">
      <c r="B2" s="6"/>
      <c r="C2" s="16"/>
      <c r="D2" s="6"/>
      <c r="E2" s="6"/>
      <c r="F2" s="6"/>
      <c r="G2" s="6"/>
    </row>
    <row r="3" spans="2:7" s="2" customFormat="1" ht="39" thickBot="1" x14ac:dyDescent="0.25">
      <c r="B3" s="129" t="s">
        <v>15</v>
      </c>
      <c r="C3" s="130" t="s">
        <v>16</v>
      </c>
      <c r="D3" s="130" t="s">
        <v>17</v>
      </c>
      <c r="E3" s="130" t="s">
        <v>109</v>
      </c>
      <c r="F3" s="131" t="s">
        <v>18</v>
      </c>
      <c r="G3" s="7"/>
    </row>
    <row r="4" spans="2:7" x14ac:dyDescent="0.2">
      <c r="B4" s="142" t="s">
        <v>25</v>
      </c>
      <c r="C4" s="133"/>
      <c r="D4" s="134"/>
      <c r="E4" s="134"/>
      <c r="F4" s="135">
        <f>SUM(F5:F10)</f>
        <v>1470</v>
      </c>
    </row>
    <row r="5" spans="2:7" x14ac:dyDescent="0.2">
      <c r="B5" s="143" t="s">
        <v>145</v>
      </c>
      <c r="C5" s="136">
        <v>930</v>
      </c>
      <c r="D5" s="137">
        <v>1</v>
      </c>
      <c r="E5" s="144" t="s">
        <v>113</v>
      </c>
      <c r="F5" s="138">
        <f>C5*D5</f>
        <v>930</v>
      </c>
    </row>
    <row r="6" spans="2:7" x14ac:dyDescent="0.2">
      <c r="B6" s="143" t="s">
        <v>172</v>
      </c>
      <c r="C6" s="136">
        <v>180</v>
      </c>
      <c r="D6" s="137">
        <v>2</v>
      </c>
      <c r="E6" s="144" t="s">
        <v>113</v>
      </c>
      <c r="F6" s="138">
        <f t="shared" ref="F6:F10" si="0">C6*D6</f>
        <v>360</v>
      </c>
    </row>
    <row r="7" spans="2:7" x14ac:dyDescent="0.2">
      <c r="B7" s="143" t="s">
        <v>89</v>
      </c>
      <c r="C7" s="136">
        <v>110</v>
      </c>
      <c r="D7" s="137">
        <v>1</v>
      </c>
      <c r="E7" s="144" t="s">
        <v>110</v>
      </c>
      <c r="F7" s="138">
        <f t="shared" si="0"/>
        <v>110</v>
      </c>
    </row>
    <row r="8" spans="2:7" x14ac:dyDescent="0.2">
      <c r="B8" s="143" t="s">
        <v>33</v>
      </c>
      <c r="C8" s="136">
        <v>50</v>
      </c>
      <c r="D8" s="137">
        <v>1</v>
      </c>
      <c r="E8" s="144" t="s">
        <v>110</v>
      </c>
      <c r="F8" s="138">
        <f t="shared" si="0"/>
        <v>50</v>
      </c>
    </row>
    <row r="9" spans="2:7" x14ac:dyDescent="0.2">
      <c r="B9" s="143" t="s">
        <v>32</v>
      </c>
      <c r="C9" s="136">
        <v>10</v>
      </c>
      <c r="D9" s="137">
        <v>1</v>
      </c>
      <c r="E9" s="144" t="s">
        <v>110</v>
      </c>
      <c r="F9" s="138">
        <f t="shared" si="0"/>
        <v>10</v>
      </c>
    </row>
    <row r="10" spans="2:7" x14ac:dyDescent="0.2">
      <c r="B10" s="143" t="s">
        <v>55</v>
      </c>
      <c r="C10" s="136">
        <v>10</v>
      </c>
      <c r="D10" s="137">
        <v>1</v>
      </c>
      <c r="E10" s="144" t="s">
        <v>110</v>
      </c>
      <c r="F10" s="138">
        <f t="shared" si="0"/>
        <v>10</v>
      </c>
    </row>
    <row r="11" spans="2:7" x14ac:dyDescent="0.2">
      <c r="B11" s="142" t="s">
        <v>66</v>
      </c>
      <c r="C11" s="133"/>
      <c r="D11" s="134"/>
      <c r="E11" s="134"/>
      <c r="F11" s="135">
        <f>SUM(F12:F14)</f>
        <v>995</v>
      </c>
    </row>
    <row r="12" spans="2:7" x14ac:dyDescent="0.2">
      <c r="B12" s="143" t="s">
        <v>146</v>
      </c>
      <c r="C12" s="136">
        <v>930</v>
      </c>
      <c r="D12" s="137">
        <v>1</v>
      </c>
      <c r="E12" s="137" t="s">
        <v>113</v>
      </c>
      <c r="F12" s="138">
        <f>C12*D12</f>
        <v>930</v>
      </c>
    </row>
    <row r="13" spans="2:7" x14ac:dyDescent="0.2">
      <c r="B13" s="143" t="s">
        <v>90</v>
      </c>
      <c r="C13" s="136">
        <v>15</v>
      </c>
      <c r="D13" s="137">
        <v>1</v>
      </c>
      <c r="E13" s="137" t="s">
        <v>114</v>
      </c>
      <c r="F13" s="138">
        <f>C13*D13</f>
        <v>15</v>
      </c>
    </row>
    <row r="14" spans="2:7" ht="13.5" thickBot="1" x14ac:dyDescent="0.25">
      <c r="B14" s="145" t="s">
        <v>91</v>
      </c>
      <c r="C14" s="139">
        <v>1</v>
      </c>
      <c r="D14" s="140">
        <v>50</v>
      </c>
      <c r="E14" s="140" t="s">
        <v>27</v>
      </c>
      <c r="F14" s="141">
        <f>C14*D14</f>
        <v>50</v>
      </c>
    </row>
    <row r="15" spans="2:7" ht="26.25" thickBot="1" x14ac:dyDescent="0.25">
      <c r="B15" s="146" t="s">
        <v>92</v>
      </c>
      <c r="C15" s="147"/>
      <c r="D15" s="147"/>
      <c r="E15" s="147"/>
      <c r="F15" s="148">
        <f>+F4+F11</f>
        <v>2465</v>
      </c>
    </row>
    <row r="16" spans="2:7" x14ac:dyDescent="0.2">
      <c r="B16" s="27"/>
    </row>
    <row r="17" spans="2:2" x14ac:dyDescent="0.2">
      <c r="B17" s="27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Ventas_Unidades</vt:lpstr>
      <vt:lpstr>Presupuesto_Ventas</vt:lpstr>
      <vt:lpstr>Inversión_Inicial</vt:lpstr>
      <vt:lpstr>Depreciación_VR</vt:lpstr>
      <vt:lpstr>KW_Año 1</vt:lpstr>
      <vt:lpstr>Costos_Producción</vt:lpstr>
      <vt:lpstr>Sueldos</vt:lpstr>
      <vt:lpstr>Gastos_Operativos</vt:lpstr>
      <vt:lpstr>Costos_Unitarios</vt:lpstr>
      <vt:lpstr>Punto de equilibrio</vt:lpstr>
      <vt:lpstr>Estado de Resultados</vt:lpstr>
    </vt:vector>
  </TitlesOfParts>
  <Company>gestion aplicada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maSVER</dc:creator>
  <cp:lastModifiedBy>EDISON ACHALMA</cp:lastModifiedBy>
  <cp:lastPrinted>2008-10-28T16:11:43Z</cp:lastPrinted>
  <dcterms:created xsi:type="dcterms:W3CDTF">2008-10-28T16:04:50Z</dcterms:created>
  <dcterms:modified xsi:type="dcterms:W3CDTF">2021-08-04T00:10:27Z</dcterms:modified>
</cp:coreProperties>
</file>