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3. CASO DR. TRAGO/"/>
    </mc:Choice>
  </mc:AlternateContent>
  <xr:revisionPtr revIDLastSave="486" documentId="8_{D77491BF-622B-4E1C-A2C8-0372F916C642}" xr6:coauthVersionLast="47" xr6:coauthVersionMax="47" xr10:uidLastSave="{0FC877C7-A2C1-417D-A2FD-6B6E585889EF}"/>
  <bookViews>
    <workbookView xWindow="-120" yWindow="-120" windowWidth="29040" windowHeight="16440" activeTab="2" xr2:uid="{00000000-000D-0000-FFFF-FFFF00000000}"/>
  </bookViews>
  <sheets>
    <sheet name="Deprec. y VR" sheetId="3" r:id="rId1"/>
    <sheet name="Planillas" sheetId="4" r:id="rId2"/>
    <sheet name="FC Economico" sheetId="2" r:id="rId3"/>
    <sheet name="DEUDA" sheetId="5" r:id="rId4"/>
    <sheet name="FCD Y FCF" sheetId="6" r:id="rId5"/>
  </sheet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9" i="2" l="1"/>
  <c r="D130" i="2" l="1"/>
  <c r="O124" i="2" s="1"/>
  <c r="O125" i="2" s="1"/>
  <c r="P123" i="2"/>
  <c r="O123" i="2"/>
  <c r="O122" i="2"/>
  <c r="Q121" i="2"/>
  <c r="P121" i="2"/>
  <c r="O121" i="2"/>
  <c r="Q119" i="2"/>
  <c r="P119" i="2"/>
  <c r="O119" i="2"/>
  <c r="R119" i="2"/>
  <c r="K146" i="2"/>
  <c r="C147" i="2"/>
  <c r="J8" i="3"/>
  <c r="L128" i="2"/>
  <c r="K141" i="2"/>
  <c r="K142" i="2"/>
  <c r="K143" i="2"/>
  <c r="K144" i="2"/>
  <c r="K145" i="2"/>
  <c r="V113" i="2"/>
  <c r="V116" i="2"/>
  <c r="V114" i="2"/>
  <c r="D117" i="2"/>
  <c r="D132" i="2"/>
  <c r="E131" i="2"/>
  <c r="D131" i="2"/>
  <c r="D136" i="2" s="1"/>
  <c r="E130" i="2"/>
  <c r="E129" i="2"/>
  <c r="F129" i="2"/>
  <c r="D116" i="2"/>
  <c r="D115" i="2"/>
  <c r="D113" i="2"/>
  <c r="I4" i="4"/>
  <c r="F4" i="4"/>
  <c r="I8" i="4"/>
  <c r="E69" i="2"/>
  <c r="K112" i="2"/>
  <c r="J112" i="2"/>
  <c r="I112" i="2"/>
  <c r="H112" i="2"/>
  <c r="G112" i="2"/>
  <c r="F112" i="2"/>
  <c r="E112" i="2"/>
  <c r="D112" i="2"/>
  <c r="H110" i="2"/>
  <c r="G110" i="2"/>
  <c r="F110" i="2"/>
  <c r="E110" i="2"/>
  <c r="D110" i="2"/>
  <c r="L119" i="2"/>
  <c r="O131" i="2"/>
  <c r="K122" i="2"/>
  <c r="K121" i="2"/>
  <c r="D114" i="2"/>
  <c r="E114" i="2"/>
  <c r="K114" i="2"/>
  <c r="J114" i="2"/>
  <c r="I114" i="2"/>
  <c r="D105" i="2"/>
  <c r="D100" i="2"/>
  <c r="E105" i="2"/>
  <c r="C105" i="2"/>
  <c r="C103" i="2"/>
  <c r="C100" i="2"/>
  <c r="D103" i="2"/>
  <c r="E103" i="2"/>
  <c r="E104" i="2"/>
  <c r="E106" i="2"/>
  <c r="E102" i="2"/>
  <c r="E101" i="2"/>
  <c r="E100" i="2"/>
  <c r="K5" i="3"/>
  <c r="K8" i="3" s="1"/>
  <c r="J5" i="3"/>
  <c r="I6" i="3"/>
  <c r="I5" i="3"/>
  <c r="I8" i="3"/>
  <c r="E71" i="2" l="1"/>
  <c r="E72" i="2" s="1"/>
  <c r="E73" i="2" s="1"/>
  <c r="C81" i="2" s="1"/>
  <c r="D82" i="2"/>
  <c r="D83" i="2" s="1"/>
  <c r="C140" i="2"/>
  <c r="D84" i="2" l="1"/>
  <c r="C82" i="2"/>
  <c r="C146" i="2"/>
  <c r="N136" i="2"/>
  <c r="N133" i="2"/>
  <c r="F60" i="2"/>
  <c r="O132" i="2"/>
  <c r="O120" i="2"/>
  <c r="H100" i="2"/>
  <c r="E6" i="4"/>
  <c r="E4" i="4"/>
  <c r="I7" i="3"/>
  <c r="J7" i="3"/>
  <c r="J6" i="3"/>
  <c r="H7" i="3"/>
  <c r="H8" i="3"/>
  <c r="H5" i="3"/>
  <c r="G7" i="3"/>
  <c r="C8" i="3"/>
  <c r="C132" i="2"/>
  <c r="C136" i="2" s="1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N123" i="2"/>
  <c r="O130" i="2"/>
  <c r="P130" i="2" s="1"/>
  <c r="Q130" i="2" s="1"/>
  <c r="R130" i="2" s="1"/>
  <c r="S130" i="2" s="1"/>
  <c r="T130" i="2" s="1"/>
  <c r="U130" i="2" s="1"/>
  <c r="V130" i="2" s="1"/>
  <c r="K115" i="2"/>
  <c r="V121" i="2" s="1"/>
  <c r="H115" i="2"/>
  <c r="I115" i="2"/>
  <c r="T121" i="2" s="1"/>
  <c r="J115" i="2"/>
  <c r="E115" i="2"/>
  <c r="F115" i="2"/>
  <c r="G115" i="2"/>
  <c r="R121" i="2" s="1"/>
  <c r="E117" i="2"/>
  <c r="E133" i="2" s="1"/>
  <c r="D118" i="2"/>
  <c r="I139" i="2"/>
  <c r="K123" i="2"/>
  <c r="K124" i="2"/>
  <c r="K125" i="2"/>
  <c r="K126" i="2"/>
  <c r="K127" i="2"/>
  <c r="S121" i="2"/>
  <c r="E5" i="3"/>
  <c r="H9" i="6"/>
  <c r="I9" i="6"/>
  <c r="F3" i="6"/>
  <c r="G3" i="6" s="1"/>
  <c r="H3" i="6" s="1"/>
  <c r="I3" i="6" s="1"/>
  <c r="J3" i="6" s="1"/>
  <c r="K3" i="6"/>
  <c r="L3" i="6" s="1"/>
  <c r="E3" i="6"/>
  <c r="E7" i="5"/>
  <c r="E5" i="5"/>
  <c r="C14" i="5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E146" i="2"/>
  <c r="F146" i="2"/>
  <c r="H146" i="2"/>
  <c r="J146" i="2"/>
  <c r="J119" i="2"/>
  <c r="P117" i="2"/>
  <c r="Q117" i="2"/>
  <c r="S117" i="2"/>
  <c r="U117" i="2"/>
  <c r="N125" i="2"/>
  <c r="F5" i="4"/>
  <c r="F8" i="4"/>
  <c r="F6" i="4"/>
  <c r="F7" i="4"/>
  <c r="G7" i="4"/>
  <c r="E5" i="4"/>
  <c r="E8" i="4"/>
  <c r="E7" i="4"/>
  <c r="C8" i="4"/>
  <c r="G4" i="4"/>
  <c r="D5" i="4"/>
  <c r="G5" i="4" s="1"/>
  <c r="H5" i="4" s="1"/>
  <c r="D6" i="4"/>
  <c r="D7" i="4"/>
  <c r="D4" i="4"/>
  <c r="D8" i="4" s="1"/>
  <c r="F5" i="3"/>
  <c r="E7" i="3"/>
  <c r="E6" i="3"/>
  <c r="C137" i="2"/>
  <c r="N111" i="2" s="1"/>
  <c r="C138" i="2"/>
  <c r="N110" i="2" s="1"/>
  <c r="C139" i="2"/>
  <c r="N112" i="2" s="1"/>
  <c r="T112" i="2"/>
  <c r="G5" i="3"/>
  <c r="I5" i="4"/>
  <c r="J135" i="2"/>
  <c r="K119" i="2"/>
  <c r="K135" i="2" s="1"/>
  <c r="E8" i="5"/>
  <c r="U121" i="2"/>
  <c r="J9" i="6"/>
  <c r="K9" i="6"/>
  <c r="L9" i="6"/>
  <c r="C83" i="2" l="1"/>
  <c r="D85" i="2"/>
  <c r="E61" i="2"/>
  <c r="E62" i="2" s="1"/>
  <c r="D133" i="2"/>
  <c r="F117" i="2"/>
  <c r="H4" i="4"/>
  <c r="K7" i="3"/>
  <c r="F6" i="3"/>
  <c r="F8" i="3" s="1"/>
  <c r="G6" i="3"/>
  <c r="H6" i="3" s="1"/>
  <c r="D134" i="2"/>
  <c r="E118" i="2"/>
  <c r="K6" i="3"/>
  <c r="F133" i="2"/>
  <c r="G117" i="2"/>
  <c r="G8" i="4"/>
  <c r="G6" i="4"/>
  <c r="H7" i="4"/>
  <c r="I7" i="4"/>
  <c r="O133" i="2"/>
  <c r="O134" i="2" s="1"/>
  <c r="O135" i="2" s="1"/>
  <c r="O137" i="2" s="1"/>
  <c r="D86" i="2" l="1"/>
  <c r="C84" i="2"/>
  <c r="N115" i="2"/>
  <c r="N117" i="2" s="1"/>
  <c r="N126" i="2" s="1"/>
  <c r="D4" i="6" s="1"/>
  <c r="E113" i="2"/>
  <c r="P133" i="2" s="1"/>
  <c r="P134" i="2" s="1"/>
  <c r="O118" i="2"/>
  <c r="G133" i="2"/>
  <c r="H117" i="2"/>
  <c r="G8" i="3"/>
  <c r="H6" i="4"/>
  <c r="I6" i="4" s="1"/>
  <c r="F118" i="2"/>
  <c r="E134" i="2"/>
  <c r="D87" i="2" l="1"/>
  <c r="C85" i="2"/>
  <c r="E3" i="5"/>
  <c r="H133" i="2"/>
  <c r="I117" i="2"/>
  <c r="G118" i="2"/>
  <c r="F134" i="2"/>
  <c r="H8" i="4"/>
  <c r="F113" i="2"/>
  <c r="Q133" i="2" s="1"/>
  <c r="Q134" i="2" s="1"/>
  <c r="P118" i="2"/>
  <c r="P120" i="2"/>
  <c r="D88" i="2" l="1"/>
  <c r="C87" i="2" s="1"/>
  <c r="C86" i="2"/>
  <c r="E10" i="5"/>
  <c r="D5" i="6"/>
  <c r="D9" i="6" s="1"/>
  <c r="D10" i="6" s="1"/>
  <c r="D13" i="5"/>
  <c r="E13" i="5" s="1"/>
  <c r="D140" i="2"/>
  <c r="O115" i="2"/>
  <c r="Q118" i="2"/>
  <c r="F114" i="2"/>
  <c r="Q120" i="2" s="1"/>
  <c r="E116" i="2"/>
  <c r="F116" i="2"/>
  <c r="P131" i="2"/>
  <c r="P132" i="2" s="1"/>
  <c r="P135" i="2" s="1"/>
  <c r="P137" i="2" s="1"/>
  <c r="G113" i="2"/>
  <c r="R133" i="2" s="1"/>
  <c r="R134" i="2" s="1"/>
  <c r="I133" i="2"/>
  <c r="J117" i="2"/>
  <c r="H118" i="2"/>
  <c r="G134" i="2"/>
  <c r="D146" i="2" l="1"/>
  <c r="O117" i="2"/>
  <c r="G140" i="2"/>
  <c r="R115" i="2"/>
  <c r="R117" i="2" s="1"/>
  <c r="D89" i="2"/>
  <c r="C88" i="2" s="1"/>
  <c r="G20" i="5"/>
  <c r="G47" i="5"/>
  <c r="G38" i="5"/>
  <c r="G24" i="5"/>
  <c r="G35" i="5"/>
  <c r="G15" i="5"/>
  <c r="G41" i="5"/>
  <c r="G25" i="5"/>
  <c r="G39" i="5"/>
  <c r="G45" i="5"/>
  <c r="G17" i="5"/>
  <c r="G37" i="5"/>
  <c r="G33" i="5"/>
  <c r="G21" i="5"/>
  <c r="G16" i="5"/>
  <c r="G22" i="5"/>
  <c r="G19" i="5"/>
  <c r="G30" i="5"/>
  <c r="G23" i="5"/>
  <c r="G26" i="5"/>
  <c r="G43" i="5"/>
  <c r="G34" i="5"/>
  <c r="G42" i="5"/>
  <c r="G32" i="5"/>
  <c r="G48" i="5"/>
  <c r="G31" i="5"/>
  <c r="G18" i="5"/>
  <c r="G46" i="5"/>
  <c r="G44" i="5"/>
  <c r="G28" i="5"/>
  <c r="G13" i="5"/>
  <c r="F13" i="5" s="1"/>
  <c r="H13" i="5" s="1"/>
  <c r="D14" i="5" s="1"/>
  <c r="G29" i="5"/>
  <c r="G36" i="5"/>
  <c r="G14" i="5"/>
  <c r="G40" i="5"/>
  <c r="G27" i="5"/>
  <c r="K117" i="2"/>
  <c r="K133" i="2" s="1"/>
  <c r="J133" i="2"/>
  <c r="H113" i="2"/>
  <c r="S119" i="2" s="1"/>
  <c r="S133" i="2" s="1"/>
  <c r="S134" i="2" s="1"/>
  <c r="Q131" i="2"/>
  <c r="Q132" i="2" s="1"/>
  <c r="Q135" i="2" s="1"/>
  <c r="Q137" i="2" s="1"/>
  <c r="Q122" i="2"/>
  <c r="G116" i="2"/>
  <c r="R118" i="2"/>
  <c r="G114" i="2"/>
  <c r="R120" i="2" s="1"/>
  <c r="I110" i="2"/>
  <c r="H134" i="2"/>
  <c r="I118" i="2"/>
  <c r="P122" i="2"/>
  <c r="G146" i="2" l="1"/>
  <c r="I140" i="2"/>
  <c r="I146" i="2" s="1"/>
  <c r="T115" i="2"/>
  <c r="T117" i="2" s="1"/>
  <c r="P124" i="2"/>
  <c r="R122" i="2"/>
  <c r="H116" i="2"/>
  <c r="I113" i="2"/>
  <c r="T119" i="2" s="1"/>
  <c r="T133" i="2" s="1"/>
  <c r="G129" i="2"/>
  <c r="R131" i="2"/>
  <c r="R132" i="2" s="1"/>
  <c r="R135" i="2" s="1"/>
  <c r="R137" i="2" s="1"/>
  <c r="J110" i="2"/>
  <c r="K110" i="2"/>
  <c r="I134" i="2"/>
  <c r="J118" i="2"/>
  <c r="E14" i="5"/>
  <c r="H114" i="2"/>
  <c r="S120" i="2" s="1"/>
  <c r="S118" i="2"/>
  <c r="F130" i="2"/>
  <c r="Q124" i="2" s="1"/>
  <c r="G132" i="2" l="1"/>
  <c r="V117" i="2"/>
  <c r="F131" i="2"/>
  <c r="S122" i="2"/>
  <c r="I116" i="2"/>
  <c r="J113" i="2"/>
  <c r="U119" i="2" s="1"/>
  <c r="U133" i="2" s="1"/>
  <c r="D147" i="2"/>
  <c r="T118" i="2"/>
  <c r="T120" i="2"/>
  <c r="H129" i="2"/>
  <c r="K113" i="2"/>
  <c r="V119" i="2" s="1"/>
  <c r="V133" i="2" s="1"/>
  <c r="E132" i="2"/>
  <c r="P125" i="2"/>
  <c r="P126" i="2" s="1"/>
  <c r="F4" i="6" s="1"/>
  <c r="Q123" i="2"/>
  <c r="Q125" i="2" s="1"/>
  <c r="Q126" i="2" s="1"/>
  <c r="G4" i="6" s="1"/>
  <c r="F132" i="2"/>
  <c r="K118" i="2"/>
  <c r="K134" i="2" s="1"/>
  <c r="J134" i="2"/>
  <c r="S131" i="2"/>
  <c r="S132" i="2" s="1"/>
  <c r="S135" i="2" s="1"/>
  <c r="F14" i="5"/>
  <c r="G130" i="2"/>
  <c r="R124" i="2" s="1"/>
  <c r="B150" i="2" l="1"/>
  <c r="B151" i="2"/>
  <c r="E136" i="2"/>
  <c r="E147" i="2" s="1"/>
  <c r="G131" i="2"/>
  <c r="G136" i="2" s="1"/>
  <c r="G147" i="2" s="1"/>
  <c r="O126" i="2"/>
  <c r="E4" i="6" s="1"/>
  <c r="R123" i="2"/>
  <c r="R125" i="2" s="1"/>
  <c r="R126" i="2" s="1"/>
  <c r="H4" i="6" s="1"/>
  <c r="H10" i="6" s="1"/>
  <c r="T122" i="2"/>
  <c r="T134" i="2" s="1"/>
  <c r="J116" i="2"/>
  <c r="S137" i="2"/>
  <c r="V118" i="2"/>
  <c r="V120" i="2"/>
  <c r="U118" i="2"/>
  <c r="U120" i="2"/>
  <c r="I129" i="2"/>
  <c r="F136" i="2"/>
  <c r="F147" i="2" s="1"/>
  <c r="H130" i="2"/>
  <c r="S124" i="2" s="1"/>
  <c r="T131" i="2"/>
  <c r="T132" i="2" s="1"/>
  <c r="H14" i="5"/>
  <c r="D15" i="5" s="1"/>
  <c r="T135" i="2" l="1"/>
  <c r="T137" i="2" s="1"/>
  <c r="I132" i="2" s="1"/>
  <c r="E15" i="5"/>
  <c r="H132" i="2"/>
  <c r="S123" i="2"/>
  <c r="S125" i="2" s="1"/>
  <c r="S126" i="2" s="1"/>
  <c r="I4" i="6" s="1"/>
  <c r="I10" i="6" s="1"/>
  <c r="U131" i="2"/>
  <c r="U132" i="2" s="1"/>
  <c r="H131" i="2"/>
  <c r="J129" i="2"/>
  <c r="U122" i="2"/>
  <c r="U134" i="2" s="1"/>
  <c r="K116" i="2"/>
  <c r="I130" i="2"/>
  <c r="T124" i="2" s="1"/>
  <c r="V131" i="2"/>
  <c r="V132" i="2" s="1"/>
  <c r="T123" i="2" l="1"/>
  <c r="T125" i="2" s="1"/>
  <c r="T126" i="2" s="1"/>
  <c r="J4" i="6" s="1"/>
  <c r="J10" i="6" s="1"/>
  <c r="H136" i="2"/>
  <c r="H147" i="2" s="1"/>
  <c r="I131" i="2"/>
  <c r="I136" i="2" s="1"/>
  <c r="I147" i="2" s="1"/>
  <c r="U135" i="2"/>
  <c r="U137" i="2" s="1"/>
  <c r="U123" i="2" s="1"/>
  <c r="V122" i="2"/>
  <c r="K129" i="2"/>
  <c r="J130" i="2"/>
  <c r="U124" i="2" s="1"/>
  <c r="F15" i="5"/>
  <c r="J132" i="2" l="1"/>
  <c r="H15" i="5"/>
  <c r="D16" i="5" s="1"/>
  <c r="J131" i="2"/>
  <c r="K130" i="2"/>
  <c r="V124" i="2" s="1"/>
  <c r="V134" i="2"/>
  <c r="V135" i="2" s="1"/>
  <c r="V137" i="2" s="1"/>
  <c r="U125" i="2"/>
  <c r="U126" i="2" s="1"/>
  <c r="K4" i="6" s="1"/>
  <c r="K10" i="6" s="1"/>
  <c r="J136" i="2" l="1"/>
  <c r="J147" i="2" s="1"/>
  <c r="K131" i="2"/>
  <c r="E16" i="5"/>
  <c r="V123" i="2"/>
  <c r="V125" i="2" s="1"/>
  <c r="V126" i="2" s="1"/>
  <c r="L4" i="6" s="1"/>
  <c r="L10" i="6" s="1"/>
  <c r="K132" i="2"/>
  <c r="K136" i="2" l="1"/>
  <c r="K147" i="2" s="1"/>
  <c r="F16" i="5"/>
  <c r="H16" i="5" l="1"/>
  <c r="D17" i="5" s="1"/>
  <c r="E17" i="5" l="1"/>
  <c r="F17" i="5" s="1"/>
  <c r="H17" i="5" l="1"/>
  <c r="D18" i="5" s="1"/>
  <c r="E18" i="5" l="1"/>
  <c r="F18" i="5" s="1"/>
  <c r="H18" i="5" s="1"/>
  <c r="D19" i="5" s="1"/>
  <c r="E19" i="5" l="1"/>
  <c r="F19" i="5" s="1"/>
  <c r="H19" i="5" s="1"/>
  <c r="D20" i="5" s="1"/>
  <c r="E20" i="5" l="1"/>
  <c r="F20" i="5" s="1"/>
  <c r="H20" i="5" s="1"/>
  <c r="D21" i="5" s="1"/>
  <c r="E21" i="5" l="1"/>
  <c r="F21" i="5" s="1"/>
  <c r="H21" i="5" s="1"/>
  <c r="D22" i="5" s="1"/>
  <c r="E22" i="5" l="1"/>
  <c r="F22" i="5" s="1"/>
  <c r="H22" i="5" s="1"/>
  <c r="D23" i="5" s="1"/>
  <c r="E23" i="5" l="1"/>
  <c r="F23" i="5" s="1"/>
  <c r="H23" i="5" s="1"/>
  <c r="D24" i="5" s="1"/>
  <c r="E24" i="5" l="1"/>
  <c r="F24" i="5" l="1"/>
  <c r="K7" i="5"/>
  <c r="E7" i="6" s="1"/>
  <c r="E8" i="6" s="1"/>
  <c r="K6" i="5" l="1"/>
  <c r="H24" i="5"/>
  <c r="D25" i="5" s="1"/>
  <c r="E25" i="5" l="1"/>
  <c r="K8" i="5"/>
  <c r="E6" i="6"/>
  <c r="E9" i="6" s="1"/>
  <c r="E10" i="6" s="1"/>
  <c r="F25" i="5" l="1"/>
  <c r="H25" i="5" l="1"/>
  <c r="D26" i="5" s="1"/>
  <c r="E26" i="5" l="1"/>
  <c r="F26" i="5" l="1"/>
  <c r="H26" i="5" l="1"/>
  <c r="D27" i="5" s="1"/>
  <c r="E27" i="5" l="1"/>
  <c r="F27" i="5" l="1"/>
  <c r="H27" i="5" l="1"/>
  <c r="D28" i="5" s="1"/>
  <c r="E28" i="5" l="1"/>
  <c r="F28" i="5" l="1"/>
  <c r="H28" i="5" l="1"/>
  <c r="D29" i="5" s="1"/>
  <c r="E29" i="5" l="1"/>
  <c r="F29" i="5" l="1"/>
  <c r="H29" i="5" l="1"/>
  <c r="D30" i="5" s="1"/>
  <c r="E30" i="5" l="1"/>
  <c r="F30" i="5" s="1"/>
  <c r="H30" i="5" s="1"/>
  <c r="D31" i="5" s="1"/>
  <c r="E31" i="5" l="1"/>
  <c r="F31" i="5" s="1"/>
  <c r="H31" i="5" s="1"/>
  <c r="D32" i="5" s="1"/>
  <c r="E32" i="5" l="1"/>
  <c r="F32" i="5" s="1"/>
  <c r="H32" i="5" s="1"/>
  <c r="D33" i="5" s="1"/>
  <c r="E33" i="5" l="1"/>
  <c r="F33" i="5" s="1"/>
  <c r="H33" i="5" s="1"/>
  <c r="D34" i="5" s="1"/>
  <c r="E34" i="5" l="1"/>
  <c r="F34" i="5" s="1"/>
  <c r="H34" i="5" s="1"/>
  <c r="D35" i="5" s="1"/>
  <c r="E35" i="5" l="1"/>
  <c r="F35" i="5" s="1"/>
  <c r="H35" i="5" s="1"/>
  <c r="D36" i="5" s="1"/>
  <c r="E36" i="5" l="1"/>
  <c r="F36" i="5" l="1"/>
  <c r="L7" i="5"/>
  <c r="F7" i="6" s="1"/>
  <c r="F8" i="6" s="1"/>
  <c r="L6" i="5" l="1"/>
  <c r="H36" i="5"/>
  <c r="D37" i="5" s="1"/>
  <c r="E37" i="5" l="1"/>
  <c r="L8" i="5"/>
  <c r="F6" i="6"/>
  <c r="F9" i="6" s="1"/>
  <c r="F10" i="6" s="1"/>
  <c r="F37" i="5" l="1"/>
  <c r="H37" i="5" l="1"/>
  <c r="D38" i="5" s="1"/>
  <c r="E38" i="5" l="1"/>
  <c r="F38" i="5" l="1"/>
  <c r="H38" i="5" l="1"/>
  <c r="D39" i="5" s="1"/>
  <c r="E39" i="5" l="1"/>
  <c r="F39" i="5" l="1"/>
  <c r="H39" i="5" l="1"/>
  <c r="D40" i="5" s="1"/>
  <c r="E40" i="5" l="1"/>
  <c r="F40" i="5" l="1"/>
  <c r="H40" i="5" l="1"/>
  <c r="D41" i="5" s="1"/>
  <c r="E41" i="5" l="1"/>
  <c r="F41" i="5" l="1"/>
  <c r="H41" i="5" l="1"/>
  <c r="D42" i="5" s="1"/>
  <c r="E42" i="5" l="1"/>
  <c r="F42" i="5" s="1"/>
  <c r="H42" i="5" s="1"/>
  <c r="D43" i="5" s="1"/>
  <c r="E43" i="5" l="1"/>
  <c r="F43" i="5" s="1"/>
  <c r="H43" i="5" s="1"/>
  <c r="D44" i="5" s="1"/>
  <c r="E44" i="5" l="1"/>
  <c r="F44" i="5" s="1"/>
  <c r="H44" i="5" s="1"/>
  <c r="D45" i="5" s="1"/>
  <c r="E45" i="5" l="1"/>
  <c r="F45" i="5" s="1"/>
  <c r="H45" i="5" s="1"/>
  <c r="D46" i="5" s="1"/>
  <c r="E46" i="5" l="1"/>
  <c r="F46" i="5" s="1"/>
  <c r="H46" i="5" s="1"/>
  <c r="D47" i="5" s="1"/>
  <c r="E47" i="5" l="1"/>
  <c r="F47" i="5" s="1"/>
  <c r="H47" i="5" s="1"/>
  <c r="D48" i="5" s="1"/>
  <c r="E48" i="5" l="1"/>
  <c r="F48" i="5" l="1"/>
  <c r="M7" i="5"/>
  <c r="G7" i="6" s="1"/>
  <c r="G8" i="6" s="1"/>
  <c r="M6" i="5" l="1"/>
  <c r="H48" i="5"/>
  <c r="M8" i="5" l="1"/>
  <c r="G6" i="6"/>
  <c r="G9" i="6" s="1"/>
  <c r="G1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Edison</author>
    <author>tc={B36E9E1A-6340-44CB-9294-1237ACDB4AEC}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Este es el Valor de Recupero
</t>
        </r>
      </text>
    </comment>
    <comment ref="K4" authorId="1" shapeId="0" xr:uid="{B36E9E1A-6340-44CB-9294-1237ACDB4A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Esto es para el tratamiento tributario</t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Luego va sirver VALOR EN LIBROS
</t>
        </r>
      </text>
    </comment>
    <comment ref="K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Hay pérdida porque el valor en libros es mayor a el valor comercial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Edison</author>
    <author>UP</author>
    <author>tc={781C3D84-3B42-471E-AE26-ACEB9BFCEA2C}</author>
  </authors>
  <commentList>
    <comment ref="F60" authorId="0" shapeId="0" xr:uid="{02F05AED-3F35-46BF-A477-220E68E8E1C6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Compras
</t>
        </r>
      </text>
    </comment>
    <comment ref="C69" authorId="0" shapeId="0" xr:uid="{7186FC66-2B33-4B51-9021-0C71CA2C47F9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Es un CVU que se mantiene fijo, durante el horizonte de evaluación.</t>
        </r>
      </text>
    </comment>
    <comment ref="C82" authorId="0" shapeId="0" xr:uid="{EA3D44A5-B761-4182-A393-9E34BB36D673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Capital de trabajo recuperado debido a la reducion de la produccion en 20%</t>
        </r>
      </text>
    </comment>
    <comment ref="D83" authorId="0" shapeId="0" xr:uid="{5D7ADDA2-1B59-492C-8D99-0BB348681AEA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Se redujo con tasa de cambio de la produccion</t>
        </r>
      </text>
    </comment>
    <comment ref="D113" authorId="1" shapeId="0" xr:uid="{00000000-0006-0000-0200-000001000000}">
      <text>
        <r>
          <rPr>
            <b/>
            <sz val="8"/>
            <color indexed="81"/>
            <rFont val="Tahoma"/>
            <family val="2"/>
          </rPr>
          <t>UP: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19" authorId="2" shapeId="0" xr:uid="{781C3D84-3B42-471E-AE26-ACEB9BFCEA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Depreciaciones.</t>
      </text>
    </comment>
    <comment ref="L128" authorId="0" shapeId="0" xr:uid="{525EECA8-B67E-48AD-9789-0D6872BC5B4C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Es la pérdia por la venta de activo fijo, que es igual a la perdia que esta en la hoja de depreciaciones.</t>
        </r>
      </text>
    </comment>
    <comment ref="M133" authorId="0" shapeId="0" xr:uid="{439E15DD-79B6-44E6-B3E6-1E7F973153C2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Todas la compras inmersas con IGV</t>
        </r>
      </text>
    </comment>
    <comment ref="A149" authorId="0" shapeId="0" xr:uid="{379AECD7-8063-4BD0-A54A-CCC690C16A82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COSTO DE OPORTUNIDAD DE CAPITAL</t>
        </r>
      </text>
    </comment>
    <comment ref="B149" authorId="0" shapeId="0" xr:uid="{C2092652-709A-4FA9-8532-B1EF64D6C796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La rentabilidad mínima exgina por los inversionistas, acionistas de esta empres en termino reales es 15%</t>
        </r>
      </text>
    </comment>
    <comment ref="B150" authorId="0" shapeId="0" xr:uid="{7F18EB7E-DC60-4ADF-98FD-5B013E3623D3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Si tengo yo como inversionista un costo de oportunidad de invertir el 100% de mi patrimonio en este proyecto en terminos reales 15%) yo con este proyecto tendria ahora un valor 5105.365 mas o de valor  agragado depues de haber cubierto la inversion de 7576.625 millones o despues de haber cubierto mi costo de oportunidad de la rentabilidad minima exigida de 15%. Con este proyecto se estaria creando valor de esta empresa.</t>
        </r>
      </text>
    </comment>
    <comment ref="B151" authorId="0" shapeId="0" xr:uid="{56829A25-2593-4C3A-87D7-E46523BD31E4}">
      <text>
        <r>
          <rPr>
            <b/>
            <sz val="9"/>
            <color indexed="81"/>
            <rFont val="Tahoma"/>
            <family val="2"/>
          </rPr>
          <t>Edison:</t>
        </r>
        <r>
          <rPr>
            <sz val="9"/>
            <color indexed="81"/>
            <rFont val="Tahoma"/>
            <family val="2"/>
          </rPr>
          <t xml:space="preserve">
Mi rentabilidad promedio es 31,48%. Ademas es mayor a mi costo de oportunidad, entonces el proyecto va bien.</t>
        </r>
      </text>
    </comment>
  </commentList>
</comments>
</file>

<file path=xl/sharedStrings.xml><?xml version="1.0" encoding="utf-8"?>
<sst xmlns="http://schemas.openxmlformats.org/spreadsheetml/2006/main" count="265" uniqueCount="213">
  <si>
    <t>SOLUCION</t>
  </si>
  <si>
    <t>Año 0</t>
  </si>
  <si>
    <t>Año 1</t>
  </si>
  <si>
    <t>Año 2</t>
  </si>
  <si>
    <t>Año 3</t>
  </si>
  <si>
    <t>Año 4</t>
  </si>
  <si>
    <t>VAN =</t>
  </si>
  <si>
    <t>Año 5</t>
  </si>
  <si>
    <t>Año 6</t>
  </si>
  <si>
    <t>Valor de</t>
  </si>
  <si>
    <t>Energía</t>
  </si>
  <si>
    <t>mensual</t>
  </si>
  <si>
    <t>Un importante grupo de inversionistas desea determinar la rentablidad de instalarse en el país con</t>
  </si>
  <si>
    <t>la afamada marca de bebidas Dr. Trago en sus dos versiones: Azul y Roja. Para establecer la acep-</t>
  </si>
  <si>
    <t>tación del producto, se efectúo un estudio de mercado a través del mercado de prueba. Los resulta-</t>
  </si>
  <si>
    <t>dos fueron los siguientes:</t>
  </si>
  <si>
    <t>Durante el primer año de operación, las ventas, por concepto de conocimiento del producto, alcan-</t>
  </si>
  <si>
    <t xml:space="preserve">zarán a 350,000 litros; sin embargo, en una etapa posterior, más bien conocida como adopción </t>
  </si>
  <si>
    <t xml:space="preserve">(entre el segundo y cuarto año), se determinó que se podrían vender 280,000 litros, del quinto al </t>
  </si>
  <si>
    <t>sexto trienta por ciento más y los dos últimos 23% más que el periodo anterior. Por otra parte, se</t>
  </si>
  <si>
    <t xml:space="preserve">El estudio técnico del proyecto determinó que cada línea de producción era capaz de elaborar </t>
  </si>
  <si>
    <t>200,000 litros anuales, por lo que, cuando la demanda se incremente por sobre su capacidad, se</t>
  </si>
  <si>
    <t>deberá instalar una adicional. Para producir un litro de bebida se requería incurrir en los siguientes</t>
  </si>
  <si>
    <t>costos:</t>
  </si>
  <si>
    <t>Insumos</t>
  </si>
  <si>
    <t>Costo Unitario</t>
  </si>
  <si>
    <t>Azúcar</t>
  </si>
  <si>
    <t>Agua</t>
  </si>
  <si>
    <t>Colorantes</t>
  </si>
  <si>
    <t>Mano de obra directa</t>
  </si>
  <si>
    <t>Para operar con la marca Dr. Trago será necesario pagar un Royalty anual equivalente a 5% de las</t>
  </si>
  <si>
    <t>ventas netas para los tres primeros años y a 3% por los restantes.</t>
  </si>
  <si>
    <t>El estudio organizacional determinó que para el correcto desarrollo y administración de la empresa</t>
  </si>
  <si>
    <t>Puesto</t>
  </si>
  <si>
    <t>Remuneración Bruta</t>
  </si>
  <si>
    <t>Gerente general</t>
  </si>
  <si>
    <t>Gerente de marketing</t>
  </si>
  <si>
    <t>Gerente de Adm. y Finanzas</t>
  </si>
  <si>
    <t>Gerente de producción</t>
  </si>
  <si>
    <t>mensuales, cifra que se mantendrá constante en términos reales.</t>
  </si>
  <si>
    <t>El estudio financiero determinó que desde el momento en que la empresa empiece a producir hasta</t>
  </si>
  <si>
    <t>la primera venta trasncurrirá un periodo de tres meses, el cual deberá ser considerado como capital</t>
  </si>
  <si>
    <t>de trabajo sólo en lo que a costos variables se refiere, sin considerar Royalties.</t>
  </si>
  <si>
    <t>preciada linealmente en 20 años. Se estima que al final del octavo año de operación se podrá ven-</t>
  </si>
  <si>
    <t>der a 35% de su valor de adquisición. Para montar la fabrica se requerirá la compra de un terreno</t>
  </si>
  <si>
    <t>las líneas de producción tendrán un valor comercial o de salvamento equivalente a 35% de su valor</t>
  </si>
  <si>
    <t>de adquisición.</t>
  </si>
  <si>
    <t>Los inversionistas lo han elegido a usted para que los asesore en su decisión, para lo cual debe</t>
  </si>
  <si>
    <t>Inversión Inicial del Proyecto</t>
  </si>
  <si>
    <t>Activos</t>
  </si>
  <si>
    <t>Compra</t>
  </si>
  <si>
    <t>Infraestrucura</t>
  </si>
  <si>
    <t>Dos líneas de producción</t>
  </si>
  <si>
    <t>Terreno</t>
  </si>
  <si>
    <t>Capital de trabajo</t>
  </si>
  <si>
    <t>Inversión Inicial</t>
  </si>
  <si>
    <t xml:space="preserve">Adicionalmente se sabe que el final de periodo </t>
  </si>
  <si>
    <t>se invertirá en una nueva línea de produccón de</t>
  </si>
  <si>
    <t>200,000 litros para abastecer la demanda del</t>
  </si>
  <si>
    <t>año 7</t>
  </si>
  <si>
    <t>Para hallar el capital de trabajo se procede así:</t>
  </si>
  <si>
    <t>Costo / litro</t>
  </si>
  <si>
    <t>Producción primer año</t>
  </si>
  <si>
    <t>litros</t>
  </si>
  <si>
    <t>Costo de operación mensual</t>
  </si>
  <si>
    <t>El capital de trabajo varia de acuerdo con los cambios de producción, en el segundo año se requiere</t>
  </si>
  <si>
    <t xml:space="preserve">un menor capital de trabajo, por lo que se deberá retirar el capital de trabajo. El cuadro siguiente </t>
  </si>
  <si>
    <t>Momento</t>
  </si>
  <si>
    <t>Inversión en ca-</t>
  </si>
  <si>
    <t>pital de trabajo</t>
  </si>
  <si>
    <t xml:space="preserve">Capital en </t>
  </si>
  <si>
    <t>operación</t>
  </si>
  <si>
    <t>Cambio en la</t>
  </si>
  <si>
    <t>demanda</t>
  </si>
  <si>
    <t>Año 7</t>
  </si>
  <si>
    <t>Año 8</t>
  </si>
  <si>
    <t>Cada línea de producción tiene una capacidad máxima de 200,000 litros cada una, al sexto año de opera-</t>
  </si>
  <si>
    <t>ción deberá adquirirse una adicional, ya que la producción esperada para el año séptimno supera la capa-</t>
  </si>
  <si>
    <t>cidad máxima de las dos iniciales, las que no pueden exceder los 400,000 litros.</t>
  </si>
  <si>
    <t>Requerimientos de producción en función de la demanda estimada</t>
  </si>
  <si>
    <t>en litros</t>
  </si>
  <si>
    <t xml:space="preserve">Produccion </t>
  </si>
  <si>
    <t xml:space="preserve">estimada </t>
  </si>
  <si>
    <t>Royalty</t>
  </si>
  <si>
    <t>Gastos Administrativos</t>
  </si>
  <si>
    <t xml:space="preserve">Remuneraciones </t>
  </si>
  <si>
    <t>Deprec. Infraestructura</t>
  </si>
  <si>
    <t>Deprec.Líneas Antiguas</t>
  </si>
  <si>
    <t>Deprec. Línea Nueva</t>
  </si>
  <si>
    <t>Venta de Infraestructura</t>
  </si>
  <si>
    <t>Venta Linea Antigua</t>
  </si>
  <si>
    <t>Venta Línea Nueva</t>
  </si>
  <si>
    <t>Valor en libro Linea Nueva</t>
  </si>
  <si>
    <t>Valor libro de terreno</t>
  </si>
  <si>
    <t>Utilidad antes de Imp.</t>
  </si>
  <si>
    <t>Deprecición Infraestructura</t>
  </si>
  <si>
    <t>Deprec. Línea Antigua</t>
  </si>
  <si>
    <t>Inversión en terreno</t>
  </si>
  <si>
    <t>Inversión en líneas de prod.</t>
  </si>
  <si>
    <t>Inversión en capital de trab.</t>
  </si>
  <si>
    <t>Valor en libro terreno</t>
  </si>
  <si>
    <t>TIR=</t>
  </si>
  <si>
    <t>EJERCICIO: Flujo de Caja Económico</t>
  </si>
  <si>
    <t>RUBRO</t>
  </si>
  <si>
    <t>Infraestructura</t>
  </si>
  <si>
    <t>Activo fijo</t>
  </si>
  <si>
    <t>Valor Compra</t>
  </si>
  <si>
    <t>Vida util</t>
  </si>
  <si>
    <t>Tasa</t>
  </si>
  <si>
    <t>Dep. Acum.</t>
  </si>
  <si>
    <t>Valor Contable</t>
  </si>
  <si>
    <t>Valor comercial</t>
  </si>
  <si>
    <t>Valor en libros</t>
  </si>
  <si>
    <t>Utilidad/pérdida</t>
  </si>
  <si>
    <t>TOTAL</t>
  </si>
  <si>
    <t>Línea de prod. Nueva</t>
  </si>
  <si>
    <t>Deprec. Anual</t>
  </si>
  <si>
    <t>CTS</t>
  </si>
  <si>
    <t>ESSALUD</t>
  </si>
  <si>
    <t>PUESTO</t>
  </si>
  <si>
    <t>MES</t>
  </si>
  <si>
    <t>AÑO</t>
  </si>
  <si>
    <t>BENEF. SOC.</t>
  </si>
  <si>
    <t xml:space="preserve">SUB TOTAL </t>
  </si>
  <si>
    <t>Valor en Libro Linea Antigua</t>
  </si>
  <si>
    <t>definió como estrategia  vender la bebida a S/. 40 el litro.</t>
  </si>
  <si>
    <t>Valor en libro Linea Antigua</t>
  </si>
  <si>
    <t>Flujo Caja Económico</t>
  </si>
  <si>
    <t>Linea de producción</t>
  </si>
  <si>
    <t>Recupero de terreno</t>
  </si>
  <si>
    <t>Flujo de Inversión y Liquidación</t>
  </si>
  <si>
    <t>Ventas</t>
  </si>
  <si>
    <t>Costos de producción</t>
  </si>
  <si>
    <t>Gastos administrativos</t>
  </si>
  <si>
    <t>Remuneraciones</t>
  </si>
  <si>
    <t xml:space="preserve">Impuestos </t>
  </si>
  <si>
    <t xml:space="preserve">Flujo Operativo </t>
  </si>
  <si>
    <t>Flujo de Caja Económico</t>
  </si>
  <si>
    <t>Recupero de KW</t>
  </si>
  <si>
    <t>Inversión Infraestructura</t>
  </si>
  <si>
    <t>Recupero capital de trabajo</t>
  </si>
  <si>
    <t>venta de AF</t>
  </si>
  <si>
    <t>Venta de terreno</t>
  </si>
  <si>
    <t>FLUJO DE CAJA ECONÓMICO  FORMATO B</t>
  </si>
  <si>
    <t>FLUJO DE CAJA ECONÓMICO  FORMATO A</t>
  </si>
  <si>
    <t>Para la ejecución del proyecto se requerirá invertir S/.3´500,000 en infraestructura, la que será de-</t>
  </si>
  <si>
    <t>evaluado en 500,0000, valor que se mantendrá en el tiempo. Para la producción propiamente tal, se</t>
  </si>
  <si>
    <t>instalarán en un comienzo dos líneas de producción, cuya tecnología requiere una inversión de S/. 800,000</t>
  </si>
  <si>
    <t>cada una y serán depreciadas linealmente a 10 años. Al final del año ocho, todas</t>
  </si>
  <si>
    <t>Capital de trabajo inicial</t>
  </si>
  <si>
    <t>muestra los cambios en el capital de trabajo.</t>
  </si>
  <si>
    <t>PLANILLA DE REMUNERACIONES EN REGIMEN LABORAL GENERAL</t>
  </si>
  <si>
    <t>Valor de venta por litro</t>
  </si>
  <si>
    <t>Compras</t>
  </si>
  <si>
    <t>Pago de IGV</t>
  </si>
  <si>
    <t>Impuesto ( 29.5%)</t>
  </si>
  <si>
    <t>considerar que la tasa de impuestos a las utilidades es de 29.5% y el IGV igual a 18%.</t>
  </si>
  <si>
    <t>Adicionalmente, se han estimado gastos totales por concepto de administración por S/. 300,000</t>
  </si>
  <si>
    <t>PAGO DE IMPUESTO GENERAL A LAS VENTAS</t>
  </si>
  <si>
    <t>se encuentra en el régimen laboral y tributario general y será necesario contar con una estructura propuesta por:</t>
  </si>
  <si>
    <t>Flujo Operativo</t>
  </si>
  <si>
    <t>Flujo de Inversión y Liq.</t>
  </si>
  <si>
    <t>c.) Tabla de amortizacion de la deuda</t>
  </si>
  <si>
    <t>Amortización constante</t>
  </si>
  <si>
    <t>Prestamo =</t>
  </si>
  <si>
    <t>TEA nominal =</t>
  </si>
  <si>
    <t>TEM nominal¨=</t>
  </si>
  <si>
    <t>Inflacion Anual =</t>
  </si>
  <si>
    <t>Inflacion mes =</t>
  </si>
  <si>
    <t>TEM real =</t>
  </si>
  <si>
    <t>n =</t>
  </si>
  <si>
    <t>Amortización</t>
  </si>
  <si>
    <t>Trimestres</t>
  </si>
  <si>
    <t>Saldo inicial</t>
  </si>
  <si>
    <t>Interes</t>
  </si>
  <si>
    <t>Cuota</t>
  </si>
  <si>
    <t>Amortizacion</t>
  </si>
  <si>
    <t>Saldo final</t>
  </si>
  <si>
    <t>Amortización =</t>
  </si>
  <si>
    <t>Cuota de capital</t>
  </si>
  <si>
    <t>Flujo de Caja Económico FCE</t>
  </si>
  <si>
    <t>Escudo Fiscal de Intereses</t>
  </si>
  <si>
    <t>Flujo de Caja de la Deuda</t>
  </si>
  <si>
    <t>Flujo de Caja Financiero</t>
  </si>
  <si>
    <t>Péstamos</t>
  </si>
  <si>
    <t>Lineas</t>
  </si>
  <si>
    <t>Costo de producción primer año</t>
  </si>
  <si>
    <t>Ingreso por venta netas</t>
  </si>
  <si>
    <t>Costos Directos de producción</t>
  </si>
  <si>
    <t xml:space="preserve">COK = Ku =  </t>
  </si>
  <si>
    <t>IGV Recibido</t>
  </si>
  <si>
    <t>IGV Pagado</t>
  </si>
  <si>
    <t>IGV a pagar</t>
  </si>
  <si>
    <t>Crédito Fiscail</t>
  </si>
  <si>
    <t>IGV Neto a pagar</t>
  </si>
  <si>
    <t>DEPRECIACIÓN Y VALOR DE RECUPERO</t>
  </si>
  <si>
    <t>Líneas de prod. Antigua</t>
  </si>
  <si>
    <t>Año 7 - 8</t>
  </si>
  <si>
    <t>Año 1 - 6</t>
  </si>
  <si>
    <t>Perdida</t>
  </si>
  <si>
    <t>Se presenta un Escudo Fiscal porque hay pérdidas.</t>
  </si>
  <si>
    <t>Alimentos químicos</t>
  </si>
  <si>
    <t>Cambios en la</t>
  </si>
  <si>
    <t>Cambio marginal</t>
  </si>
  <si>
    <t>Cantidad producida</t>
  </si>
  <si>
    <t>-</t>
  </si>
  <si>
    <t>Utilidad Neta</t>
  </si>
  <si>
    <t>Valor en libro Infraestructura*</t>
  </si>
  <si>
    <t>*El valor en libro es el valor de recupero</t>
  </si>
  <si>
    <t>Tasa real, por el fjujo de caja esta proyectado en términos reales</t>
  </si>
  <si>
    <t>V en L es mayor al VC</t>
  </si>
  <si>
    <t>VALOR DE RECUPERO</t>
  </si>
  <si>
    <t>CVU que se mantiene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</si>
</sst>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6" formatCode="0.0%"/>
    <numFmt numFmtId="167" formatCode="0.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165" fontId="0" fillId="0" borderId="0" xfId="0" applyNumberFormat="1"/>
    <xf numFmtId="165" fontId="0" fillId="0" borderId="1" xfId="1" applyNumberFormat="1" applyFont="1" applyBorder="1"/>
    <xf numFmtId="165" fontId="0" fillId="0" borderId="1" xfId="0" applyNumberFormat="1" applyBorder="1"/>
    <xf numFmtId="165" fontId="0" fillId="0" borderId="3" xfId="1" applyNumberFormat="1" applyFont="1" applyBorder="1"/>
    <xf numFmtId="165" fontId="0" fillId="0" borderId="4" xfId="0" applyNumberFormat="1" applyBorder="1"/>
    <xf numFmtId="165" fontId="0" fillId="0" borderId="5" xfId="1" applyNumberFormat="1" applyFont="1" applyBorder="1"/>
    <xf numFmtId="165" fontId="0" fillId="0" borderId="3" xfId="0" applyNumberFormat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" xfId="0" applyNumberFormat="1" applyBorder="1"/>
    <xf numFmtId="9" fontId="0" fillId="0" borderId="3" xfId="0" applyNumberFormat="1" applyBorder="1"/>
    <xf numFmtId="165" fontId="0" fillId="0" borderId="16" xfId="0" applyNumberFormat="1" applyBorder="1"/>
    <xf numFmtId="0" fontId="0" fillId="2" borderId="1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16" fontId="2" fillId="4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2" xfId="0" applyFont="1" applyBorder="1"/>
    <xf numFmtId="0" fontId="5" fillId="3" borderId="1" xfId="0" applyFont="1" applyFill="1" applyBorder="1" applyAlignment="1">
      <alignment horizontal="right"/>
    </xf>
    <xf numFmtId="1" fontId="0" fillId="0" borderId="0" xfId="0" applyNumberFormat="1"/>
    <xf numFmtId="0" fontId="5" fillId="0" borderId="1" xfId="0" applyFont="1" applyFill="1" applyBorder="1"/>
    <xf numFmtId="0" fontId="2" fillId="0" borderId="1" xfId="0" applyFont="1" applyFill="1" applyBorder="1"/>
    <xf numFmtId="165" fontId="2" fillId="6" borderId="1" xfId="0" applyNumberFormat="1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7" borderId="0" xfId="0" applyFill="1"/>
    <xf numFmtId="0" fontId="5" fillId="7" borderId="0" xfId="0" applyFont="1" applyFill="1"/>
    <xf numFmtId="1" fontId="0" fillId="7" borderId="0" xfId="0" applyNumberFormat="1" applyFill="1"/>
    <xf numFmtId="9" fontId="5" fillId="7" borderId="0" xfId="2" applyFont="1" applyFill="1"/>
    <xf numFmtId="166" fontId="5" fillId="7" borderId="0" xfId="2" applyNumberFormat="1" applyFont="1" applyFill="1"/>
    <xf numFmtId="10" fontId="5" fillId="7" borderId="0" xfId="0" applyNumberFormat="1" applyFont="1" applyFill="1"/>
    <xf numFmtId="0" fontId="2" fillId="7" borderId="0" xfId="0" applyFont="1" applyFill="1"/>
    <xf numFmtId="10" fontId="2" fillId="7" borderId="0" xfId="0" applyNumberFormat="1" applyFont="1" applyFill="1"/>
    <xf numFmtId="167" fontId="0" fillId="7" borderId="0" xfId="0" applyNumberFormat="1" applyFill="1"/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3" xfId="0" applyNumberFormat="1" applyBorder="1"/>
    <xf numFmtId="167" fontId="0" fillId="0" borderId="1" xfId="0" applyNumberFormat="1" applyBorder="1"/>
    <xf numFmtId="0" fontId="2" fillId="6" borderId="2" xfId="0" applyFont="1" applyFill="1" applyBorder="1"/>
    <xf numFmtId="165" fontId="2" fillId="6" borderId="3" xfId="0" applyNumberFormat="1" applyFont="1" applyFill="1" applyBorder="1"/>
    <xf numFmtId="0" fontId="5" fillId="0" borderId="2" xfId="0" applyFont="1" applyFill="1" applyBorder="1"/>
    <xf numFmtId="0" fontId="6" fillId="9" borderId="2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2" fillId="10" borderId="2" xfId="0" applyFont="1" applyFill="1" applyBorder="1"/>
    <xf numFmtId="1" fontId="2" fillId="10" borderId="1" xfId="0" applyNumberFormat="1" applyFont="1" applyFill="1" applyBorder="1"/>
    <xf numFmtId="1" fontId="2" fillId="10" borderId="3" xfId="0" applyNumberFormat="1" applyFont="1" applyFill="1" applyBorder="1"/>
    <xf numFmtId="0" fontId="2" fillId="10" borderId="15" xfId="0" applyFont="1" applyFill="1" applyBorder="1"/>
    <xf numFmtId="165" fontId="2" fillId="10" borderId="16" xfId="0" applyNumberFormat="1" applyFont="1" applyFill="1" applyBorder="1"/>
    <xf numFmtId="165" fontId="2" fillId="10" borderId="4" xfId="0" applyNumberFormat="1" applyFont="1" applyFill="1" applyBorder="1"/>
    <xf numFmtId="0" fontId="5" fillId="7" borderId="0" xfId="0" applyFont="1" applyFill="1" applyBorder="1"/>
    <xf numFmtId="0" fontId="0" fillId="7" borderId="0" xfId="0" applyFill="1" applyBorder="1"/>
    <xf numFmtId="0" fontId="5" fillId="0" borderId="1" xfId="0" applyFont="1" applyBorder="1" applyAlignment="1"/>
    <xf numFmtId="0" fontId="0" fillId="0" borderId="0" xfId="0" applyAlignment="1">
      <alignment horizontal="left" vertical="top"/>
    </xf>
    <xf numFmtId="0" fontId="0" fillId="2" borderId="0" xfId="0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/>
    <xf numFmtId="0" fontId="5" fillId="7" borderId="1" xfId="0" applyFont="1" applyFill="1" applyBorder="1"/>
    <xf numFmtId="0" fontId="2" fillId="6" borderId="1" xfId="0" applyFont="1" applyFill="1" applyBorder="1" applyAlignment="1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0" fillId="0" borderId="6" xfId="0" applyNumberForma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3" xfId="0" applyNumberForma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2" borderId="10" xfId="0" applyFill="1" applyBorder="1" applyAlignment="1"/>
    <xf numFmtId="0" fontId="0" fillId="2" borderId="17" xfId="0" applyFill="1" applyBorder="1" applyAlignment="1"/>
    <xf numFmtId="0" fontId="0" fillId="2" borderId="14" xfId="0" applyFill="1" applyBorder="1" applyAlignment="1"/>
    <xf numFmtId="0" fontId="0" fillId="2" borderId="18" xfId="0" applyFill="1" applyBorder="1" applyAlignment="1"/>
    <xf numFmtId="0" fontId="0" fillId="2" borderId="12" xfId="0" applyFill="1" applyBorder="1" applyAlignment="1"/>
    <xf numFmtId="0" fontId="0" fillId="2" borderId="9" xfId="0" applyFill="1" applyBorder="1" applyAlignment="1"/>
    <xf numFmtId="0" fontId="0" fillId="2" borderId="7" xfId="0" applyFill="1" applyBorder="1" applyAlignment="1"/>
    <xf numFmtId="0" fontId="0" fillId="2" borderId="19" xfId="0" applyFill="1" applyBorder="1" applyAlignment="1"/>
    <xf numFmtId="165" fontId="2" fillId="0" borderId="0" xfId="0" applyNumberFormat="1" applyFont="1" applyAlignment="1">
      <alignment horizontal="right"/>
    </xf>
    <xf numFmtId="9" fontId="0" fillId="0" borderId="0" xfId="0" applyNumberFormat="1"/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left"/>
    </xf>
    <xf numFmtId="167" fontId="0" fillId="0" borderId="5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0" borderId="3" xfId="1" applyNumberFormat="1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167" fontId="2" fillId="2" borderId="16" xfId="0" applyNumberFormat="1" applyFont="1" applyFill="1" applyBorder="1" applyAlignment="1">
      <alignment horizontal="center" vertical="center"/>
    </xf>
    <xf numFmtId="167" fontId="2" fillId="6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167" fontId="5" fillId="7" borderId="1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5" borderId="1" xfId="0" applyFill="1" applyBorder="1"/>
    <xf numFmtId="167" fontId="0" fillId="5" borderId="1" xfId="0" applyNumberFormat="1" applyFill="1" applyBorder="1" applyAlignment="1">
      <alignment horizontal="center" vertical="center"/>
    </xf>
    <xf numFmtId="0" fontId="5" fillId="5" borderId="1" xfId="0" applyFont="1" applyFill="1" applyBorder="1"/>
    <xf numFmtId="0" fontId="5" fillId="5" borderId="2" xfId="0" applyFont="1" applyFill="1" applyBorder="1" applyAlignment="1">
      <alignment horizontal="left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5" borderId="3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167" fontId="0" fillId="5" borderId="3" xfId="1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ISON ACHALMA" id="{BBE65F32-8E09-4BBE-A778-BDB29046A220}" userId="b1ecd61295a042a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1-06-25T21:12:35.36" personId="{BBE65F32-8E09-4BBE-A778-BDB29046A220}" id="{B36E9E1A-6340-44CB-9294-1237ACDB4AEC}">
    <text>Esto es para el tratamiento tributario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19" dT="2021-06-26T12:52:42.00" personId="{BBE65F32-8E09-4BBE-A778-BDB29046A220}" id="{781C3D84-3B42-471E-AE26-ACEB9BFCEA2C}">
    <text>Depreciaciones.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4"/>
  <sheetViews>
    <sheetView topLeftCell="B1" zoomScale="87" workbookViewId="0">
      <selection activeCell="K38" sqref="K38"/>
    </sheetView>
  </sheetViews>
  <sheetFormatPr baseColWidth="10" defaultRowHeight="12.75" x14ac:dyDescent="0.2"/>
  <cols>
    <col min="2" max="2" width="25.7109375" customWidth="1"/>
    <col min="3" max="3" width="13.85546875" customWidth="1"/>
    <col min="4" max="4" width="8" customWidth="1"/>
    <col min="5" max="5" width="6.140625" customWidth="1"/>
    <col min="6" max="6" width="12.7109375" bestFit="1" customWidth="1"/>
    <col min="7" max="7" width="8.7109375" bestFit="1" customWidth="1"/>
    <col min="8" max="8" width="10.42578125" customWidth="1"/>
    <col min="9" max="9" width="15.28515625" customWidth="1"/>
    <col min="10" max="10" width="21.7109375" bestFit="1" customWidth="1"/>
    <col min="11" max="11" width="15.28515625" customWidth="1"/>
  </cols>
  <sheetData>
    <row r="1" spans="2:13" x14ac:dyDescent="0.2">
      <c r="B1" s="134" t="s">
        <v>195</v>
      </c>
      <c r="C1" s="134"/>
      <c r="D1" s="134"/>
      <c r="E1" s="134"/>
      <c r="F1" s="134"/>
      <c r="G1" s="134"/>
      <c r="H1" s="134"/>
      <c r="I1" s="134"/>
      <c r="J1" s="134"/>
      <c r="K1" s="134"/>
    </row>
    <row r="3" spans="2:13" x14ac:dyDescent="0.2">
      <c r="F3" s="41" t="s">
        <v>116</v>
      </c>
    </row>
    <row r="4" spans="2:13" x14ac:dyDescent="0.2">
      <c r="B4" s="43" t="s">
        <v>105</v>
      </c>
      <c r="C4" s="43" t="s">
        <v>106</v>
      </c>
      <c r="D4" s="43" t="s">
        <v>107</v>
      </c>
      <c r="E4" s="43" t="s">
        <v>108</v>
      </c>
      <c r="F4" s="46" t="s">
        <v>198</v>
      </c>
      <c r="G4" s="46" t="s">
        <v>197</v>
      </c>
      <c r="H4" s="43" t="s">
        <v>109</v>
      </c>
      <c r="I4" s="43" t="s">
        <v>111</v>
      </c>
      <c r="J4" s="43" t="s">
        <v>112</v>
      </c>
      <c r="K4" s="43" t="s">
        <v>113</v>
      </c>
    </row>
    <row r="5" spans="2:13" x14ac:dyDescent="0.2">
      <c r="B5" s="45" t="s">
        <v>104</v>
      </c>
      <c r="C5" s="101">
        <v>3500000</v>
      </c>
      <c r="D5" s="102">
        <v>20</v>
      </c>
      <c r="E5" s="101">
        <f>1/20</f>
        <v>0.05</v>
      </c>
      <c r="F5" s="101">
        <f>C5*E5</f>
        <v>175000</v>
      </c>
      <c r="G5" s="101">
        <f>C5*E5</f>
        <v>175000</v>
      </c>
      <c r="H5" s="101">
        <f>G5*8</f>
        <v>1400000</v>
      </c>
      <c r="I5" s="101">
        <f>C5*0.35</f>
        <v>1225000</v>
      </c>
      <c r="J5" s="101">
        <f>C5-H5</f>
        <v>2100000</v>
      </c>
      <c r="K5" s="101">
        <f>I5-J5</f>
        <v>-875000</v>
      </c>
    </row>
    <row r="6" spans="2:13" x14ac:dyDescent="0.2">
      <c r="B6" s="94" t="s">
        <v>196</v>
      </c>
      <c r="C6" s="101">
        <v>1600000</v>
      </c>
      <c r="D6" s="103">
        <v>10</v>
      </c>
      <c r="E6" s="101">
        <f>1/10</f>
        <v>0.1</v>
      </c>
      <c r="F6" s="101">
        <f>C6*E6</f>
        <v>160000</v>
      </c>
      <c r="G6" s="101">
        <f>C6*E6</f>
        <v>160000</v>
      </c>
      <c r="H6" s="101">
        <f>G6*8</f>
        <v>1280000</v>
      </c>
      <c r="I6" s="101">
        <f>C6*0.35</f>
        <v>560000</v>
      </c>
      <c r="J6" s="101">
        <f>C6-H6</f>
        <v>320000</v>
      </c>
      <c r="K6" s="101">
        <f>I6-J6</f>
        <v>240000</v>
      </c>
    </row>
    <row r="7" spans="2:13" x14ac:dyDescent="0.2">
      <c r="B7" s="45" t="s">
        <v>115</v>
      </c>
      <c r="C7" s="101">
        <v>800000</v>
      </c>
      <c r="D7" s="103">
        <v>10</v>
      </c>
      <c r="E7" s="101">
        <f>1/10</f>
        <v>0.1</v>
      </c>
      <c r="F7" s="101">
        <v>0</v>
      </c>
      <c r="G7" s="101">
        <f>C7*E7</f>
        <v>80000</v>
      </c>
      <c r="H7" s="101">
        <f>G7*2</f>
        <v>160000</v>
      </c>
      <c r="I7" s="101">
        <f>C7*0.35</f>
        <v>280000</v>
      </c>
      <c r="J7" s="101">
        <f>C7-H7</f>
        <v>640000</v>
      </c>
      <c r="K7" s="101">
        <f>I7-J7</f>
        <v>-360000</v>
      </c>
    </row>
    <row r="8" spans="2:13" x14ac:dyDescent="0.2">
      <c r="B8" s="39" t="s">
        <v>114</v>
      </c>
      <c r="C8" s="101">
        <f>C5+C6</f>
        <v>5100000</v>
      </c>
      <c r="D8" s="101"/>
      <c r="E8" s="101"/>
      <c r="F8" s="101">
        <f>F5+F6</f>
        <v>335000</v>
      </c>
      <c r="G8" s="101">
        <f>G5+G6+G7</f>
        <v>415000</v>
      </c>
      <c r="H8" s="104">
        <f>H5+H6+H7</f>
        <v>2840000</v>
      </c>
      <c r="I8" s="101">
        <f>I5+I6+I7</f>
        <v>2065000</v>
      </c>
      <c r="J8" s="101">
        <f>J5+J6+J7</f>
        <v>3060000</v>
      </c>
      <c r="K8" s="104">
        <f>K5+K6+K7</f>
        <v>-995000</v>
      </c>
      <c r="L8" t="s">
        <v>199</v>
      </c>
      <c r="M8" t="s">
        <v>200</v>
      </c>
    </row>
    <row r="9" spans="2:13" x14ac:dyDescent="0.2">
      <c r="J9" t="s">
        <v>211</v>
      </c>
      <c r="L9" t="s">
        <v>210</v>
      </c>
    </row>
    <row r="14" spans="2:13" x14ac:dyDescent="0.2">
      <c r="C14" s="95"/>
    </row>
  </sheetData>
  <mergeCells count="1">
    <mergeCell ref="B1:K1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8"/>
  <sheetViews>
    <sheetView workbookViewId="0">
      <selection activeCell="I8" sqref="I8"/>
    </sheetView>
  </sheetViews>
  <sheetFormatPr baseColWidth="10" defaultRowHeight="12.75" x14ac:dyDescent="0.2"/>
  <cols>
    <col min="2" max="2" width="24.42578125" customWidth="1"/>
    <col min="3" max="3" width="8.42578125" customWidth="1"/>
    <col min="4" max="4" width="8.7109375" customWidth="1"/>
    <col min="5" max="5" width="12.42578125" customWidth="1"/>
    <col min="6" max="6" width="7.85546875" customWidth="1"/>
    <col min="8" max="8" width="10.7109375" customWidth="1"/>
    <col min="9" max="9" width="9" customWidth="1"/>
  </cols>
  <sheetData>
    <row r="1" spans="2:9" x14ac:dyDescent="0.2">
      <c r="B1" s="134" t="s">
        <v>151</v>
      </c>
      <c r="C1" s="134"/>
      <c r="D1" s="134"/>
      <c r="E1" s="134"/>
      <c r="F1" s="134"/>
      <c r="G1" s="134"/>
      <c r="H1" s="134"/>
      <c r="I1" s="134"/>
    </row>
    <row r="3" spans="2:9" x14ac:dyDescent="0.2">
      <c r="B3" s="48" t="s">
        <v>119</v>
      </c>
      <c r="C3" s="48" t="s">
        <v>120</v>
      </c>
      <c r="D3" s="48" t="s">
        <v>121</v>
      </c>
      <c r="E3" s="48" t="s">
        <v>122</v>
      </c>
      <c r="F3" s="48" t="s">
        <v>117</v>
      </c>
      <c r="G3" s="48" t="s">
        <v>123</v>
      </c>
      <c r="H3" s="48" t="s">
        <v>118</v>
      </c>
      <c r="I3" s="48" t="s">
        <v>114</v>
      </c>
    </row>
    <row r="4" spans="2:9" x14ac:dyDescent="0.2">
      <c r="B4" s="3" t="s">
        <v>35</v>
      </c>
      <c r="C4" s="50">
        <v>8000</v>
      </c>
      <c r="D4" s="38">
        <f>C4*12</f>
        <v>96000</v>
      </c>
      <c r="E4" s="38">
        <f>C4*2</f>
        <v>16000</v>
      </c>
      <c r="F4" s="38">
        <f>C4*1</f>
        <v>8000</v>
      </c>
      <c r="G4" s="38">
        <f>D4+E4+F4</f>
        <v>120000</v>
      </c>
      <c r="H4" s="38">
        <f>G4*0.09</f>
        <v>10800</v>
      </c>
      <c r="I4" s="38">
        <f>G4+H4</f>
        <v>130800</v>
      </c>
    </row>
    <row r="5" spans="2:9" x14ac:dyDescent="0.2">
      <c r="B5" s="3" t="s">
        <v>36</v>
      </c>
      <c r="C5" s="50">
        <v>5800</v>
      </c>
      <c r="D5" s="38">
        <f>C5*12</f>
        <v>69600</v>
      </c>
      <c r="E5" s="38">
        <f>C5*2</f>
        <v>11600</v>
      </c>
      <c r="F5" s="38">
        <f>C5*1</f>
        <v>5800</v>
      </c>
      <c r="G5" s="38">
        <f>D5+E5+F5</f>
        <v>87000</v>
      </c>
      <c r="H5" s="38">
        <f>G5*0.09</f>
        <v>7830</v>
      </c>
      <c r="I5" s="38">
        <f>G5+H5</f>
        <v>94830</v>
      </c>
    </row>
    <row r="6" spans="2:9" x14ac:dyDescent="0.2">
      <c r="B6" s="3" t="s">
        <v>37</v>
      </c>
      <c r="C6" s="50">
        <v>6000</v>
      </c>
      <c r="D6" s="38">
        <f>C6*12</f>
        <v>72000</v>
      </c>
      <c r="E6" s="38">
        <f>C6*2</f>
        <v>12000</v>
      </c>
      <c r="F6" s="38">
        <f>C6*1</f>
        <v>6000</v>
      </c>
      <c r="G6" s="38">
        <f>D6+E6+F6</f>
        <v>90000</v>
      </c>
      <c r="H6" s="38">
        <f>G6*0.09</f>
        <v>8100</v>
      </c>
      <c r="I6" s="38">
        <f>G6+H6</f>
        <v>98100</v>
      </c>
    </row>
    <row r="7" spans="2:9" x14ac:dyDescent="0.2">
      <c r="B7" s="3" t="s">
        <v>38</v>
      </c>
      <c r="C7" s="50">
        <v>5500</v>
      </c>
      <c r="D7" s="38">
        <f>C7*12</f>
        <v>66000</v>
      </c>
      <c r="E7" s="38">
        <f>C7*2</f>
        <v>11000</v>
      </c>
      <c r="F7" s="38">
        <f>C7*1</f>
        <v>5500</v>
      </c>
      <c r="G7" s="38">
        <f>D7+E7+F7</f>
        <v>82500</v>
      </c>
      <c r="H7" s="38">
        <f>G7*0.09</f>
        <v>7425</v>
      </c>
      <c r="I7" s="38">
        <f>G7+H7</f>
        <v>89925</v>
      </c>
    </row>
    <row r="8" spans="2:9" x14ac:dyDescent="0.2">
      <c r="B8" s="42" t="s">
        <v>114</v>
      </c>
      <c r="C8" s="49">
        <f t="shared" ref="C8:H8" si="0">SUM(C4:C7)</f>
        <v>25300</v>
      </c>
      <c r="D8" s="49">
        <f t="shared" si="0"/>
        <v>303600</v>
      </c>
      <c r="E8" s="49">
        <f t="shared" si="0"/>
        <v>50600</v>
      </c>
      <c r="F8" s="49">
        <f t="shared" si="0"/>
        <v>25300</v>
      </c>
      <c r="G8" s="49">
        <f t="shared" si="0"/>
        <v>379500</v>
      </c>
      <c r="H8" s="49">
        <f t="shared" si="0"/>
        <v>34155</v>
      </c>
      <c r="I8" s="49">
        <f>SUM(I4:I7)</f>
        <v>413655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4"/>
  <sheetViews>
    <sheetView showGridLines="0" tabSelected="1" topLeftCell="A108" zoomScaleNormal="100" workbookViewId="0">
      <selection activeCell="D129" sqref="D129"/>
    </sheetView>
  </sheetViews>
  <sheetFormatPr baseColWidth="10" defaultRowHeight="12.75" x14ac:dyDescent="0.2"/>
  <cols>
    <col min="1" max="1" width="34" bestFit="1" customWidth="1"/>
    <col min="2" max="2" width="14.5703125" customWidth="1"/>
    <col min="3" max="3" width="12.7109375" customWidth="1"/>
    <col min="4" max="4" width="17.7109375" customWidth="1"/>
    <col min="5" max="5" width="12.5703125" customWidth="1"/>
    <col min="6" max="6" width="13" customWidth="1"/>
    <col min="7" max="7" width="12.7109375" customWidth="1"/>
    <col min="8" max="8" width="13.140625" customWidth="1"/>
    <col min="9" max="9" width="14.5703125" customWidth="1"/>
    <col min="10" max="11" width="14.42578125" customWidth="1"/>
    <col min="12" max="12" width="11.42578125" style="156"/>
    <col min="13" max="13" width="31.42578125" customWidth="1"/>
    <col min="14" max="14" width="17.7109375" customWidth="1"/>
    <col min="15" max="16" width="15.5703125" bestFit="1" customWidth="1"/>
    <col min="17" max="17" width="13.140625" customWidth="1"/>
    <col min="18" max="19" width="15.5703125" bestFit="1" customWidth="1"/>
    <col min="20" max="20" width="12.140625" customWidth="1"/>
    <col min="21" max="22" width="16.140625" bestFit="1" customWidth="1"/>
  </cols>
  <sheetData>
    <row r="1" spans="1:5" x14ac:dyDescent="0.2">
      <c r="A1" s="1"/>
      <c r="B1" s="1" t="s">
        <v>102</v>
      </c>
      <c r="C1" s="1"/>
    </row>
    <row r="2" spans="1:5" x14ac:dyDescent="0.2">
      <c r="B2" t="s">
        <v>12</v>
      </c>
    </row>
    <row r="3" spans="1:5" x14ac:dyDescent="0.2">
      <c r="B3" t="s">
        <v>13</v>
      </c>
    </row>
    <row r="4" spans="1:5" x14ac:dyDescent="0.2">
      <c r="B4" t="s">
        <v>14</v>
      </c>
    </row>
    <row r="5" spans="1:5" x14ac:dyDescent="0.2">
      <c r="B5" t="s">
        <v>15</v>
      </c>
    </row>
    <row r="6" spans="1:5" x14ac:dyDescent="0.2">
      <c r="B6" t="s">
        <v>16</v>
      </c>
    </row>
    <row r="7" spans="1:5" x14ac:dyDescent="0.2">
      <c r="B7" t="s">
        <v>17</v>
      </c>
    </row>
    <row r="8" spans="1:5" x14ac:dyDescent="0.2">
      <c r="B8" t="s">
        <v>18</v>
      </c>
    </row>
    <row r="9" spans="1:5" x14ac:dyDescent="0.2">
      <c r="B9" t="s">
        <v>19</v>
      </c>
    </row>
    <row r="10" spans="1:5" x14ac:dyDescent="0.2">
      <c r="B10" s="41" t="s">
        <v>125</v>
      </c>
    </row>
    <row r="12" spans="1:5" x14ac:dyDescent="0.2">
      <c r="B12" t="s">
        <v>20</v>
      </c>
    </row>
    <row r="13" spans="1:5" x14ac:dyDescent="0.2">
      <c r="B13" t="s">
        <v>21</v>
      </c>
    </row>
    <row r="14" spans="1:5" x14ac:dyDescent="0.2">
      <c r="B14" t="s">
        <v>22</v>
      </c>
    </row>
    <row r="15" spans="1:5" x14ac:dyDescent="0.2">
      <c r="B15" t="s">
        <v>23</v>
      </c>
    </row>
    <row r="16" spans="1:5" x14ac:dyDescent="0.2">
      <c r="C16" s="1" t="s">
        <v>24</v>
      </c>
      <c r="D16" s="1"/>
      <c r="E16" s="1" t="s">
        <v>25</v>
      </c>
    </row>
    <row r="17" spans="2:6" x14ac:dyDescent="0.2">
      <c r="C17" t="s">
        <v>26</v>
      </c>
      <c r="E17">
        <v>1.86</v>
      </c>
    </row>
    <row r="18" spans="2:6" x14ac:dyDescent="0.2">
      <c r="C18" t="s">
        <v>27</v>
      </c>
      <c r="E18">
        <v>1.24</v>
      </c>
    </row>
    <row r="19" spans="2:6" x14ac:dyDescent="0.2">
      <c r="C19" s="41" t="s">
        <v>201</v>
      </c>
      <c r="E19">
        <v>3.58</v>
      </c>
    </row>
    <row r="20" spans="2:6" x14ac:dyDescent="0.2">
      <c r="C20" t="s">
        <v>28</v>
      </c>
      <c r="E20">
        <v>2.5499999999999998</v>
      </c>
    </row>
    <row r="21" spans="2:6" x14ac:dyDescent="0.2">
      <c r="C21" t="s">
        <v>10</v>
      </c>
      <c r="E21">
        <v>1.8</v>
      </c>
    </row>
    <row r="22" spans="2:6" x14ac:dyDescent="0.2">
      <c r="C22" t="s">
        <v>29</v>
      </c>
      <c r="E22">
        <v>11.56</v>
      </c>
    </row>
    <row r="23" spans="2:6" x14ac:dyDescent="0.2">
      <c r="B23" s="133" t="s">
        <v>30</v>
      </c>
    </row>
    <row r="24" spans="2:6" x14ac:dyDescent="0.2">
      <c r="B24" t="s">
        <v>31</v>
      </c>
    </row>
    <row r="25" spans="2:6" x14ac:dyDescent="0.2">
      <c r="B25" t="s">
        <v>32</v>
      </c>
    </row>
    <row r="26" spans="2:6" x14ac:dyDescent="0.2">
      <c r="B26" t="s">
        <v>159</v>
      </c>
    </row>
    <row r="28" spans="2:6" x14ac:dyDescent="0.2">
      <c r="C28" s="1" t="s">
        <v>33</v>
      </c>
      <c r="E28" s="1" t="s">
        <v>34</v>
      </c>
    </row>
    <row r="29" spans="2:6" x14ac:dyDescent="0.2">
      <c r="C29" t="s">
        <v>35</v>
      </c>
      <c r="E29" s="2">
        <v>8000</v>
      </c>
      <c r="F29" t="s">
        <v>11</v>
      </c>
    </row>
    <row r="30" spans="2:6" x14ac:dyDescent="0.2">
      <c r="C30" t="s">
        <v>36</v>
      </c>
      <c r="E30" s="2">
        <v>5800</v>
      </c>
      <c r="F30" t="s">
        <v>11</v>
      </c>
    </row>
    <row r="31" spans="2:6" x14ac:dyDescent="0.2">
      <c r="C31" t="s">
        <v>37</v>
      </c>
      <c r="E31" s="2">
        <v>6000</v>
      </c>
      <c r="F31" t="s">
        <v>11</v>
      </c>
    </row>
    <row r="32" spans="2:6" x14ac:dyDescent="0.2">
      <c r="C32" t="s">
        <v>38</v>
      </c>
      <c r="E32" s="2">
        <v>5500</v>
      </c>
      <c r="F32" t="s">
        <v>11</v>
      </c>
    </row>
    <row r="33" spans="2:2" x14ac:dyDescent="0.2">
      <c r="B33" s="41" t="s">
        <v>157</v>
      </c>
    </row>
    <row r="34" spans="2:2" x14ac:dyDescent="0.2">
      <c r="B34" t="s">
        <v>39</v>
      </c>
    </row>
    <row r="36" spans="2:2" x14ac:dyDescent="0.2">
      <c r="B36" t="s">
        <v>40</v>
      </c>
    </row>
    <row r="37" spans="2:2" x14ac:dyDescent="0.2">
      <c r="B37" t="s">
        <v>41</v>
      </c>
    </row>
    <row r="38" spans="2:2" x14ac:dyDescent="0.2">
      <c r="B38" t="s">
        <v>42</v>
      </c>
    </row>
    <row r="39" spans="2:2" x14ac:dyDescent="0.2">
      <c r="B39" s="41" t="s">
        <v>145</v>
      </c>
    </row>
    <row r="40" spans="2:2" x14ac:dyDescent="0.2">
      <c r="B40" t="s">
        <v>43</v>
      </c>
    </row>
    <row r="41" spans="2:2" x14ac:dyDescent="0.2">
      <c r="B41" t="s">
        <v>44</v>
      </c>
    </row>
    <row r="42" spans="2:2" x14ac:dyDescent="0.2">
      <c r="B42" s="41" t="s">
        <v>146</v>
      </c>
    </row>
    <row r="43" spans="2:2" x14ac:dyDescent="0.2">
      <c r="B43" s="41" t="s">
        <v>147</v>
      </c>
    </row>
    <row r="44" spans="2:2" x14ac:dyDescent="0.2">
      <c r="B44" s="41" t="s">
        <v>148</v>
      </c>
    </row>
    <row r="45" spans="2:2" x14ac:dyDescent="0.2">
      <c r="B45" t="s">
        <v>45</v>
      </c>
    </row>
    <row r="46" spans="2:2" x14ac:dyDescent="0.2">
      <c r="B46" t="s">
        <v>46</v>
      </c>
    </row>
    <row r="48" spans="2:2" x14ac:dyDescent="0.2">
      <c r="B48" s="41" t="s">
        <v>47</v>
      </c>
    </row>
    <row r="49" spans="2:6" x14ac:dyDescent="0.2">
      <c r="B49" s="41" t="s">
        <v>156</v>
      </c>
    </row>
    <row r="50" spans="2:6" x14ac:dyDescent="0.2">
      <c r="B50" s="41"/>
    </row>
    <row r="52" spans="2:6" x14ac:dyDescent="0.2">
      <c r="B52" s="44" t="s">
        <v>0</v>
      </c>
    </row>
    <row r="54" spans="2:6" x14ac:dyDescent="0.2">
      <c r="C54" t="s">
        <v>48</v>
      </c>
    </row>
    <row r="55" spans="2:6" ht="13.5" thickBot="1" x14ac:dyDescent="0.25"/>
    <row r="56" spans="2:6" x14ac:dyDescent="0.2">
      <c r="C56" s="20" t="s">
        <v>49</v>
      </c>
      <c r="D56" s="21"/>
      <c r="E56" s="24" t="s">
        <v>9</v>
      </c>
    </row>
    <row r="57" spans="2:6" ht="13.5" thickBot="1" x14ac:dyDescent="0.25">
      <c r="C57" s="22"/>
      <c r="D57" s="23"/>
      <c r="E57" s="10" t="s">
        <v>50</v>
      </c>
    </row>
    <row r="58" spans="2:6" x14ac:dyDescent="0.2">
      <c r="C58" s="139" t="s">
        <v>51</v>
      </c>
      <c r="D58" s="140"/>
      <c r="E58" s="105">
        <v>3500000</v>
      </c>
    </row>
    <row r="59" spans="2:6" x14ac:dyDescent="0.2">
      <c r="C59" s="4" t="s">
        <v>52</v>
      </c>
      <c r="D59" s="3"/>
      <c r="E59" s="106">
        <v>1600000</v>
      </c>
    </row>
    <row r="60" spans="2:6" x14ac:dyDescent="0.2">
      <c r="C60" s="135" t="s">
        <v>53</v>
      </c>
      <c r="D60" s="136"/>
      <c r="E60" s="106">
        <v>500000</v>
      </c>
      <c r="F60" s="11">
        <f>E58+E59+E60</f>
        <v>5600000</v>
      </c>
    </row>
    <row r="61" spans="2:6" x14ac:dyDescent="0.2">
      <c r="C61" s="4" t="s">
        <v>54</v>
      </c>
      <c r="D61" s="3"/>
      <c r="E61" s="107">
        <f>E73</f>
        <v>1976625.0000000005</v>
      </c>
    </row>
    <row r="62" spans="2:6" ht="13.5" thickBot="1" x14ac:dyDescent="0.25">
      <c r="C62" s="137" t="s">
        <v>55</v>
      </c>
      <c r="D62" s="138"/>
      <c r="E62" s="108">
        <f>SUM(E58:E61)</f>
        <v>7576625</v>
      </c>
    </row>
    <row r="63" spans="2:6" x14ac:dyDescent="0.2">
      <c r="C63" t="s">
        <v>56</v>
      </c>
    </row>
    <row r="64" spans="2:6" x14ac:dyDescent="0.2">
      <c r="C64" t="s">
        <v>57</v>
      </c>
    </row>
    <row r="65" spans="2:6" x14ac:dyDescent="0.2">
      <c r="C65" t="s">
        <v>58</v>
      </c>
    </row>
    <row r="66" spans="2:6" x14ac:dyDescent="0.2">
      <c r="C66" t="s">
        <v>59</v>
      </c>
    </row>
    <row r="68" spans="2:6" x14ac:dyDescent="0.2">
      <c r="C68" t="s">
        <v>60</v>
      </c>
    </row>
    <row r="69" spans="2:6" x14ac:dyDescent="0.2">
      <c r="C69" t="s">
        <v>61</v>
      </c>
      <c r="E69" s="109">
        <f>SUM(E17:E22)</f>
        <v>22.590000000000003</v>
      </c>
      <c r="F69" t="s">
        <v>212</v>
      </c>
    </row>
    <row r="70" spans="2:6" x14ac:dyDescent="0.2">
      <c r="C70" t="s">
        <v>62</v>
      </c>
      <c r="E70" s="110">
        <v>350000</v>
      </c>
      <c r="F70" t="s">
        <v>63</v>
      </c>
    </row>
    <row r="71" spans="2:6" x14ac:dyDescent="0.2">
      <c r="C71" t="s">
        <v>186</v>
      </c>
      <c r="E71" s="111">
        <f>E70*E69</f>
        <v>7906500.0000000009</v>
      </c>
    </row>
    <row r="72" spans="2:6" x14ac:dyDescent="0.2">
      <c r="C72" t="s">
        <v>64</v>
      </c>
      <c r="E72" s="112">
        <f>E71/12</f>
        <v>658875.00000000012</v>
      </c>
    </row>
    <row r="73" spans="2:6" x14ac:dyDescent="0.2">
      <c r="C73" s="1" t="s">
        <v>149</v>
      </c>
      <c r="D73" s="1"/>
      <c r="E73" s="121">
        <f>E72*3</f>
        <v>1976625.0000000005</v>
      </c>
    </row>
    <row r="75" spans="2:6" x14ac:dyDescent="0.2">
      <c r="B75" t="s">
        <v>65</v>
      </c>
    </row>
    <row r="76" spans="2:6" x14ac:dyDescent="0.2">
      <c r="B76" t="s">
        <v>66</v>
      </c>
    </row>
    <row r="77" spans="2:6" x14ac:dyDescent="0.2">
      <c r="B77" s="41" t="s">
        <v>150</v>
      </c>
    </row>
    <row r="78" spans="2:6" ht="13.5" thickBot="1" x14ac:dyDescent="0.25"/>
    <row r="79" spans="2:6" x14ac:dyDescent="0.2">
      <c r="B79" s="113" t="s">
        <v>67</v>
      </c>
      <c r="C79" s="114" t="s">
        <v>68</v>
      </c>
      <c r="D79" s="115" t="s">
        <v>70</v>
      </c>
      <c r="E79" s="116" t="s">
        <v>72</v>
      </c>
    </row>
    <row r="80" spans="2:6" ht="13.5" thickBot="1" x14ac:dyDescent="0.25">
      <c r="B80" s="117"/>
      <c r="C80" s="118" t="s">
        <v>69</v>
      </c>
      <c r="D80" s="119" t="s">
        <v>71</v>
      </c>
      <c r="E80" s="120" t="s">
        <v>73</v>
      </c>
    </row>
    <row r="81" spans="2:5" x14ac:dyDescent="0.2">
      <c r="B81" s="25" t="s">
        <v>1</v>
      </c>
      <c r="C81" s="16">
        <f>E73*(-1)</f>
        <v>-1976625.0000000005</v>
      </c>
      <c r="D81" s="8">
        <v>0</v>
      </c>
      <c r="E81" s="9">
        <v>0</v>
      </c>
    </row>
    <row r="82" spans="2:5" x14ac:dyDescent="0.2">
      <c r="B82" s="19" t="s">
        <v>2</v>
      </c>
      <c r="C82" s="13">
        <f>D83-D82</f>
        <v>395325</v>
      </c>
      <c r="D82" s="13">
        <f>C81</f>
        <v>-1976625.0000000005</v>
      </c>
      <c r="E82" s="6">
        <v>0</v>
      </c>
    </row>
    <row r="83" spans="2:5" x14ac:dyDescent="0.2">
      <c r="B83" s="19" t="s">
        <v>3</v>
      </c>
      <c r="C83" s="13">
        <f t="shared" ref="C83:C84" si="0">D84-D83</f>
        <v>0</v>
      </c>
      <c r="D83" s="13">
        <f>D82*(1+E83)</f>
        <v>-1581300.0000000005</v>
      </c>
      <c r="E83" s="28">
        <v>-0.2</v>
      </c>
    </row>
    <row r="84" spans="2:5" x14ac:dyDescent="0.2">
      <c r="B84" s="19" t="s">
        <v>4</v>
      </c>
      <c r="C84" s="13">
        <f t="shared" si="0"/>
        <v>0</v>
      </c>
      <c r="D84" s="13">
        <f>D83</f>
        <v>-1581300.0000000005</v>
      </c>
      <c r="E84" s="6">
        <v>0</v>
      </c>
    </row>
    <row r="85" spans="2:5" x14ac:dyDescent="0.2">
      <c r="B85" s="19" t="s">
        <v>5</v>
      </c>
      <c r="C85" s="13">
        <f>D86-D85</f>
        <v>-474390.00000000023</v>
      </c>
      <c r="D85" s="13">
        <f>D84</f>
        <v>-1581300.0000000005</v>
      </c>
      <c r="E85" s="6">
        <v>0</v>
      </c>
    </row>
    <row r="86" spans="2:5" x14ac:dyDescent="0.2">
      <c r="B86" s="19" t="s">
        <v>7</v>
      </c>
      <c r="C86" s="13">
        <f>D87-D86</f>
        <v>0</v>
      </c>
      <c r="D86" s="13">
        <f>D85*(1+E86)</f>
        <v>-2055690.0000000007</v>
      </c>
      <c r="E86" s="28">
        <v>0.3</v>
      </c>
    </row>
    <row r="87" spans="2:5" x14ac:dyDescent="0.2">
      <c r="B87" s="19" t="s">
        <v>8</v>
      </c>
      <c r="C87" s="13">
        <f>D88-D87</f>
        <v>-472808.69999999995</v>
      </c>
      <c r="D87" s="13">
        <f>D86</f>
        <v>-2055690.0000000007</v>
      </c>
      <c r="E87" s="6">
        <v>0</v>
      </c>
    </row>
    <row r="88" spans="2:5" x14ac:dyDescent="0.2">
      <c r="B88" s="19" t="s">
        <v>74</v>
      </c>
      <c r="C88" s="13">
        <f>D89-D88</f>
        <v>0</v>
      </c>
      <c r="D88" s="12">
        <f>D87*(1+E88)</f>
        <v>-2528498.7000000007</v>
      </c>
      <c r="E88" s="28">
        <v>0.23</v>
      </c>
    </row>
    <row r="89" spans="2:5" ht="13.5" thickBot="1" x14ac:dyDescent="0.25">
      <c r="B89" s="26" t="s">
        <v>75</v>
      </c>
      <c r="C89" s="29">
        <v>0</v>
      </c>
      <c r="D89" s="29">
        <f>D88</f>
        <v>-2528498.7000000007</v>
      </c>
      <c r="E89" s="7">
        <v>0</v>
      </c>
    </row>
    <row r="91" spans="2:5" x14ac:dyDescent="0.2">
      <c r="B91" t="s">
        <v>76</v>
      </c>
    </row>
    <row r="92" spans="2:5" x14ac:dyDescent="0.2">
      <c r="B92" t="s">
        <v>77</v>
      </c>
    </row>
    <row r="93" spans="2:5" x14ac:dyDescent="0.2">
      <c r="B93" t="s">
        <v>78</v>
      </c>
    </row>
    <row r="95" spans="2:5" x14ac:dyDescent="0.2">
      <c r="B95" s="142" t="s">
        <v>79</v>
      </c>
      <c r="C95" s="142"/>
      <c r="D95" s="142"/>
      <c r="E95" s="142"/>
    </row>
    <row r="96" spans="2:5" ht="13.5" thickBot="1" x14ac:dyDescent="0.25"/>
    <row r="97" spans="1:22" x14ac:dyDescent="0.2">
      <c r="B97" s="30" t="s">
        <v>67</v>
      </c>
      <c r="C97" s="123" t="s">
        <v>202</v>
      </c>
      <c r="D97" s="124" t="s">
        <v>203</v>
      </c>
      <c r="E97" s="31" t="s">
        <v>81</v>
      </c>
    </row>
    <row r="98" spans="1:22" ht="13.5" thickBot="1" x14ac:dyDescent="0.25">
      <c r="B98" s="32"/>
      <c r="C98" s="18" t="s">
        <v>73</v>
      </c>
      <c r="D98" s="33" t="s">
        <v>80</v>
      </c>
      <c r="E98" s="34" t="s">
        <v>82</v>
      </c>
      <c r="F98" s="96" t="s">
        <v>185</v>
      </c>
    </row>
    <row r="99" spans="1:22" x14ac:dyDescent="0.2">
      <c r="B99" s="19" t="s">
        <v>2</v>
      </c>
      <c r="C99" s="13"/>
      <c r="D99" s="13">
        <v>0</v>
      </c>
      <c r="E99" s="5">
        <v>350000</v>
      </c>
      <c r="F99" s="125">
        <v>2</v>
      </c>
    </row>
    <row r="100" spans="1:22" x14ac:dyDescent="0.2">
      <c r="B100" s="19" t="s">
        <v>3</v>
      </c>
      <c r="C100" s="27">
        <f>E83</f>
        <v>-0.2</v>
      </c>
      <c r="D100" s="13">
        <f>E100-E99</f>
        <v>-70000</v>
      </c>
      <c r="E100" s="14">
        <f>E99*(1+C100)</f>
        <v>280000</v>
      </c>
      <c r="F100" s="126">
        <v>2</v>
      </c>
      <c r="H100" s="122">
        <f>(E100-E99)/E99</f>
        <v>-0.2</v>
      </c>
    </row>
    <row r="101" spans="1:22" x14ac:dyDescent="0.2">
      <c r="B101" s="19" t="s">
        <v>4</v>
      </c>
      <c r="C101" s="3"/>
      <c r="D101" s="13">
        <v>0</v>
      </c>
      <c r="E101" s="17">
        <f>E100</f>
        <v>280000</v>
      </c>
      <c r="F101" s="125">
        <v>2</v>
      </c>
    </row>
    <row r="102" spans="1:22" x14ac:dyDescent="0.2">
      <c r="B102" s="19" t="s">
        <v>5</v>
      </c>
      <c r="C102" s="13"/>
      <c r="D102" s="13">
        <v>0</v>
      </c>
      <c r="E102" s="17">
        <f>E101</f>
        <v>280000</v>
      </c>
      <c r="F102" s="125">
        <v>2</v>
      </c>
    </row>
    <row r="103" spans="1:22" x14ac:dyDescent="0.2">
      <c r="B103" s="19" t="s">
        <v>7</v>
      </c>
      <c r="C103" s="27">
        <f>E86</f>
        <v>0.3</v>
      </c>
      <c r="D103" s="13">
        <f>E103-E102</f>
        <v>84000</v>
      </c>
      <c r="E103" s="17">
        <f>E102*(1+C103)</f>
        <v>364000</v>
      </c>
      <c r="F103" s="125">
        <v>2</v>
      </c>
    </row>
    <row r="104" spans="1:22" x14ac:dyDescent="0.2">
      <c r="B104" s="19" t="s">
        <v>8</v>
      </c>
      <c r="C104" s="13"/>
      <c r="D104" s="13">
        <v>0</v>
      </c>
      <c r="E104" s="17">
        <f>E103</f>
        <v>364000</v>
      </c>
      <c r="F104" s="125">
        <v>2</v>
      </c>
    </row>
    <row r="105" spans="1:22" x14ac:dyDescent="0.2">
      <c r="B105" s="19" t="s">
        <v>74</v>
      </c>
      <c r="C105" s="27">
        <f>E88</f>
        <v>0.23</v>
      </c>
      <c r="D105" s="12">
        <f>E105-E104</f>
        <v>83720</v>
      </c>
      <c r="E105" s="17">
        <f>E104*(1+C105)</f>
        <v>447720</v>
      </c>
      <c r="F105" s="125">
        <v>3</v>
      </c>
    </row>
    <row r="106" spans="1:22" ht="13.5" thickBot="1" x14ac:dyDescent="0.25">
      <c r="B106" s="26" t="s">
        <v>75</v>
      </c>
      <c r="C106" s="29">
        <v>0</v>
      </c>
      <c r="D106" s="29">
        <v>0</v>
      </c>
      <c r="E106" s="15">
        <f>E105</f>
        <v>447720</v>
      </c>
      <c r="F106" s="125">
        <v>3</v>
      </c>
    </row>
    <row r="108" spans="1:22" ht="13.5" thickBot="1" x14ac:dyDescent="0.25">
      <c r="A108" s="141" t="s">
        <v>143</v>
      </c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M108" s="141" t="s">
        <v>144</v>
      </c>
      <c r="N108" s="141"/>
      <c r="O108" s="141"/>
      <c r="P108" s="141"/>
      <c r="Q108" s="141"/>
      <c r="R108" s="141"/>
      <c r="S108" s="141"/>
      <c r="T108" s="141"/>
      <c r="U108" s="141"/>
      <c r="V108" s="141"/>
    </row>
    <row r="109" spans="1:22" ht="13.5" thickBot="1" x14ac:dyDescent="0.25">
      <c r="A109" s="57" t="s">
        <v>103</v>
      </c>
      <c r="B109" s="58"/>
      <c r="C109" s="58" t="s">
        <v>1</v>
      </c>
      <c r="D109" s="58" t="s">
        <v>2</v>
      </c>
      <c r="E109" s="58" t="s">
        <v>3</v>
      </c>
      <c r="F109" s="58" t="s">
        <v>4</v>
      </c>
      <c r="G109" s="58" t="s">
        <v>5</v>
      </c>
      <c r="H109" s="58" t="s">
        <v>7</v>
      </c>
      <c r="I109" s="58" t="s">
        <v>8</v>
      </c>
      <c r="J109" s="58" t="s">
        <v>74</v>
      </c>
      <c r="K109" s="59" t="s">
        <v>75</v>
      </c>
      <c r="M109" s="60" t="s">
        <v>103</v>
      </c>
      <c r="N109" s="60" t="s">
        <v>1</v>
      </c>
      <c r="O109" s="60" t="s">
        <v>2</v>
      </c>
      <c r="P109" s="60" t="s">
        <v>3</v>
      </c>
      <c r="Q109" s="60" t="s">
        <v>4</v>
      </c>
      <c r="R109" s="60" t="s">
        <v>5</v>
      </c>
      <c r="S109" s="60" t="s">
        <v>7</v>
      </c>
      <c r="T109" s="60" t="s">
        <v>8</v>
      </c>
      <c r="U109" s="60" t="s">
        <v>74</v>
      </c>
      <c r="V109" s="61" t="s">
        <v>75</v>
      </c>
    </row>
    <row r="110" spans="1:22" x14ac:dyDescent="0.2">
      <c r="A110" s="127" t="s">
        <v>204</v>
      </c>
      <c r="B110" s="36"/>
      <c r="C110" s="143"/>
      <c r="D110" s="143">
        <f>E99</f>
        <v>350000</v>
      </c>
      <c r="E110" s="143">
        <f>E100</f>
        <v>280000</v>
      </c>
      <c r="F110" s="143">
        <f>E101</f>
        <v>280000</v>
      </c>
      <c r="G110" s="143">
        <f>E102</f>
        <v>280000</v>
      </c>
      <c r="H110" s="143">
        <f>E103</f>
        <v>364000</v>
      </c>
      <c r="I110" s="143">
        <f>E104</f>
        <v>364000</v>
      </c>
      <c r="J110" s="143">
        <f>E105</f>
        <v>447720</v>
      </c>
      <c r="K110" s="144">
        <f>E106</f>
        <v>447720</v>
      </c>
      <c r="M110" s="160" t="s">
        <v>53</v>
      </c>
      <c r="N110" s="161">
        <f>C138</f>
        <v>-500000</v>
      </c>
      <c r="O110" s="161"/>
      <c r="P110" s="161"/>
      <c r="Q110" s="161"/>
      <c r="R110" s="161"/>
      <c r="S110" s="161"/>
      <c r="T110" s="161"/>
      <c r="U110" s="161"/>
      <c r="V110" s="161"/>
    </row>
    <row r="111" spans="1:22" x14ac:dyDescent="0.2">
      <c r="A111" s="128" t="s">
        <v>152</v>
      </c>
      <c r="B111" s="3"/>
      <c r="C111" s="145"/>
      <c r="D111" s="145">
        <v>40</v>
      </c>
      <c r="E111" s="145">
        <v>40</v>
      </c>
      <c r="F111" s="145">
        <v>40</v>
      </c>
      <c r="G111" s="145">
        <v>40</v>
      </c>
      <c r="H111" s="145">
        <v>40</v>
      </c>
      <c r="I111" s="145">
        <v>40</v>
      </c>
      <c r="J111" s="145">
        <v>40</v>
      </c>
      <c r="K111" s="145">
        <v>40</v>
      </c>
      <c r="M111" s="160" t="s">
        <v>104</v>
      </c>
      <c r="N111" s="161">
        <f>C137</f>
        <v>-3500000</v>
      </c>
      <c r="O111" s="161"/>
      <c r="P111" s="161"/>
      <c r="Q111" s="161"/>
      <c r="R111" s="161"/>
      <c r="S111" s="161"/>
      <c r="T111" s="161"/>
      <c r="U111" s="161"/>
      <c r="V111" s="161"/>
    </row>
    <row r="112" spans="1:22" x14ac:dyDescent="0.2">
      <c r="A112" s="129" t="s">
        <v>187</v>
      </c>
      <c r="B112" s="35"/>
      <c r="C112" s="145"/>
      <c r="D112" s="146">
        <f t="shared" ref="D112:K112" si="1">D110*D111</f>
        <v>14000000</v>
      </c>
      <c r="E112" s="146">
        <f t="shared" si="1"/>
        <v>11200000</v>
      </c>
      <c r="F112" s="146">
        <f t="shared" si="1"/>
        <v>11200000</v>
      </c>
      <c r="G112" s="146">
        <f t="shared" si="1"/>
        <v>11200000</v>
      </c>
      <c r="H112" s="146">
        <f t="shared" si="1"/>
        <v>14560000</v>
      </c>
      <c r="I112" s="146">
        <f t="shared" si="1"/>
        <v>14560000</v>
      </c>
      <c r="J112" s="146">
        <f t="shared" si="1"/>
        <v>17908800</v>
      </c>
      <c r="K112" s="147">
        <f t="shared" si="1"/>
        <v>17908800</v>
      </c>
      <c r="M112" s="162" t="s">
        <v>128</v>
      </c>
      <c r="N112" s="161">
        <f>C139</f>
        <v>-1600000</v>
      </c>
      <c r="O112" s="161"/>
      <c r="P112" s="161"/>
      <c r="Q112" s="161"/>
      <c r="R112" s="161"/>
      <c r="S112" s="161"/>
      <c r="T112" s="161">
        <f>I139</f>
        <v>-800000</v>
      </c>
      <c r="U112" s="161"/>
      <c r="V112" s="161"/>
    </row>
    <row r="113" spans="1:23" x14ac:dyDescent="0.2">
      <c r="A113" s="129" t="s">
        <v>188</v>
      </c>
      <c r="B113" s="3"/>
      <c r="C113" s="145"/>
      <c r="D113" s="145">
        <f>D110*$E$69*(-1)</f>
        <v>-7906500.0000000009</v>
      </c>
      <c r="E113" s="145">
        <f t="shared" ref="E113:K113" si="2">E110*$E$69*(-1)</f>
        <v>-6325200.0000000009</v>
      </c>
      <c r="F113" s="145">
        <f t="shared" si="2"/>
        <v>-6325200.0000000009</v>
      </c>
      <c r="G113" s="145">
        <f t="shared" si="2"/>
        <v>-6325200.0000000009</v>
      </c>
      <c r="H113" s="145">
        <f t="shared" si="2"/>
        <v>-8222760.0000000009</v>
      </c>
      <c r="I113" s="145">
        <f t="shared" si="2"/>
        <v>-8222760.0000000009</v>
      </c>
      <c r="J113" s="145">
        <f t="shared" si="2"/>
        <v>-10113994.800000001</v>
      </c>
      <c r="K113" s="148">
        <f t="shared" si="2"/>
        <v>-10113994.800000001</v>
      </c>
      <c r="M113" s="162" t="s">
        <v>129</v>
      </c>
      <c r="N113" s="161"/>
      <c r="O113" s="161"/>
      <c r="P113" s="161"/>
      <c r="Q113" s="161"/>
      <c r="R113" s="161"/>
      <c r="S113" s="161"/>
      <c r="T113" s="161"/>
      <c r="U113" s="161"/>
      <c r="V113" s="161">
        <f>-N110</f>
        <v>500000</v>
      </c>
    </row>
    <row r="114" spans="1:23" x14ac:dyDescent="0.2">
      <c r="A114" s="129" t="s">
        <v>83</v>
      </c>
      <c r="B114" s="3"/>
      <c r="C114" s="145"/>
      <c r="D114" s="145">
        <f>D112*0.05*(-1)</f>
        <v>-700000</v>
      </c>
      <c r="E114" s="145">
        <f>E112*0.05*(-1)</f>
        <v>-560000</v>
      </c>
      <c r="F114" s="145">
        <f>F112*0.05*(-1)</f>
        <v>-560000</v>
      </c>
      <c r="G114" s="145">
        <f>G112*0.03*(-1)</f>
        <v>-336000</v>
      </c>
      <c r="H114" s="145">
        <f>H112*0.03*(-1)</f>
        <v>-436800</v>
      </c>
      <c r="I114" s="145">
        <f>I112*0.03*(-1)</f>
        <v>-436800</v>
      </c>
      <c r="J114" s="145">
        <f>J112*0.03*(-1)</f>
        <v>-537264</v>
      </c>
      <c r="K114" s="148">
        <f>K112*0.03*(-1)</f>
        <v>-537264</v>
      </c>
      <c r="M114" s="162" t="s">
        <v>141</v>
      </c>
      <c r="N114" s="161"/>
      <c r="O114" s="161"/>
      <c r="P114" s="161"/>
      <c r="Q114" s="161"/>
      <c r="R114" s="161"/>
      <c r="S114" s="161"/>
      <c r="T114" s="161"/>
      <c r="U114" s="161"/>
      <c r="V114" s="161">
        <f>'Deprec. y VR'!I8</f>
        <v>2065000</v>
      </c>
    </row>
    <row r="115" spans="1:23" x14ac:dyDescent="0.2">
      <c r="A115" s="129" t="s">
        <v>84</v>
      </c>
      <c r="B115" s="3"/>
      <c r="C115" s="145"/>
      <c r="D115" s="146">
        <f>30000*12*(-1)</f>
        <v>-360000</v>
      </c>
      <c r="E115" s="146">
        <f t="shared" ref="E115:K115" si="3">30000*12*(-1)</f>
        <v>-360000</v>
      </c>
      <c r="F115" s="146">
        <f t="shared" si="3"/>
        <v>-360000</v>
      </c>
      <c r="G115" s="146">
        <f t="shared" si="3"/>
        <v>-360000</v>
      </c>
      <c r="H115" s="146">
        <f t="shared" si="3"/>
        <v>-360000</v>
      </c>
      <c r="I115" s="146">
        <f t="shared" si="3"/>
        <v>-360000</v>
      </c>
      <c r="J115" s="146">
        <f t="shared" si="3"/>
        <v>-360000</v>
      </c>
      <c r="K115" s="146">
        <f t="shared" si="3"/>
        <v>-360000</v>
      </c>
      <c r="M115" s="162" t="s">
        <v>54</v>
      </c>
      <c r="N115" s="161">
        <f>C81</f>
        <v>-1976625.0000000005</v>
      </c>
      <c r="O115" s="161">
        <f>C82</f>
        <v>395325</v>
      </c>
      <c r="P115" s="161"/>
      <c r="Q115" s="161"/>
      <c r="R115" s="161">
        <f>C85</f>
        <v>-474390.00000000023</v>
      </c>
      <c r="S115" s="161"/>
      <c r="T115" s="161">
        <f>C87</f>
        <v>-472808.69999999995</v>
      </c>
      <c r="U115" s="161"/>
      <c r="V115" s="161"/>
    </row>
    <row r="116" spans="1:23" x14ac:dyDescent="0.2">
      <c r="A116" s="129" t="s">
        <v>85</v>
      </c>
      <c r="B116" s="3"/>
      <c r="C116" s="145"/>
      <c r="D116" s="146">
        <f>-Planillas!$I$8</f>
        <v>-413655</v>
      </c>
      <c r="E116" s="146">
        <f>-Planillas!$I$8</f>
        <v>-413655</v>
      </c>
      <c r="F116" s="146">
        <f>-Planillas!$I$8</f>
        <v>-413655</v>
      </c>
      <c r="G116" s="146">
        <f t="shared" ref="F116:K118" si="4">F116</f>
        <v>-413655</v>
      </c>
      <c r="H116" s="146">
        <f t="shared" si="4"/>
        <v>-413655</v>
      </c>
      <c r="I116" s="146">
        <f t="shared" si="4"/>
        <v>-413655</v>
      </c>
      <c r="J116" s="146">
        <f t="shared" si="4"/>
        <v>-413655</v>
      </c>
      <c r="K116" s="147">
        <f t="shared" si="4"/>
        <v>-413655</v>
      </c>
      <c r="M116" s="162" t="s">
        <v>138</v>
      </c>
      <c r="N116" s="161"/>
      <c r="O116" s="161"/>
      <c r="P116" s="161"/>
      <c r="Q116" s="161"/>
      <c r="R116" s="161"/>
      <c r="S116" s="161"/>
      <c r="T116" s="161"/>
      <c r="U116" s="161"/>
      <c r="V116" s="161">
        <f>-SUM(N115:V115)</f>
        <v>2528498.7000000007</v>
      </c>
    </row>
    <row r="117" spans="1:23" x14ac:dyDescent="0.2">
      <c r="A117" s="129" t="s">
        <v>86</v>
      </c>
      <c r="B117" s="3"/>
      <c r="C117" s="145"/>
      <c r="D117" s="146">
        <f>E58/20*(-1)</f>
        <v>-175000</v>
      </c>
      <c r="E117" s="145">
        <f>D117</f>
        <v>-175000</v>
      </c>
      <c r="F117" s="145">
        <f t="shared" si="4"/>
        <v>-175000</v>
      </c>
      <c r="G117" s="145">
        <f t="shared" si="4"/>
        <v>-175000</v>
      </c>
      <c r="H117" s="145">
        <f t="shared" si="4"/>
        <v>-175000</v>
      </c>
      <c r="I117" s="145">
        <f t="shared" si="4"/>
        <v>-175000</v>
      </c>
      <c r="J117" s="145">
        <f t="shared" si="4"/>
        <v>-175000</v>
      </c>
      <c r="K117" s="148">
        <f t="shared" si="4"/>
        <v>-175000</v>
      </c>
      <c r="M117" s="55" t="s">
        <v>130</v>
      </c>
      <c r="N117" s="149">
        <f>N110+N111+N112+N113+N114+N115+N116</f>
        <v>-7576625</v>
      </c>
      <c r="O117" s="149">
        <f t="shared" ref="O117:U117" si="5">O110+O111+O112+O113+O114+O115+O116</f>
        <v>395325</v>
      </c>
      <c r="P117" s="149">
        <f t="shared" si="5"/>
        <v>0</v>
      </c>
      <c r="Q117" s="149">
        <f t="shared" si="5"/>
        <v>0</v>
      </c>
      <c r="R117" s="149">
        <f t="shared" si="5"/>
        <v>-474390.00000000023</v>
      </c>
      <c r="S117" s="149">
        <f t="shared" si="5"/>
        <v>0</v>
      </c>
      <c r="T117" s="149">
        <f t="shared" si="5"/>
        <v>-1272808.7</v>
      </c>
      <c r="U117" s="149">
        <f t="shared" si="5"/>
        <v>0</v>
      </c>
      <c r="V117" s="149">
        <f>V110+V111+V112+V113+V114+V115+V116</f>
        <v>5093498.7000000011</v>
      </c>
      <c r="W117" s="11"/>
    </row>
    <row r="118" spans="1:23" x14ac:dyDescent="0.2">
      <c r="A118" s="129" t="s">
        <v>87</v>
      </c>
      <c r="B118" s="3"/>
      <c r="C118" s="145"/>
      <c r="D118" s="145">
        <f>E59/10*(-1)</f>
        <v>-160000</v>
      </c>
      <c r="E118" s="145">
        <f>D118</f>
        <v>-160000</v>
      </c>
      <c r="F118" s="145">
        <f t="shared" si="4"/>
        <v>-160000</v>
      </c>
      <c r="G118" s="145">
        <f t="shared" si="4"/>
        <v>-160000</v>
      </c>
      <c r="H118" s="145">
        <f t="shared" si="4"/>
        <v>-160000</v>
      </c>
      <c r="I118" s="145">
        <f t="shared" si="4"/>
        <v>-160000</v>
      </c>
      <c r="J118" s="145">
        <f t="shared" si="4"/>
        <v>-160000</v>
      </c>
      <c r="K118" s="148">
        <f t="shared" si="4"/>
        <v>-160000</v>
      </c>
      <c r="M118" s="54" t="s">
        <v>131</v>
      </c>
      <c r="N118" s="145"/>
      <c r="O118" s="145">
        <f t="shared" ref="O118:V122" si="6">D112</f>
        <v>14000000</v>
      </c>
      <c r="P118" s="145">
        <f t="shared" si="6"/>
        <v>11200000</v>
      </c>
      <c r="Q118" s="145">
        <f t="shared" si="6"/>
        <v>11200000</v>
      </c>
      <c r="R118" s="145">
        <f t="shared" si="6"/>
        <v>11200000</v>
      </c>
      <c r="S118" s="145">
        <f t="shared" si="6"/>
        <v>14560000</v>
      </c>
      <c r="T118" s="145">
        <f t="shared" si="6"/>
        <v>14560000</v>
      </c>
      <c r="U118" s="145">
        <f t="shared" si="6"/>
        <v>17908800</v>
      </c>
      <c r="V118" s="145">
        <f t="shared" si="6"/>
        <v>17908800</v>
      </c>
    </row>
    <row r="119" spans="1:23" x14ac:dyDescent="0.2">
      <c r="A119" s="129" t="s">
        <v>88</v>
      </c>
      <c r="B119" s="3"/>
      <c r="C119" s="145"/>
      <c r="D119" s="145"/>
      <c r="E119" s="145"/>
      <c r="F119" s="145"/>
      <c r="G119" s="145"/>
      <c r="H119" s="145"/>
      <c r="I119" s="145"/>
      <c r="J119" s="146">
        <f>800000/10*(-1)</f>
        <v>-80000</v>
      </c>
      <c r="K119" s="148">
        <f>J119</f>
        <v>-80000</v>
      </c>
      <c r="L119" s="156">
        <f>SUM(K117:K119)</f>
        <v>-415000</v>
      </c>
      <c r="M119" s="54" t="s">
        <v>132</v>
      </c>
      <c r="N119" s="145"/>
      <c r="O119" s="145">
        <f>D113</f>
        <v>-7906500.0000000009</v>
      </c>
      <c r="P119" s="145">
        <f>E113</f>
        <v>-6325200.0000000009</v>
      </c>
      <c r="Q119" s="145">
        <f>F113</f>
        <v>-6325200.0000000009</v>
      </c>
      <c r="R119" s="145">
        <f>G113</f>
        <v>-6325200.0000000009</v>
      </c>
      <c r="S119" s="145">
        <f t="shared" si="6"/>
        <v>-8222760.0000000009</v>
      </c>
      <c r="T119" s="145">
        <f t="shared" si="6"/>
        <v>-8222760.0000000009</v>
      </c>
      <c r="U119" s="145">
        <f t="shared" si="6"/>
        <v>-10113994.800000001</v>
      </c>
      <c r="V119" s="145">
        <f t="shared" si="6"/>
        <v>-10113994.800000001</v>
      </c>
    </row>
    <row r="120" spans="1:23" x14ac:dyDescent="0.2">
      <c r="A120" s="129"/>
      <c r="B120" s="3"/>
      <c r="C120" s="145"/>
      <c r="D120" s="145"/>
      <c r="E120" s="145"/>
      <c r="F120" s="145"/>
      <c r="G120" s="145"/>
      <c r="H120" s="145"/>
      <c r="I120" s="145"/>
      <c r="J120" s="146"/>
      <c r="K120" s="148"/>
      <c r="M120" s="54" t="s">
        <v>83</v>
      </c>
      <c r="N120" s="145"/>
      <c r="O120" s="145">
        <f>D114</f>
        <v>-700000</v>
      </c>
      <c r="P120" s="145">
        <f t="shared" si="6"/>
        <v>-560000</v>
      </c>
      <c r="Q120" s="145">
        <f t="shared" si="6"/>
        <v>-560000</v>
      </c>
      <c r="R120" s="145">
        <f t="shared" si="6"/>
        <v>-336000</v>
      </c>
      <c r="S120" s="145">
        <f t="shared" si="6"/>
        <v>-436800</v>
      </c>
      <c r="T120" s="145">
        <f t="shared" si="6"/>
        <v>-436800</v>
      </c>
      <c r="U120" s="145">
        <f t="shared" si="6"/>
        <v>-537264</v>
      </c>
      <c r="V120" s="145">
        <f t="shared" si="6"/>
        <v>-537264</v>
      </c>
    </row>
    <row r="121" spans="1:23" x14ac:dyDescent="0.2">
      <c r="A121" s="129" t="s">
        <v>89</v>
      </c>
      <c r="B121" s="3"/>
      <c r="C121" s="145"/>
      <c r="D121" s="145"/>
      <c r="E121" s="145"/>
      <c r="F121" s="145"/>
      <c r="G121" s="145"/>
      <c r="H121" s="145"/>
      <c r="I121" s="145"/>
      <c r="J121" s="145"/>
      <c r="K121" s="148">
        <f>E58*0.35</f>
        <v>1225000</v>
      </c>
      <c r="M121" s="54" t="s">
        <v>133</v>
      </c>
      <c r="N121" s="145"/>
      <c r="O121" s="145">
        <f>D115</f>
        <v>-360000</v>
      </c>
      <c r="P121" s="145">
        <f>E115</f>
        <v>-360000</v>
      </c>
      <c r="Q121" s="145">
        <f>F115</f>
        <v>-360000</v>
      </c>
      <c r="R121" s="145">
        <f t="shared" si="6"/>
        <v>-360000</v>
      </c>
      <c r="S121" s="145">
        <f t="shared" si="6"/>
        <v>-360000</v>
      </c>
      <c r="T121" s="145">
        <f t="shared" si="6"/>
        <v>-360000</v>
      </c>
      <c r="U121" s="145">
        <f t="shared" si="6"/>
        <v>-360000</v>
      </c>
      <c r="V121" s="145">
        <f t="shared" si="6"/>
        <v>-360000</v>
      </c>
    </row>
    <row r="122" spans="1:23" x14ac:dyDescent="0.2">
      <c r="A122" s="128" t="s">
        <v>110</v>
      </c>
      <c r="B122" s="3"/>
      <c r="C122" s="145"/>
      <c r="D122" s="145"/>
      <c r="E122" s="145"/>
      <c r="F122" s="145"/>
      <c r="G122" s="145"/>
      <c r="H122" s="145"/>
      <c r="I122" s="145"/>
      <c r="J122" s="145"/>
      <c r="K122" s="167">
        <f>(E58-((E58/20)*8))*(-1)</f>
        <v>-2100000</v>
      </c>
      <c r="M122" s="54" t="s">
        <v>134</v>
      </c>
      <c r="N122" s="145"/>
      <c r="O122" s="145">
        <f>D116</f>
        <v>-413655</v>
      </c>
      <c r="P122" s="145">
        <f t="shared" si="6"/>
        <v>-413655</v>
      </c>
      <c r="Q122" s="145">
        <f t="shared" si="6"/>
        <v>-413655</v>
      </c>
      <c r="R122" s="145">
        <f t="shared" si="6"/>
        <v>-413655</v>
      </c>
      <c r="S122" s="145">
        <f t="shared" si="6"/>
        <v>-413655</v>
      </c>
      <c r="T122" s="145">
        <f t="shared" si="6"/>
        <v>-413655</v>
      </c>
      <c r="U122" s="145">
        <f t="shared" si="6"/>
        <v>-413655</v>
      </c>
      <c r="V122" s="145">
        <f t="shared" si="6"/>
        <v>-413655</v>
      </c>
    </row>
    <row r="123" spans="1:23" x14ac:dyDescent="0.2">
      <c r="A123" s="129" t="s">
        <v>90</v>
      </c>
      <c r="B123" s="3"/>
      <c r="C123" s="145"/>
      <c r="D123" s="145"/>
      <c r="E123" s="145"/>
      <c r="F123" s="145"/>
      <c r="G123" s="145"/>
      <c r="H123" s="145"/>
      <c r="I123" s="145"/>
      <c r="J123" s="145"/>
      <c r="K123" s="148">
        <f>E59*0.35</f>
        <v>560000</v>
      </c>
      <c r="M123" s="54" t="s">
        <v>154</v>
      </c>
      <c r="N123" s="145">
        <f>N137</f>
        <v>0</v>
      </c>
      <c r="O123" s="145">
        <f>O137</f>
        <v>-24030</v>
      </c>
      <c r="P123" s="145">
        <f>P137</f>
        <v>-812663.99999999977</v>
      </c>
      <c r="Q123" s="145">
        <f t="shared" ref="O123:V123" si="7">Q137</f>
        <v>-812663.99999999977</v>
      </c>
      <c r="R123" s="145">
        <f t="shared" si="7"/>
        <v>-812663.99999999977</v>
      </c>
      <c r="S123" s="145">
        <f t="shared" si="7"/>
        <v>-1075903.2</v>
      </c>
      <c r="T123" s="145">
        <f t="shared" si="7"/>
        <v>-931903.2</v>
      </c>
      <c r="U123" s="145">
        <f t="shared" si="7"/>
        <v>-1338264.936</v>
      </c>
      <c r="V123" s="145">
        <f t="shared" si="7"/>
        <v>-1338264.936</v>
      </c>
    </row>
    <row r="124" spans="1:23" x14ac:dyDescent="0.2">
      <c r="A124" s="128" t="s">
        <v>124</v>
      </c>
      <c r="B124" s="3"/>
      <c r="C124" s="145"/>
      <c r="D124" s="145"/>
      <c r="E124" s="145"/>
      <c r="F124" s="145"/>
      <c r="G124" s="145"/>
      <c r="H124" s="145"/>
      <c r="I124" s="145"/>
      <c r="J124" s="145"/>
      <c r="K124" s="165">
        <f>(E59-(E59/10)*8)*(-1)</f>
        <v>-320000</v>
      </c>
      <c r="M124" s="54" t="s">
        <v>135</v>
      </c>
      <c r="N124" s="145"/>
      <c r="O124" s="145">
        <f>D130</f>
        <v>-1264029.2749999997</v>
      </c>
      <c r="P124" s="145">
        <f t="shared" ref="O124:V124" si="8">E130</f>
        <v>-945812.77499999967</v>
      </c>
      <c r="Q124" s="145">
        <f t="shared" si="8"/>
        <v>-945812.77499999967</v>
      </c>
      <c r="R124" s="145">
        <f t="shared" si="8"/>
        <v>-1011892.7749999997</v>
      </c>
      <c r="S124" s="145">
        <f t="shared" si="8"/>
        <v>-1413576.5749999997</v>
      </c>
      <c r="T124" s="145">
        <f t="shared" si="8"/>
        <v>-1413576.5749999997</v>
      </c>
      <c r="U124" s="145">
        <f t="shared" si="8"/>
        <v>-1790321.4289999998</v>
      </c>
      <c r="V124" s="145">
        <f t="shared" si="8"/>
        <v>-1496796.4289999998</v>
      </c>
    </row>
    <row r="125" spans="1:23" x14ac:dyDescent="0.2">
      <c r="A125" s="129" t="s">
        <v>91</v>
      </c>
      <c r="B125" s="3"/>
      <c r="C125" s="145"/>
      <c r="D125" s="145"/>
      <c r="E125" s="145"/>
      <c r="F125" s="145"/>
      <c r="G125" s="145"/>
      <c r="H125" s="145"/>
      <c r="I125" s="145"/>
      <c r="J125" s="145"/>
      <c r="K125" s="148">
        <f>E59/2*0.35</f>
        <v>280000</v>
      </c>
      <c r="M125" s="55" t="s">
        <v>136</v>
      </c>
      <c r="N125" s="149">
        <f t="shared" ref="N125:V125" si="9">N118+N119+N120+N121+N122+N123+N124</f>
        <v>0</v>
      </c>
      <c r="O125" s="149">
        <f>O118+O119+O120+O121+O122+O123+O124</f>
        <v>3331785.7249999996</v>
      </c>
      <c r="P125" s="149">
        <f t="shared" si="9"/>
        <v>1782668.2249999994</v>
      </c>
      <c r="Q125" s="149">
        <f t="shared" si="9"/>
        <v>1782668.2249999994</v>
      </c>
      <c r="R125" s="149">
        <f t="shared" si="9"/>
        <v>1940588.2249999994</v>
      </c>
      <c r="S125" s="149">
        <f t="shared" si="9"/>
        <v>2637305.2249999992</v>
      </c>
      <c r="T125" s="149">
        <f t="shared" si="9"/>
        <v>2781305.2249999992</v>
      </c>
      <c r="U125" s="149">
        <f t="shared" si="9"/>
        <v>3355299.835</v>
      </c>
      <c r="V125" s="149">
        <f t="shared" si="9"/>
        <v>3648824.835</v>
      </c>
    </row>
    <row r="126" spans="1:23" x14ac:dyDescent="0.2">
      <c r="A126" s="129" t="s">
        <v>92</v>
      </c>
      <c r="B126" s="3"/>
      <c r="C126" s="145"/>
      <c r="D126" s="145"/>
      <c r="E126" s="145"/>
      <c r="F126" s="145"/>
      <c r="G126" s="145"/>
      <c r="H126" s="145"/>
      <c r="I126" s="145"/>
      <c r="J126" s="145"/>
      <c r="K126" s="165">
        <f>((E59/2)- (E59/2)/10*2)*(-1)</f>
        <v>-640000</v>
      </c>
      <c r="M126" s="47" t="s">
        <v>137</v>
      </c>
      <c r="N126" s="152">
        <f>N117+N125</f>
        <v>-7576625</v>
      </c>
      <c r="O126" s="152">
        <f t="shared" ref="O126:V126" si="10">O117+O125</f>
        <v>3727110.7249999996</v>
      </c>
      <c r="P126" s="152">
        <f t="shared" si="10"/>
        <v>1782668.2249999994</v>
      </c>
      <c r="Q126" s="152">
        <f t="shared" si="10"/>
        <v>1782668.2249999994</v>
      </c>
      <c r="R126" s="152">
        <f t="shared" si="10"/>
        <v>1466198.2249999992</v>
      </c>
      <c r="S126" s="152">
        <f t="shared" si="10"/>
        <v>2637305.2249999992</v>
      </c>
      <c r="T126" s="152">
        <f t="shared" si="10"/>
        <v>1508496.5249999992</v>
      </c>
      <c r="U126" s="152">
        <f t="shared" si="10"/>
        <v>3355299.835</v>
      </c>
      <c r="V126" s="152">
        <f t="shared" si="10"/>
        <v>8742323.5350000001</v>
      </c>
    </row>
    <row r="127" spans="1:23" x14ac:dyDescent="0.2">
      <c r="A127" s="129" t="s">
        <v>93</v>
      </c>
      <c r="B127" s="3"/>
      <c r="C127" s="145"/>
      <c r="D127" s="145"/>
      <c r="E127" s="145"/>
      <c r="F127" s="145"/>
      <c r="G127" s="145"/>
      <c r="H127" s="145"/>
      <c r="I127" s="145"/>
      <c r="J127" s="145"/>
      <c r="K127" s="165">
        <f>-E60</f>
        <v>-500000</v>
      </c>
      <c r="P127" s="53"/>
      <c r="Q127" s="53"/>
      <c r="R127" s="53"/>
      <c r="S127" s="53"/>
      <c r="T127" s="53"/>
      <c r="U127" s="53"/>
      <c r="V127" s="53"/>
    </row>
    <row r="128" spans="1:23" x14ac:dyDescent="0.2">
      <c r="A128" s="128" t="s">
        <v>142</v>
      </c>
      <c r="B128" s="3"/>
      <c r="C128" s="145"/>
      <c r="D128" s="145"/>
      <c r="E128" s="145"/>
      <c r="F128" s="145"/>
      <c r="G128" s="145"/>
      <c r="H128" s="145"/>
      <c r="I128" s="145"/>
      <c r="J128" s="145"/>
      <c r="K128" s="148">
        <v>500000</v>
      </c>
      <c r="L128" s="156">
        <f>SUM(K121:K128)</f>
        <v>-995000</v>
      </c>
      <c r="O128" s="53"/>
      <c r="P128" s="53"/>
      <c r="Q128" s="53"/>
      <c r="R128" s="53"/>
      <c r="S128" s="53"/>
      <c r="T128" s="53"/>
      <c r="U128" s="53"/>
      <c r="V128" s="53"/>
      <c r="W128" s="11"/>
    </row>
    <row r="129" spans="1:22" x14ac:dyDescent="0.2">
      <c r="A129" s="130" t="s">
        <v>94</v>
      </c>
      <c r="B129" s="40"/>
      <c r="C129" s="149"/>
      <c r="D129" s="149">
        <f>SUM(D112:D128)</f>
        <v>4284844.9999999991</v>
      </c>
      <c r="E129" s="149">
        <f>SUM(E112:E128)</f>
        <v>3206144.9999999991</v>
      </c>
      <c r="F129" s="149">
        <f>SUM(F112:F128)</f>
        <v>3206144.9999999991</v>
      </c>
      <c r="G129" s="149">
        <f t="shared" ref="E129:J129" si="11">SUM(G112:G128)</f>
        <v>3430144.9999999991</v>
      </c>
      <c r="H129" s="149">
        <f t="shared" si="11"/>
        <v>4791784.9999999991</v>
      </c>
      <c r="I129" s="149">
        <f t="shared" si="11"/>
        <v>4791784.9999999991</v>
      </c>
      <c r="J129" s="149">
        <f t="shared" si="11"/>
        <v>6068886.1999999993</v>
      </c>
      <c r="K129" s="150">
        <f>SUM(K112:K128)</f>
        <v>5073886.1999999993</v>
      </c>
      <c r="M129" s="134" t="s">
        <v>158</v>
      </c>
      <c r="N129" s="134"/>
      <c r="O129" s="134"/>
      <c r="P129" s="134"/>
      <c r="Q129" s="134"/>
      <c r="R129" s="134"/>
      <c r="S129" s="134"/>
      <c r="T129" s="134"/>
      <c r="U129" s="134"/>
      <c r="V129" s="134"/>
    </row>
    <row r="130" spans="1:22" x14ac:dyDescent="0.2">
      <c r="A130" s="128" t="s">
        <v>155</v>
      </c>
      <c r="B130" s="3"/>
      <c r="C130" s="145"/>
      <c r="D130" s="145">
        <f>D129*0.295*(-1)</f>
        <v>-1264029.2749999997</v>
      </c>
      <c r="E130" s="145">
        <f>E129*0.295*(-1)</f>
        <v>-945812.77499999967</v>
      </c>
      <c r="F130" s="145">
        <f t="shared" ref="E130:K130" si="12">F129*0.295*(-1)</f>
        <v>-945812.77499999967</v>
      </c>
      <c r="G130" s="145">
        <f t="shared" si="12"/>
        <v>-1011892.7749999997</v>
      </c>
      <c r="H130" s="145">
        <f t="shared" si="12"/>
        <v>-1413576.5749999997</v>
      </c>
      <c r="I130" s="145">
        <f t="shared" si="12"/>
        <v>-1413576.5749999997</v>
      </c>
      <c r="J130" s="145">
        <f t="shared" si="12"/>
        <v>-1790321.4289999998</v>
      </c>
      <c r="K130" s="145">
        <f t="shared" si="12"/>
        <v>-1496796.4289999998</v>
      </c>
      <c r="M130" s="48" t="s">
        <v>103</v>
      </c>
      <c r="N130" s="48">
        <v>0</v>
      </c>
      <c r="O130" s="48">
        <f>N130+1</f>
        <v>1</v>
      </c>
      <c r="P130" s="48">
        <f t="shared" ref="P130:V130" si="13">O130+1</f>
        <v>2</v>
      </c>
      <c r="Q130" s="48">
        <f t="shared" si="13"/>
        <v>3</v>
      </c>
      <c r="R130" s="48">
        <f t="shared" si="13"/>
        <v>4</v>
      </c>
      <c r="S130" s="48">
        <f t="shared" si="13"/>
        <v>5</v>
      </c>
      <c r="T130" s="48">
        <f t="shared" si="13"/>
        <v>6</v>
      </c>
      <c r="U130" s="48">
        <f t="shared" si="13"/>
        <v>7</v>
      </c>
      <c r="V130" s="48">
        <f t="shared" si="13"/>
        <v>8</v>
      </c>
    </row>
    <row r="131" spans="1:22" x14ac:dyDescent="0.2">
      <c r="A131" s="130" t="s">
        <v>206</v>
      </c>
      <c r="B131" s="40"/>
      <c r="C131" s="149"/>
      <c r="D131" s="149">
        <f>D129+D130</f>
        <v>3020815.7249999996</v>
      </c>
      <c r="E131" s="149">
        <f>E129+E130</f>
        <v>2260332.2249999996</v>
      </c>
      <c r="F131" s="149">
        <f t="shared" ref="E131:K131" si="14">F129+F130</f>
        <v>2260332.2249999996</v>
      </c>
      <c r="G131" s="149">
        <f t="shared" si="14"/>
        <v>2418252.2249999996</v>
      </c>
      <c r="H131" s="149">
        <f t="shared" si="14"/>
        <v>3378208.4249999993</v>
      </c>
      <c r="I131" s="149">
        <f t="shared" si="14"/>
        <v>3378208.4249999993</v>
      </c>
      <c r="J131" s="149">
        <f t="shared" si="14"/>
        <v>4278564.7709999997</v>
      </c>
      <c r="K131" s="150">
        <f t="shared" si="14"/>
        <v>3577089.7709999997</v>
      </c>
      <c r="M131" s="45" t="s">
        <v>131</v>
      </c>
      <c r="N131" s="145"/>
      <c r="O131" s="145">
        <f>O118</f>
        <v>14000000</v>
      </c>
      <c r="P131" s="145">
        <f t="shared" ref="P131:U131" si="15">P118</f>
        <v>11200000</v>
      </c>
      <c r="Q131" s="145">
        <f t="shared" si="15"/>
        <v>11200000</v>
      </c>
      <c r="R131" s="145">
        <f t="shared" si="15"/>
        <v>11200000</v>
      </c>
      <c r="S131" s="145">
        <f t="shared" si="15"/>
        <v>14560000</v>
      </c>
      <c r="T131" s="145">
        <f t="shared" si="15"/>
        <v>14560000</v>
      </c>
      <c r="U131" s="145">
        <f t="shared" si="15"/>
        <v>17908800</v>
      </c>
      <c r="V131" s="145">
        <f>V118</f>
        <v>17908800</v>
      </c>
    </row>
    <row r="132" spans="1:22" x14ac:dyDescent="0.2">
      <c r="A132" s="128" t="s">
        <v>154</v>
      </c>
      <c r="B132" s="3"/>
      <c r="C132" s="145">
        <f>N137</f>
        <v>0</v>
      </c>
      <c r="D132" s="145">
        <f>O137</f>
        <v>-24030</v>
      </c>
      <c r="E132" s="145">
        <f t="shared" ref="E132:K132" si="16">P137</f>
        <v>-812663.99999999977</v>
      </c>
      <c r="F132" s="145">
        <f t="shared" si="16"/>
        <v>-812663.99999999977</v>
      </c>
      <c r="G132" s="145">
        <f t="shared" si="16"/>
        <v>-812663.99999999977</v>
      </c>
      <c r="H132" s="145">
        <f t="shared" si="16"/>
        <v>-1075903.2</v>
      </c>
      <c r="I132" s="145">
        <f t="shared" si="16"/>
        <v>-931903.2</v>
      </c>
      <c r="J132" s="145">
        <f t="shared" si="16"/>
        <v>-1338264.936</v>
      </c>
      <c r="K132" s="145">
        <f t="shared" si="16"/>
        <v>-1338264.936</v>
      </c>
      <c r="M132" s="45" t="s">
        <v>190</v>
      </c>
      <c r="N132" s="145"/>
      <c r="O132" s="145">
        <f>O131*0.18</f>
        <v>2520000</v>
      </c>
      <c r="P132" s="145">
        <f t="shared" ref="P132:V132" si="17">P131*0.18</f>
        <v>2016000</v>
      </c>
      <c r="Q132" s="145">
        <f t="shared" si="17"/>
        <v>2016000</v>
      </c>
      <c r="R132" s="145">
        <f t="shared" si="17"/>
        <v>2016000</v>
      </c>
      <c r="S132" s="145">
        <f t="shared" si="17"/>
        <v>2620800</v>
      </c>
      <c r="T132" s="145">
        <f t="shared" si="17"/>
        <v>2620800</v>
      </c>
      <c r="U132" s="145">
        <f t="shared" si="17"/>
        <v>3223584</v>
      </c>
      <c r="V132" s="145">
        <f t="shared" si="17"/>
        <v>3223584</v>
      </c>
    </row>
    <row r="133" spans="1:22" x14ac:dyDescent="0.2">
      <c r="A133" s="129" t="s">
        <v>95</v>
      </c>
      <c r="B133" s="3">
        <f t="shared" ref="B133:B147" si="18">N138</f>
        <v>0</v>
      </c>
      <c r="C133" s="145"/>
      <c r="D133" s="145">
        <f>(-1)*D117</f>
        <v>175000</v>
      </c>
      <c r="E133" s="145">
        <f t="shared" ref="E133:K134" si="19">(-1)*E117</f>
        <v>175000</v>
      </c>
      <c r="F133" s="145">
        <f t="shared" si="19"/>
        <v>175000</v>
      </c>
      <c r="G133" s="145">
        <f t="shared" si="19"/>
        <v>175000</v>
      </c>
      <c r="H133" s="145">
        <f t="shared" si="19"/>
        <v>175000</v>
      </c>
      <c r="I133" s="145">
        <f t="shared" si="19"/>
        <v>175000</v>
      </c>
      <c r="J133" s="145">
        <f t="shared" si="19"/>
        <v>175000</v>
      </c>
      <c r="K133" s="148">
        <f t="shared" si="19"/>
        <v>175000</v>
      </c>
      <c r="M133" s="45" t="s">
        <v>153</v>
      </c>
      <c r="N133" s="145">
        <f>-F60</f>
        <v>-5600000</v>
      </c>
      <c r="O133" s="145">
        <f>O119+O121</f>
        <v>-8266500.0000000009</v>
      </c>
      <c r="P133" s="145">
        <f t="shared" ref="P133:V133" si="20">P119+P121</f>
        <v>-6685200.0000000009</v>
      </c>
      <c r="Q133" s="145">
        <f t="shared" si="20"/>
        <v>-6685200.0000000009</v>
      </c>
      <c r="R133" s="145">
        <f t="shared" si="20"/>
        <v>-6685200.0000000009</v>
      </c>
      <c r="S133" s="145">
        <f t="shared" si="20"/>
        <v>-8582760</v>
      </c>
      <c r="T133" s="145">
        <f>T119+T121+T112</f>
        <v>-9382760</v>
      </c>
      <c r="U133" s="145">
        <f t="shared" si="20"/>
        <v>-10473994.800000001</v>
      </c>
      <c r="V133" s="145">
        <f t="shared" si="20"/>
        <v>-10473994.800000001</v>
      </c>
    </row>
    <row r="134" spans="1:22" x14ac:dyDescent="0.2">
      <c r="A134" s="129" t="s">
        <v>96</v>
      </c>
      <c r="B134" s="3">
        <f t="shared" si="18"/>
        <v>0</v>
      </c>
      <c r="C134" s="145"/>
      <c r="D134" s="145">
        <f>(-1)*D118</f>
        <v>160000</v>
      </c>
      <c r="E134" s="145">
        <f t="shared" si="19"/>
        <v>160000</v>
      </c>
      <c r="F134" s="145">
        <f t="shared" si="19"/>
        <v>160000</v>
      </c>
      <c r="G134" s="145">
        <f t="shared" si="19"/>
        <v>160000</v>
      </c>
      <c r="H134" s="145">
        <f t="shared" si="19"/>
        <v>160000</v>
      </c>
      <c r="I134" s="145">
        <f t="shared" si="19"/>
        <v>160000</v>
      </c>
      <c r="J134" s="145">
        <f t="shared" si="19"/>
        <v>160000</v>
      </c>
      <c r="K134" s="148">
        <f t="shared" si="19"/>
        <v>160000</v>
      </c>
      <c r="M134" s="45" t="s">
        <v>191</v>
      </c>
      <c r="N134" s="145"/>
      <c r="O134" s="145">
        <f>-O133*0.18</f>
        <v>1487970</v>
      </c>
      <c r="P134" s="145">
        <f>-P133*0.18</f>
        <v>1203336.0000000002</v>
      </c>
      <c r="Q134" s="145">
        <f>-Q133*0.18</f>
        <v>1203336.0000000002</v>
      </c>
      <c r="R134" s="145">
        <f>-R133*0.18</f>
        <v>1203336.0000000002</v>
      </c>
      <c r="S134" s="145">
        <f>-S133*0.18</f>
        <v>1544896.8</v>
      </c>
      <c r="T134" s="145">
        <f t="shared" ref="T134:V134" si="21">-T133*0.18</f>
        <v>1688896.8</v>
      </c>
      <c r="U134" s="145">
        <f t="shared" si="21"/>
        <v>1885319.064</v>
      </c>
      <c r="V134" s="145">
        <f t="shared" si="21"/>
        <v>1885319.064</v>
      </c>
    </row>
    <row r="135" spans="1:22" x14ac:dyDescent="0.2">
      <c r="A135" s="129" t="s">
        <v>88</v>
      </c>
      <c r="B135" s="3">
        <f t="shared" si="18"/>
        <v>0</v>
      </c>
      <c r="C135" s="145"/>
      <c r="D135" s="145"/>
      <c r="E135" s="145"/>
      <c r="F135" s="145"/>
      <c r="G135" s="145"/>
      <c r="H135" s="145"/>
      <c r="I135" s="145"/>
      <c r="J135" s="145">
        <f>(-1)*J119</f>
        <v>80000</v>
      </c>
      <c r="K135" s="148">
        <f>(-1)*K119</f>
        <v>80000</v>
      </c>
      <c r="M135" s="45" t="s">
        <v>192</v>
      </c>
      <c r="N135" s="153"/>
      <c r="O135" s="153">
        <f>-(O132-O134)</f>
        <v>-1032030</v>
      </c>
      <c r="P135" s="153">
        <f t="shared" ref="P135:T135" si="22">-(P132-P134)</f>
        <v>-812663.99999999977</v>
      </c>
      <c r="Q135" s="153">
        <f t="shared" si="22"/>
        <v>-812663.99999999977</v>
      </c>
      <c r="R135" s="153">
        <f t="shared" si="22"/>
        <v>-812663.99999999977</v>
      </c>
      <c r="S135" s="153">
        <f t="shared" si="22"/>
        <v>-1075903.2</v>
      </c>
      <c r="T135" s="153">
        <f t="shared" si="22"/>
        <v>-931903.2</v>
      </c>
      <c r="U135" s="153">
        <f t="shared" ref="U135:V135" si="23">-(U132-U134)</f>
        <v>-1338264.936</v>
      </c>
      <c r="V135" s="153">
        <f t="shared" si="23"/>
        <v>-1338264.936</v>
      </c>
    </row>
    <row r="136" spans="1:22" x14ac:dyDescent="0.2">
      <c r="A136" s="130" t="s">
        <v>160</v>
      </c>
      <c r="B136" s="3">
        <f t="shared" si="18"/>
        <v>0</v>
      </c>
      <c r="C136" s="149">
        <f t="shared" ref="C136:K136" si="24">SUM(C131:C135)</f>
        <v>0</v>
      </c>
      <c r="D136" s="149">
        <f>SUM(D131:D135)</f>
        <v>3331785.7249999996</v>
      </c>
      <c r="E136" s="149">
        <f>SUM(E131:E135)</f>
        <v>1782668.2249999999</v>
      </c>
      <c r="F136" s="149">
        <f t="shared" si="24"/>
        <v>1782668.2249999999</v>
      </c>
      <c r="G136" s="149">
        <f t="shared" si="24"/>
        <v>1940588.2249999999</v>
      </c>
      <c r="H136" s="149">
        <f t="shared" si="24"/>
        <v>2637305.2249999996</v>
      </c>
      <c r="I136" s="149">
        <f t="shared" si="24"/>
        <v>2781305.2249999996</v>
      </c>
      <c r="J136" s="149">
        <f t="shared" si="24"/>
        <v>3355299.835</v>
      </c>
      <c r="K136" s="149">
        <f t="shared" si="24"/>
        <v>2653824.835</v>
      </c>
      <c r="M136" s="99" t="s">
        <v>193</v>
      </c>
      <c r="N136" s="154">
        <f>-N133*0.18</f>
        <v>1008000</v>
      </c>
      <c r="O136" s="155" t="s">
        <v>205</v>
      </c>
      <c r="P136" s="154">
        <v>0</v>
      </c>
      <c r="Q136" s="154">
        <v>0</v>
      </c>
      <c r="R136" s="154">
        <v>0</v>
      </c>
      <c r="S136" s="154">
        <v>0</v>
      </c>
      <c r="T136" s="154">
        <v>0</v>
      </c>
      <c r="U136" s="154">
        <v>0</v>
      </c>
      <c r="V136" s="154">
        <v>0</v>
      </c>
    </row>
    <row r="137" spans="1:22" x14ac:dyDescent="0.2">
      <c r="A137" s="163" t="s">
        <v>139</v>
      </c>
      <c r="B137" s="160">
        <f t="shared" si="18"/>
        <v>0</v>
      </c>
      <c r="C137" s="164">
        <f>E58*(-1)</f>
        <v>-3500000</v>
      </c>
      <c r="D137" s="161"/>
      <c r="E137" s="161"/>
      <c r="F137" s="161"/>
      <c r="G137" s="161"/>
      <c r="H137" s="161"/>
      <c r="I137" s="161"/>
      <c r="J137" s="161"/>
      <c r="K137" s="165"/>
      <c r="M137" s="100" t="s">
        <v>194</v>
      </c>
      <c r="N137" s="152">
        <v>0</v>
      </c>
      <c r="O137" s="152">
        <f>N136+O135</f>
        <v>-24030</v>
      </c>
      <c r="P137" s="152">
        <f>P135</f>
        <v>-812663.99999999977</v>
      </c>
      <c r="Q137" s="152">
        <f>Q135</f>
        <v>-812663.99999999977</v>
      </c>
      <c r="R137" s="152">
        <f>R135</f>
        <v>-812663.99999999977</v>
      </c>
      <c r="S137" s="152">
        <f t="shared" ref="S137:U137" si="25">S135</f>
        <v>-1075903.2</v>
      </c>
      <c r="T137" s="152">
        <f t="shared" si="25"/>
        <v>-931903.2</v>
      </c>
      <c r="U137" s="152">
        <f t="shared" si="25"/>
        <v>-1338264.936</v>
      </c>
      <c r="V137" s="152">
        <f>V135</f>
        <v>-1338264.936</v>
      </c>
    </row>
    <row r="138" spans="1:22" x14ac:dyDescent="0.2">
      <c r="A138" s="166" t="s">
        <v>97</v>
      </c>
      <c r="B138" s="160">
        <f t="shared" si="18"/>
        <v>0</v>
      </c>
      <c r="C138" s="161">
        <f>E60*(-1)</f>
        <v>-500000</v>
      </c>
      <c r="D138" s="161"/>
      <c r="E138" s="161"/>
      <c r="F138" s="161"/>
      <c r="G138" s="161"/>
      <c r="H138" s="161"/>
      <c r="I138" s="161"/>
      <c r="J138" s="161"/>
      <c r="K138" s="165"/>
      <c r="M138" s="97"/>
      <c r="N138" s="97"/>
      <c r="O138" s="97"/>
      <c r="P138" s="97"/>
      <c r="Q138" s="97"/>
      <c r="R138" s="97"/>
    </row>
    <row r="139" spans="1:22" x14ac:dyDescent="0.2">
      <c r="A139" s="166" t="s">
        <v>98</v>
      </c>
      <c r="B139" s="160">
        <f t="shared" si="18"/>
        <v>0</v>
      </c>
      <c r="C139" s="161">
        <f>E59*(-1)</f>
        <v>-1600000</v>
      </c>
      <c r="D139" s="161"/>
      <c r="E139" s="161"/>
      <c r="F139" s="161"/>
      <c r="G139" s="161"/>
      <c r="H139" s="161"/>
      <c r="I139" s="164">
        <f>800000*(-1)</f>
        <v>-800000</v>
      </c>
      <c r="J139" s="161"/>
      <c r="K139" s="165"/>
      <c r="M139" s="93"/>
      <c r="N139" s="93"/>
      <c r="O139" s="93"/>
      <c r="P139" s="93"/>
      <c r="Q139" s="93"/>
      <c r="R139" s="93"/>
    </row>
    <row r="140" spans="1:22" x14ac:dyDescent="0.2">
      <c r="A140" s="166" t="s">
        <v>99</v>
      </c>
      <c r="B140" s="160">
        <f t="shared" si="18"/>
        <v>0</v>
      </c>
      <c r="C140" s="161">
        <f>C81</f>
        <v>-1976625.0000000005</v>
      </c>
      <c r="D140" s="161">
        <f>C82</f>
        <v>395325</v>
      </c>
      <c r="E140" s="161"/>
      <c r="F140" s="161"/>
      <c r="G140" s="161">
        <f>C85</f>
        <v>-474390.00000000023</v>
      </c>
      <c r="H140" s="161"/>
      <c r="I140" s="161">
        <f>C87</f>
        <v>-472808.69999999995</v>
      </c>
      <c r="J140" s="161"/>
      <c r="K140" s="165"/>
      <c r="M140" s="93"/>
      <c r="N140" s="93"/>
      <c r="O140" s="93"/>
      <c r="P140" s="93"/>
      <c r="Q140" s="93"/>
      <c r="R140" s="93"/>
    </row>
    <row r="141" spans="1:22" x14ac:dyDescent="0.2">
      <c r="A141" s="128" t="s">
        <v>207</v>
      </c>
      <c r="B141" s="3">
        <f t="shared" si="18"/>
        <v>0</v>
      </c>
      <c r="C141" s="145"/>
      <c r="D141" s="145"/>
      <c r="E141" s="145"/>
      <c r="F141" s="145"/>
      <c r="G141" s="145"/>
      <c r="H141" s="145"/>
      <c r="I141" s="145"/>
      <c r="J141" s="145"/>
      <c r="K141" s="148">
        <f>K122*(-1)</f>
        <v>2100000</v>
      </c>
      <c r="M141" s="93"/>
      <c r="N141" s="93"/>
      <c r="O141" s="93"/>
      <c r="P141" s="93"/>
      <c r="Q141" s="93"/>
      <c r="R141" s="93"/>
    </row>
    <row r="142" spans="1:22" x14ac:dyDescent="0.2">
      <c r="A142" s="128" t="s">
        <v>126</v>
      </c>
      <c r="B142" s="3">
        <f t="shared" si="18"/>
        <v>0</v>
      </c>
      <c r="C142" s="145"/>
      <c r="D142" s="145"/>
      <c r="E142" s="145"/>
      <c r="F142" s="145"/>
      <c r="G142" s="145"/>
      <c r="H142" s="145"/>
      <c r="I142" s="145"/>
      <c r="J142" s="145"/>
      <c r="K142" s="148">
        <f>K124*(-1)</f>
        <v>320000</v>
      </c>
      <c r="M142" s="93"/>
      <c r="N142" s="93"/>
      <c r="O142" s="93"/>
      <c r="P142" s="93"/>
      <c r="Q142" s="93"/>
      <c r="R142" s="93"/>
    </row>
    <row r="143" spans="1:22" x14ac:dyDescent="0.2">
      <c r="A143" s="129" t="s">
        <v>92</v>
      </c>
      <c r="B143" s="3">
        <f t="shared" si="18"/>
        <v>0</v>
      </c>
      <c r="C143" s="145"/>
      <c r="D143" s="145"/>
      <c r="E143" s="145"/>
      <c r="F143" s="145"/>
      <c r="G143" s="145"/>
      <c r="H143" s="145"/>
      <c r="I143" s="145"/>
      <c r="J143" s="145"/>
      <c r="K143" s="148">
        <f>K126*(-1)</f>
        <v>640000</v>
      </c>
      <c r="M143" s="98"/>
      <c r="N143" s="92"/>
      <c r="O143" s="92"/>
      <c r="P143" s="92"/>
      <c r="Q143" s="92"/>
      <c r="R143" s="92"/>
    </row>
    <row r="144" spans="1:22" x14ac:dyDescent="0.2">
      <c r="A144" s="166" t="s">
        <v>100</v>
      </c>
      <c r="B144" s="160">
        <f t="shared" si="18"/>
        <v>0</v>
      </c>
      <c r="C144" s="161"/>
      <c r="D144" s="161"/>
      <c r="E144" s="161"/>
      <c r="F144" s="161"/>
      <c r="G144" s="161"/>
      <c r="H144" s="161"/>
      <c r="I144" s="161"/>
      <c r="J144" s="161"/>
      <c r="K144" s="165">
        <f>K127*(-1)</f>
        <v>500000</v>
      </c>
    </row>
    <row r="145" spans="1:11" x14ac:dyDescent="0.2">
      <c r="A145" s="163" t="s">
        <v>140</v>
      </c>
      <c r="B145" s="160">
        <f t="shared" si="18"/>
        <v>0</v>
      </c>
      <c r="C145" s="161"/>
      <c r="D145" s="161"/>
      <c r="E145" s="161"/>
      <c r="F145" s="161"/>
      <c r="G145" s="161"/>
      <c r="H145" s="161"/>
      <c r="I145" s="161"/>
      <c r="J145" s="161"/>
      <c r="K145" s="165">
        <f>SUM(C140:K140)*(-1)</f>
        <v>2528498.7000000007</v>
      </c>
    </row>
    <row r="146" spans="1:11" x14ac:dyDescent="0.2">
      <c r="A146" s="130" t="s">
        <v>161</v>
      </c>
      <c r="B146" s="3">
        <f t="shared" si="18"/>
        <v>0</v>
      </c>
      <c r="C146" s="149">
        <f>SUM(C137:C145)</f>
        <v>-7576625</v>
      </c>
      <c r="D146" s="149">
        <f t="shared" ref="D146:K146" si="26">SUM(D137:D145)</f>
        <v>395325</v>
      </c>
      <c r="E146" s="149">
        <f t="shared" si="26"/>
        <v>0</v>
      </c>
      <c r="F146" s="149">
        <f t="shared" si="26"/>
        <v>0</v>
      </c>
      <c r="G146" s="149">
        <f t="shared" si="26"/>
        <v>-474390.00000000023</v>
      </c>
      <c r="H146" s="149">
        <f t="shared" si="26"/>
        <v>0</v>
      </c>
      <c r="I146" s="149">
        <f t="shared" si="26"/>
        <v>-1272808.7</v>
      </c>
      <c r="J146" s="149">
        <f t="shared" si="26"/>
        <v>0</v>
      </c>
      <c r="K146" s="149">
        <f>SUM(K137:K145)</f>
        <v>6088498.7000000011</v>
      </c>
    </row>
    <row r="147" spans="1:11" ht="13.5" thickBot="1" x14ac:dyDescent="0.25">
      <c r="A147" s="131" t="s">
        <v>127</v>
      </c>
      <c r="B147" s="3">
        <f t="shared" si="18"/>
        <v>0</v>
      </c>
      <c r="C147" s="151">
        <f>C136+C146</f>
        <v>-7576625</v>
      </c>
      <c r="D147" s="151">
        <f>D136+D146</f>
        <v>3727110.7249999996</v>
      </c>
      <c r="E147" s="151">
        <f t="shared" ref="E147:K147" si="27">E136+E146</f>
        <v>1782668.2249999999</v>
      </c>
      <c r="F147" s="151">
        <f t="shared" si="27"/>
        <v>1782668.2249999999</v>
      </c>
      <c r="G147" s="151">
        <f t="shared" si="27"/>
        <v>1466198.2249999996</v>
      </c>
      <c r="H147" s="151">
        <f>H136+H146</f>
        <v>2637305.2249999996</v>
      </c>
      <c r="I147" s="151">
        <f>I136+I146</f>
        <v>1508496.5249999997</v>
      </c>
      <c r="J147" s="151">
        <f t="shared" si="27"/>
        <v>3355299.835</v>
      </c>
      <c r="K147" s="151">
        <f t="shared" si="27"/>
        <v>8742323.5350000001</v>
      </c>
    </row>
    <row r="149" spans="1:11" x14ac:dyDescent="0.2">
      <c r="A149" s="52" t="s">
        <v>189</v>
      </c>
      <c r="B149" s="158">
        <v>0.15</v>
      </c>
      <c r="C149" s="41" t="s">
        <v>209</v>
      </c>
    </row>
    <row r="150" spans="1:11" x14ac:dyDescent="0.2">
      <c r="A150" s="37" t="s">
        <v>6</v>
      </c>
      <c r="B150" s="157">
        <f>NPV(B149,D147:K147)+C147</f>
        <v>5105365.0628535002</v>
      </c>
    </row>
    <row r="151" spans="1:11" x14ac:dyDescent="0.2">
      <c r="A151" s="37" t="s">
        <v>101</v>
      </c>
      <c r="B151" s="159">
        <f>IRR(C147:K147)</f>
        <v>0.31482073649212672</v>
      </c>
    </row>
    <row r="154" spans="1:11" x14ac:dyDescent="0.2">
      <c r="A154" s="132" t="s">
        <v>208</v>
      </c>
    </row>
  </sheetData>
  <mergeCells count="7">
    <mergeCell ref="M129:V129"/>
    <mergeCell ref="C60:D60"/>
    <mergeCell ref="C62:D62"/>
    <mergeCell ref="C58:D58"/>
    <mergeCell ref="M108:V108"/>
    <mergeCell ref="A108:K108"/>
    <mergeCell ref="B95:E95"/>
  </mergeCells>
  <phoneticPr fontId="0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48"/>
  <sheetViews>
    <sheetView workbookViewId="0">
      <selection activeCell="K33" sqref="K33"/>
    </sheetView>
  </sheetViews>
  <sheetFormatPr baseColWidth="10" defaultRowHeight="12.75" x14ac:dyDescent="0.2"/>
  <cols>
    <col min="2" max="2" width="3.140625" customWidth="1"/>
    <col min="4" max="4" width="14.42578125" customWidth="1"/>
    <col min="5" max="5" width="12.28515625" bestFit="1" customWidth="1"/>
    <col min="6" max="6" width="9.140625" customWidth="1"/>
    <col min="7" max="7" width="13.140625" customWidth="1"/>
    <col min="8" max="8" width="12.28515625" bestFit="1" customWidth="1"/>
    <col min="10" max="10" width="15" customWidth="1"/>
  </cols>
  <sheetData>
    <row r="2" spans="2:13" x14ac:dyDescent="0.2">
      <c r="B2" s="1" t="s">
        <v>162</v>
      </c>
      <c r="G2" t="s">
        <v>163</v>
      </c>
    </row>
    <row r="3" spans="2:13" x14ac:dyDescent="0.2">
      <c r="B3" s="62"/>
      <c r="C3" s="62"/>
      <c r="D3" s="63" t="s">
        <v>164</v>
      </c>
      <c r="E3" s="64">
        <f>-0.3*'FC Economico'!C146</f>
        <v>2272987.5</v>
      </c>
      <c r="F3" s="62"/>
      <c r="G3" s="62"/>
      <c r="H3" s="62"/>
    </row>
    <row r="4" spans="2:13" x14ac:dyDescent="0.2">
      <c r="B4" s="62"/>
      <c r="C4" s="62"/>
      <c r="D4" s="63" t="s">
        <v>165</v>
      </c>
      <c r="E4" s="65">
        <v>0.24</v>
      </c>
      <c r="F4" s="62"/>
      <c r="G4" s="62"/>
      <c r="H4" s="62"/>
    </row>
    <row r="5" spans="2:13" x14ac:dyDescent="0.2">
      <c r="B5" s="62"/>
      <c r="C5" s="62"/>
      <c r="D5" s="63" t="s">
        <v>166</v>
      </c>
      <c r="E5" s="66">
        <f>POWER((1+E4),(1/12))-1</f>
        <v>1.8087582483510722E-2</v>
      </c>
      <c r="F5" s="63"/>
      <c r="G5" s="63"/>
      <c r="H5" s="62"/>
      <c r="J5" s="48" t="s">
        <v>103</v>
      </c>
      <c r="K5" s="48">
        <v>1</v>
      </c>
      <c r="L5" s="48">
        <v>2</v>
      </c>
      <c r="M5" s="48">
        <v>3</v>
      </c>
    </row>
    <row r="6" spans="2:13" x14ac:dyDescent="0.2">
      <c r="B6" s="62"/>
      <c r="C6" s="62"/>
      <c r="D6" s="63" t="s">
        <v>167</v>
      </c>
      <c r="E6" s="66">
        <v>0.02</v>
      </c>
      <c r="F6" s="63"/>
      <c r="G6" s="63"/>
      <c r="H6" s="62"/>
      <c r="J6" s="3" t="s">
        <v>179</v>
      </c>
      <c r="K6" s="79">
        <f>SUM(F13:F24)</f>
        <v>615388.82975955028</v>
      </c>
      <c r="L6" s="79">
        <f>SUM(F25:F36)</f>
        <v>748119.75382533588</v>
      </c>
      <c r="M6" s="79">
        <f>SUM(F37:F48)</f>
        <v>909478.91641511442</v>
      </c>
    </row>
    <row r="7" spans="2:13" x14ac:dyDescent="0.2">
      <c r="B7" s="62"/>
      <c r="C7" s="62"/>
      <c r="D7" s="63" t="s">
        <v>168</v>
      </c>
      <c r="E7" s="67">
        <f>POWER((1+E6),(1/12))-1</f>
        <v>1.6515813019202241E-3</v>
      </c>
      <c r="F7" s="63"/>
      <c r="G7" s="62"/>
      <c r="H7" s="62"/>
      <c r="J7" s="3" t="s">
        <v>174</v>
      </c>
      <c r="K7" s="75">
        <f>SUM(E13:E24)</f>
        <v>393985.76324998977</v>
      </c>
      <c r="L7" s="75">
        <f>SUM(E25:E36)</f>
        <v>261254.83918420426</v>
      </c>
      <c r="M7" s="75">
        <f>SUM(E37:E48)</f>
        <v>99895.676594425749</v>
      </c>
    </row>
    <row r="8" spans="2:13" x14ac:dyDescent="0.2">
      <c r="B8" s="62"/>
      <c r="C8" s="62"/>
      <c r="D8" s="68" t="s">
        <v>169</v>
      </c>
      <c r="E8" s="69">
        <f>((1+E5)/(1+E7))-1</f>
        <v>1.6408900548259941E-2</v>
      </c>
      <c r="F8" s="63"/>
      <c r="G8" s="62"/>
      <c r="H8" s="62"/>
      <c r="J8" s="3" t="s">
        <v>171</v>
      </c>
      <c r="K8" s="79">
        <f>K6+K7</f>
        <v>1009374.5930095401</v>
      </c>
      <c r="L8" s="79">
        <f>L6+L7</f>
        <v>1009374.5930095401</v>
      </c>
      <c r="M8" s="79">
        <f>M6+M7</f>
        <v>1009374.5930095401</v>
      </c>
    </row>
    <row r="9" spans="2:13" x14ac:dyDescent="0.2">
      <c r="B9" s="62"/>
      <c r="C9" s="62"/>
      <c r="D9" s="63" t="s">
        <v>170</v>
      </c>
      <c r="E9" s="62">
        <v>36</v>
      </c>
      <c r="F9" s="62"/>
      <c r="G9" s="62"/>
      <c r="H9" s="62"/>
    </row>
    <row r="10" spans="2:13" x14ac:dyDescent="0.2">
      <c r="B10" s="62"/>
      <c r="C10" s="62"/>
      <c r="D10" s="63" t="s">
        <v>178</v>
      </c>
      <c r="E10" s="70">
        <f>-PMT(E8,E9,E3)</f>
        <v>84114.549417461676</v>
      </c>
      <c r="F10" s="62"/>
      <c r="G10" s="62"/>
      <c r="H10" s="62"/>
    </row>
    <row r="11" spans="2:13" ht="13.5" thickBot="1" x14ac:dyDescent="0.25">
      <c r="B11" s="62"/>
      <c r="C11" s="62"/>
      <c r="D11" s="62"/>
      <c r="E11" s="62"/>
      <c r="F11" s="62"/>
      <c r="G11" s="62"/>
      <c r="H11" s="62"/>
    </row>
    <row r="12" spans="2:13" x14ac:dyDescent="0.2">
      <c r="C12" s="71" t="s">
        <v>172</v>
      </c>
      <c r="D12" s="72" t="s">
        <v>173</v>
      </c>
      <c r="E12" s="72" t="s">
        <v>174</v>
      </c>
      <c r="F12" s="72" t="s">
        <v>175</v>
      </c>
      <c r="G12" s="72" t="s">
        <v>176</v>
      </c>
      <c r="H12" s="73" t="s">
        <v>177</v>
      </c>
    </row>
    <row r="13" spans="2:13" x14ac:dyDescent="0.2">
      <c r="C13" s="19">
        <v>1</v>
      </c>
      <c r="D13" s="75">
        <f>E3</f>
        <v>2272987.5</v>
      </c>
      <c r="E13" s="76">
        <f>$E$8*D13</f>
        <v>37297.225834937992</v>
      </c>
      <c r="F13" s="77">
        <f>G13-E13</f>
        <v>46817.323582523684</v>
      </c>
      <c r="G13" s="74">
        <f>$E$10</f>
        <v>84114.549417461676</v>
      </c>
      <c r="H13" s="78">
        <f>D13-F13</f>
        <v>2226170.1764174765</v>
      </c>
    </row>
    <row r="14" spans="2:13" x14ac:dyDescent="0.2">
      <c r="C14" s="19">
        <f>C13+1</f>
        <v>2</v>
      </c>
      <c r="D14" s="75">
        <f>H13</f>
        <v>2226170.1764174765</v>
      </c>
      <c r="E14" s="76">
        <f t="shared" ref="E14:E48" si="0">$E$8*D14</f>
        <v>36529.005028336658</v>
      </c>
      <c r="F14" s="77">
        <f t="shared" ref="F14:F48" si="1">G14-E14</f>
        <v>47585.544389125018</v>
      </c>
      <c r="G14" s="74">
        <f t="shared" ref="G14:G36" si="2">$E$10</f>
        <v>84114.549417461676</v>
      </c>
      <c r="H14" s="78">
        <f t="shared" ref="H14:H48" si="3">D14-F14</f>
        <v>2178584.6320283515</v>
      </c>
    </row>
    <row r="15" spans="2:13" x14ac:dyDescent="0.2">
      <c r="C15" s="19">
        <f t="shared" ref="C15:C48" si="4">C14+1</f>
        <v>3</v>
      </c>
      <c r="D15" s="75">
        <f t="shared" ref="D15:D48" si="5">H14</f>
        <v>2178584.6320283515</v>
      </c>
      <c r="E15" s="76">
        <f t="shared" si="0"/>
        <v>35748.178562920701</v>
      </c>
      <c r="F15" s="77">
        <f t="shared" si="1"/>
        <v>48366.370854540975</v>
      </c>
      <c r="G15" s="74">
        <f t="shared" si="2"/>
        <v>84114.549417461676</v>
      </c>
      <c r="H15" s="78">
        <f t="shared" si="3"/>
        <v>2130218.2611738103</v>
      </c>
    </row>
    <row r="16" spans="2:13" x14ac:dyDescent="0.2">
      <c r="C16" s="19">
        <f t="shared" si="4"/>
        <v>4</v>
      </c>
      <c r="D16" s="75">
        <f t="shared" si="5"/>
        <v>2130218.2611738103</v>
      </c>
      <c r="E16" s="76">
        <f t="shared" si="0"/>
        <v>34954.539593688278</v>
      </c>
      <c r="F16" s="77">
        <f t="shared" si="1"/>
        <v>49160.009823773398</v>
      </c>
      <c r="G16" s="74">
        <f t="shared" si="2"/>
        <v>84114.549417461676</v>
      </c>
      <c r="H16" s="78">
        <f t="shared" si="3"/>
        <v>2081058.2513500371</v>
      </c>
    </row>
    <row r="17" spans="3:8" x14ac:dyDescent="0.2">
      <c r="C17" s="19">
        <f t="shared" si="4"/>
        <v>5</v>
      </c>
      <c r="D17" s="75">
        <f t="shared" si="5"/>
        <v>2081058.2513500371</v>
      </c>
      <c r="E17" s="76">
        <f t="shared" si="0"/>
        <v>34147.877881538501</v>
      </c>
      <c r="F17" s="77">
        <f t="shared" si="1"/>
        <v>49966.671535923175</v>
      </c>
      <c r="G17" s="74">
        <f t="shared" si="2"/>
        <v>84114.549417461676</v>
      </c>
      <c r="H17" s="78">
        <f t="shared" si="3"/>
        <v>2031091.5798141139</v>
      </c>
    </row>
    <row r="18" spans="3:8" x14ac:dyDescent="0.2">
      <c r="C18" s="19">
        <f t="shared" si="4"/>
        <v>6</v>
      </c>
      <c r="D18" s="75">
        <f t="shared" si="5"/>
        <v>2031091.5798141139</v>
      </c>
      <c r="E18" s="76">
        <f t="shared" si="0"/>
        <v>33327.979737577967</v>
      </c>
      <c r="F18" s="77">
        <f t="shared" si="1"/>
        <v>50786.569679883709</v>
      </c>
      <c r="G18" s="74">
        <f t="shared" si="2"/>
        <v>84114.549417461676</v>
      </c>
      <c r="H18" s="78">
        <f t="shared" si="3"/>
        <v>1980305.0101342301</v>
      </c>
    </row>
    <row r="19" spans="3:8" x14ac:dyDescent="0.2">
      <c r="C19" s="19">
        <f t="shared" si="4"/>
        <v>7</v>
      </c>
      <c r="D19" s="75">
        <f t="shared" si="5"/>
        <v>1980305.0101342301</v>
      </c>
      <c r="E19" s="76">
        <f t="shared" si="0"/>
        <v>32494.627966513479</v>
      </c>
      <c r="F19" s="77">
        <f t="shared" si="1"/>
        <v>51619.921450948197</v>
      </c>
      <c r="G19" s="74">
        <f t="shared" si="2"/>
        <v>84114.549417461676</v>
      </c>
      <c r="H19" s="78">
        <f t="shared" si="3"/>
        <v>1928685.088683282</v>
      </c>
    </row>
    <row r="20" spans="3:8" x14ac:dyDescent="0.2">
      <c r="C20" s="19">
        <f t="shared" si="4"/>
        <v>8</v>
      </c>
      <c r="D20" s="75">
        <f t="shared" si="5"/>
        <v>1928685.088683282</v>
      </c>
      <c r="E20" s="76">
        <f t="shared" si="0"/>
        <v>31647.60180911588</v>
      </c>
      <c r="F20" s="77">
        <f t="shared" si="1"/>
        <v>52466.947608345799</v>
      </c>
      <c r="G20" s="74">
        <f t="shared" si="2"/>
        <v>84114.549417461676</v>
      </c>
      <c r="H20" s="78">
        <f t="shared" si="3"/>
        <v>1876218.1410749361</v>
      </c>
    </row>
    <row r="21" spans="3:8" x14ac:dyDescent="0.2">
      <c r="C21" s="19">
        <f t="shared" si="4"/>
        <v>9</v>
      </c>
      <c r="D21" s="75">
        <f t="shared" si="5"/>
        <v>1876218.1410749361</v>
      </c>
      <c r="E21" s="76">
        <f t="shared" si="0"/>
        <v>30786.676883739769</v>
      </c>
      <c r="F21" s="77">
        <f t="shared" si="1"/>
        <v>53327.872533721908</v>
      </c>
      <c r="G21" s="74">
        <f t="shared" si="2"/>
        <v>84114.549417461676</v>
      </c>
      <c r="H21" s="78">
        <f t="shared" si="3"/>
        <v>1822890.2685412143</v>
      </c>
    </row>
    <row r="22" spans="3:8" x14ac:dyDescent="0.2">
      <c r="C22" s="19">
        <f t="shared" si="4"/>
        <v>10</v>
      </c>
      <c r="D22" s="75">
        <f t="shared" si="5"/>
        <v>1822890.2685412143</v>
      </c>
      <c r="E22" s="76">
        <f t="shared" si="0"/>
        <v>29911.625126883642</v>
      </c>
      <c r="F22" s="77">
        <f t="shared" si="1"/>
        <v>54202.924290578034</v>
      </c>
      <c r="G22" s="74">
        <f t="shared" si="2"/>
        <v>84114.549417461676</v>
      </c>
      <c r="H22" s="78">
        <f t="shared" si="3"/>
        <v>1768687.3442506362</v>
      </c>
    </row>
    <row r="23" spans="3:8" x14ac:dyDescent="0.2">
      <c r="C23" s="19">
        <f t="shared" si="4"/>
        <v>11</v>
      </c>
      <c r="D23" s="75">
        <f t="shared" si="5"/>
        <v>1768687.3442506362</v>
      </c>
      <c r="E23" s="76">
        <f t="shared" si="0"/>
        <v>29022.214732774682</v>
      </c>
      <c r="F23" s="77">
        <f t="shared" si="1"/>
        <v>55092.334684686997</v>
      </c>
      <c r="G23" s="74">
        <f t="shared" si="2"/>
        <v>84114.549417461676</v>
      </c>
      <c r="H23" s="78">
        <f t="shared" si="3"/>
        <v>1713595.0095659492</v>
      </c>
    </row>
    <row r="24" spans="3:8" x14ac:dyDescent="0.2">
      <c r="C24" s="19">
        <f t="shared" si="4"/>
        <v>12</v>
      </c>
      <c r="D24" s="75">
        <f t="shared" si="5"/>
        <v>1713595.0095659492</v>
      </c>
      <c r="E24" s="76">
        <f t="shared" si="0"/>
        <v>28118.210091962203</v>
      </c>
      <c r="F24" s="77">
        <f t="shared" si="1"/>
        <v>55996.339325499473</v>
      </c>
      <c r="G24" s="74">
        <f t="shared" si="2"/>
        <v>84114.549417461676</v>
      </c>
      <c r="H24" s="78">
        <f t="shared" si="3"/>
        <v>1657598.6702404497</v>
      </c>
    </row>
    <row r="25" spans="3:8" x14ac:dyDescent="0.2">
      <c r="C25" s="19">
        <f t="shared" si="4"/>
        <v>13</v>
      </c>
      <c r="D25" s="75">
        <f t="shared" si="5"/>
        <v>1657598.6702404497</v>
      </c>
      <c r="E25" s="76">
        <f t="shared" si="0"/>
        <v>27199.371728903465</v>
      </c>
      <c r="F25" s="77">
        <f t="shared" si="1"/>
        <v>56915.177688558208</v>
      </c>
      <c r="G25" s="74">
        <f t="shared" si="2"/>
        <v>84114.549417461676</v>
      </c>
      <c r="H25" s="78">
        <f t="shared" si="3"/>
        <v>1600683.4925518916</v>
      </c>
    </row>
    <row r="26" spans="3:8" x14ac:dyDescent="0.2">
      <c r="C26" s="19">
        <f t="shared" si="4"/>
        <v>14</v>
      </c>
      <c r="D26" s="75">
        <f t="shared" si="5"/>
        <v>1600683.4925518916</v>
      </c>
      <c r="E26" s="76">
        <f t="shared" si="0"/>
        <v>26265.45623852537</v>
      </c>
      <c r="F26" s="77">
        <f t="shared" si="1"/>
        <v>57849.093178936309</v>
      </c>
      <c r="G26" s="74">
        <f t="shared" si="2"/>
        <v>84114.549417461676</v>
      </c>
      <c r="H26" s="78">
        <f t="shared" si="3"/>
        <v>1542834.3993729553</v>
      </c>
    </row>
    <row r="27" spans="3:8" x14ac:dyDescent="0.2">
      <c r="C27" s="19">
        <f t="shared" si="4"/>
        <v>15</v>
      </c>
      <c r="D27" s="75">
        <f t="shared" si="5"/>
        <v>1542834.3993729553</v>
      </c>
      <c r="E27" s="76">
        <f t="shared" si="0"/>
        <v>25316.216221745184</v>
      </c>
      <c r="F27" s="77">
        <f t="shared" si="1"/>
        <v>58798.333195716492</v>
      </c>
      <c r="G27" s="74">
        <f t="shared" si="2"/>
        <v>84114.549417461676</v>
      </c>
      <c r="H27" s="78">
        <f t="shared" si="3"/>
        <v>1484036.0661772387</v>
      </c>
    </row>
    <row r="28" spans="3:8" x14ac:dyDescent="0.2">
      <c r="C28" s="19">
        <f t="shared" si="4"/>
        <v>16</v>
      </c>
      <c r="D28" s="75">
        <f t="shared" si="5"/>
        <v>1484036.0661772387</v>
      </c>
      <c r="E28" s="76">
        <f t="shared" si="0"/>
        <v>24351.400219933221</v>
      </c>
      <c r="F28" s="77">
        <f t="shared" si="1"/>
        <v>59763.149197528459</v>
      </c>
      <c r="G28" s="74">
        <f t="shared" si="2"/>
        <v>84114.549417461676</v>
      </c>
      <c r="H28" s="78">
        <f t="shared" si="3"/>
        <v>1424272.9169797103</v>
      </c>
    </row>
    <row r="29" spans="3:8" x14ac:dyDescent="0.2">
      <c r="C29" s="19">
        <f t="shared" si="4"/>
        <v>17</v>
      </c>
      <c r="D29" s="75">
        <f t="shared" si="5"/>
        <v>1424272.9169797103</v>
      </c>
      <c r="E29" s="76">
        <f t="shared" si="0"/>
        <v>23370.752648300157</v>
      </c>
      <c r="F29" s="77">
        <f t="shared" si="1"/>
        <v>60743.796769161519</v>
      </c>
      <c r="G29" s="74">
        <f t="shared" si="2"/>
        <v>84114.549417461676</v>
      </c>
      <c r="H29" s="78">
        <f t="shared" si="3"/>
        <v>1363529.1202105489</v>
      </c>
    </row>
    <row r="30" spans="3:8" x14ac:dyDescent="0.2">
      <c r="C30" s="19">
        <f t="shared" si="4"/>
        <v>18</v>
      </c>
      <c r="D30" s="75">
        <f t="shared" si="5"/>
        <v>1363529.1202105489</v>
      </c>
      <c r="E30" s="76">
        <f t="shared" si="0"/>
        <v>22374.013728191272</v>
      </c>
      <c r="F30" s="77">
        <f t="shared" si="1"/>
        <v>61740.5356892704</v>
      </c>
      <c r="G30" s="74">
        <f t="shared" si="2"/>
        <v>84114.549417461676</v>
      </c>
      <c r="H30" s="78">
        <f t="shared" si="3"/>
        <v>1301788.5845212785</v>
      </c>
    </row>
    <row r="31" spans="3:8" x14ac:dyDescent="0.2">
      <c r="C31" s="19">
        <f t="shared" si="4"/>
        <v>19</v>
      </c>
      <c r="D31" s="75">
        <f t="shared" si="5"/>
        <v>1301788.5845212785</v>
      </c>
      <c r="E31" s="76">
        <f t="shared" si="0"/>
        <v>21360.919418269739</v>
      </c>
      <c r="F31" s="77">
        <f t="shared" si="1"/>
        <v>62753.629999191937</v>
      </c>
      <c r="G31" s="74">
        <f t="shared" si="2"/>
        <v>84114.549417461676</v>
      </c>
      <c r="H31" s="78">
        <f t="shared" si="3"/>
        <v>1239034.9545220865</v>
      </c>
    </row>
    <row r="32" spans="3:8" x14ac:dyDescent="0.2">
      <c r="C32" s="19">
        <f t="shared" si="4"/>
        <v>20</v>
      </c>
      <c r="D32" s="75">
        <f t="shared" si="5"/>
        <v>1239034.9545220865</v>
      </c>
      <c r="E32" s="76">
        <f t="shared" si="0"/>
        <v>20331.201344570698</v>
      </c>
      <c r="F32" s="77">
        <f t="shared" si="1"/>
        <v>63783.348072890978</v>
      </c>
      <c r="G32" s="74">
        <f t="shared" si="2"/>
        <v>84114.549417461676</v>
      </c>
      <c r="H32" s="78">
        <f t="shared" si="3"/>
        <v>1175251.6064491956</v>
      </c>
    </row>
    <row r="33" spans="3:8" x14ac:dyDescent="0.2">
      <c r="C33" s="19">
        <f t="shared" si="4"/>
        <v>21</v>
      </c>
      <c r="D33" s="75">
        <f t="shared" si="5"/>
        <v>1175251.6064491956</v>
      </c>
      <c r="E33" s="76">
        <f t="shared" si="0"/>
        <v>19284.586729407583</v>
      </c>
      <c r="F33" s="77">
        <f t="shared" si="1"/>
        <v>64829.962688054089</v>
      </c>
      <c r="G33" s="74">
        <f t="shared" si="2"/>
        <v>84114.549417461676</v>
      </c>
      <c r="H33" s="78">
        <f t="shared" si="3"/>
        <v>1110421.6437611415</v>
      </c>
    </row>
    <row r="34" spans="3:8" x14ac:dyDescent="0.2">
      <c r="C34" s="19">
        <f>C33+1</f>
        <v>22</v>
      </c>
      <c r="D34" s="75">
        <f t="shared" si="5"/>
        <v>1110421.6437611415</v>
      </c>
      <c r="E34" s="76">
        <f t="shared" si="0"/>
        <v>18220.798319111898</v>
      </c>
      <c r="F34" s="77">
        <f t="shared" si="1"/>
        <v>65893.751098349778</v>
      </c>
      <c r="G34" s="74">
        <f t="shared" si="2"/>
        <v>84114.549417461676</v>
      </c>
      <c r="H34" s="78">
        <f t="shared" si="3"/>
        <v>1044527.8926627917</v>
      </c>
    </row>
    <row r="35" spans="3:8" x14ac:dyDescent="0.2">
      <c r="C35" s="19">
        <f t="shared" si="4"/>
        <v>23</v>
      </c>
      <c r="D35" s="75">
        <f t="shared" si="5"/>
        <v>1044527.8926627917</v>
      </c>
      <c r="E35" s="76">
        <f t="shared" si="0"/>
        <v>17139.554310587282</v>
      </c>
      <c r="F35" s="77">
        <f t="shared" si="1"/>
        <v>66974.995106874398</v>
      </c>
      <c r="G35" s="74">
        <f t="shared" si="2"/>
        <v>84114.549417461676</v>
      </c>
      <c r="H35" s="78">
        <f t="shared" si="3"/>
        <v>977552.89755591727</v>
      </c>
    </row>
    <row r="36" spans="3:8" x14ac:dyDescent="0.2">
      <c r="C36" s="19">
        <f t="shared" si="4"/>
        <v>24</v>
      </c>
      <c r="D36" s="75">
        <f t="shared" si="5"/>
        <v>977552.89755591727</v>
      </c>
      <c r="E36" s="76">
        <f t="shared" si="0"/>
        <v>16040.568276658385</v>
      </c>
      <c r="F36" s="77">
        <f t="shared" si="1"/>
        <v>68073.981140803284</v>
      </c>
      <c r="G36" s="74">
        <f t="shared" si="2"/>
        <v>84114.549417461676</v>
      </c>
      <c r="H36" s="78">
        <f t="shared" si="3"/>
        <v>909478.91641511396</v>
      </c>
    </row>
    <row r="37" spans="3:8" x14ac:dyDescent="0.2">
      <c r="C37" s="19">
        <f t="shared" si="4"/>
        <v>25</v>
      </c>
      <c r="D37" s="75">
        <f t="shared" si="5"/>
        <v>909478.91641511396</v>
      </c>
      <c r="E37" s="76">
        <f t="shared" si="0"/>
        <v>14923.549090194821</v>
      </c>
      <c r="F37" s="77">
        <f t="shared" si="1"/>
        <v>69191.000327266855</v>
      </c>
      <c r="G37" s="74">
        <f t="shared" ref="G37:G48" si="6">$E$10</f>
        <v>84114.549417461676</v>
      </c>
      <c r="H37" s="78">
        <f t="shared" si="3"/>
        <v>840287.91608784709</v>
      </c>
    </row>
    <row r="38" spans="3:8" x14ac:dyDescent="0.2">
      <c r="C38" s="19">
        <f t="shared" si="4"/>
        <v>26</v>
      </c>
      <c r="D38" s="75">
        <f t="shared" si="5"/>
        <v>840287.91608784709</v>
      </c>
      <c r="E38" s="76">
        <f t="shared" si="0"/>
        <v>13788.200846990077</v>
      </c>
      <c r="F38" s="77">
        <f t="shared" si="1"/>
        <v>70326.3485704716</v>
      </c>
      <c r="G38" s="74">
        <f t="shared" si="6"/>
        <v>84114.549417461676</v>
      </c>
      <c r="H38" s="78">
        <f t="shared" si="3"/>
        <v>769961.56751737546</v>
      </c>
    </row>
    <row r="39" spans="3:8" x14ac:dyDescent="0.2">
      <c r="C39" s="19">
        <f t="shared" si="4"/>
        <v>27</v>
      </c>
      <c r="D39" s="75">
        <f t="shared" si="5"/>
        <v>769961.56751737546</v>
      </c>
      <c r="E39" s="76">
        <f t="shared" si="0"/>
        <v>12634.222787374945</v>
      </c>
      <c r="F39" s="77">
        <f t="shared" si="1"/>
        <v>71480.326630086725</v>
      </c>
      <c r="G39" s="74">
        <f t="shared" si="6"/>
        <v>84114.549417461676</v>
      </c>
      <c r="H39" s="78">
        <f t="shared" si="3"/>
        <v>698481.2408872887</v>
      </c>
    </row>
    <row r="40" spans="3:8" x14ac:dyDescent="0.2">
      <c r="C40" s="19">
        <f t="shared" si="4"/>
        <v>28</v>
      </c>
      <c r="D40" s="75">
        <f t="shared" si="5"/>
        <v>698481.2408872887</v>
      </c>
      <c r="E40" s="76">
        <f t="shared" si="0"/>
        <v>11461.309216544716</v>
      </c>
      <c r="F40" s="77">
        <f t="shared" si="1"/>
        <v>72653.24020091696</v>
      </c>
      <c r="G40" s="74">
        <f t="shared" si="6"/>
        <v>84114.549417461676</v>
      </c>
      <c r="H40" s="78">
        <f t="shared" si="3"/>
        <v>625828.0006863717</v>
      </c>
    </row>
    <row r="41" spans="3:8" x14ac:dyDescent="0.2">
      <c r="C41" s="19">
        <f t="shared" si="4"/>
        <v>29</v>
      </c>
      <c r="D41" s="75">
        <f t="shared" si="5"/>
        <v>625828.0006863717</v>
      </c>
      <c r="E41" s="76">
        <f t="shared" si="0"/>
        <v>10269.149423579027</v>
      </c>
      <c r="F41" s="77">
        <f t="shared" si="1"/>
        <v>73845.399993882646</v>
      </c>
      <c r="G41" s="74">
        <f t="shared" si="6"/>
        <v>84114.549417461676</v>
      </c>
      <c r="H41" s="78">
        <f t="shared" si="3"/>
        <v>551982.60069248907</v>
      </c>
    </row>
    <row r="42" spans="3:8" x14ac:dyDescent="0.2">
      <c r="C42" s="19">
        <f t="shared" si="4"/>
        <v>30</v>
      </c>
      <c r="D42" s="75">
        <f t="shared" si="5"/>
        <v>551982.60069248907</v>
      </c>
      <c r="E42" s="76">
        <f t="shared" si="0"/>
        <v>9057.4275991329323</v>
      </c>
      <c r="F42" s="77">
        <f t="shared" si="1"/>
        <v>75057.121818328742</v>
      </c>
      <c r="G42" s="74">
        <f t="shared" si="6"/>
        <v>84114.549417461676</v>
      </c>
      <c r="H42" s="78">
        <f t="shared" si="3"/>
        <v>476925.47887416033</v>
      </c>
    </row>
    <row r="43" spans="3:8" x14ac:dyDescent="0.2">
      <c r="C43" s="19">
        <f t="shared" si="4"/>
        <v>31</v>
      </c>
      <c r="D43" s="75">
        <f t="shared" si="5"/>
        <v>476925.47887416033</v>
      </c>
      <c r="E43" s="76">
        <f t="shared" si="0"/>
        <v>7825.8227517773448</v>
      </c>
      <c r="F43" s="77">
        <f t="shared" si="1"/>
        <v>76288.726665684328</v>
      </c>
      <c r="G43" s="74">
        <f t="shared" si="6"/>
        <v>84114.549417461676</v>
      </c>
      <c r="H43" s="78">
        <f t="shared" si="3"/>
        <v>400636.75220847601</v>
      </c>
    </row>
    <row r="44" spans="3:8" x14ac:dyDescent="0.2">
      <c r="C44" s="19">
        <f t="shared" si="4"/>
        <v>32</v>
      </c>
      <c r="D44" s="75">
        <f t="shared" si="5"/>
        <v>400636.75220847601</v>
      </c>
      <c r="E44" s="76">
        <f t="shared" si="0"/>
        <v>6574.008622966744</v>
      </c>
      <c r="F44" s="77">
        <f t="shared" si="1"/>
        <v>77540.540794494926</v>
      </c>
      <c r="G44" s="74">
        <f t="shared" si="6"/>
        <v>84114.549417461676</v>
      </c>
      <c r="H44" s="78">
        <f t="shared" si="3"/>
        <v>323096.2114139811</v>
      </c>
    </row>
    <row r="45" spans="3:8" x14ac:dyDescent="0.2">
      <c r="C45" s="19">
        <f t="shared" si="4"/>
        <v>33</v>
      </c>
      <c r="D45" s="75">
        <f t="shared" si="5"/>
        <v>323096.2114139811</v>
      </c>
      <c r="E45" s="76">
        <f t="shared" si="0"/>
        <v>5301.6536006115848</v>
      </c>
      <c r="F45" s="77">
        <f t="shared" si="1"/>
        <v>78812.895816850098</v>
      </c>
      <c r="G45" s="74">
        <f t="shared" si="6"/>
        <v>84114.549417461676</v>
      </c>
      <c r="H45" s="78">
        <f t="shared" si="3"/>
        <v>244283.315597131</v>
      </c>
    </row>
    <row r="46" spans="3:8" x14ac:dyDescent="0.2">
      <c r="C46" s="19">
        <f t="shared" si="4"/>
        <v>34</v>
      </c>
      <c r="D46" s="75">
        <f t="shared" si="5"/>
        <v>244283.315597131</v>
      </c>
      <c r="E46" s="76">
        <f t="shared" si="0"/>
        <v>4008.4206312325191</v>
      </c>
      <c r="F46" s="77">
        <f t="shared" si="1"/>
        <v>80106.12878622915</v>
      </c>
      <c r="G46" s="74">
        <f t="shared" si="6"/>
        <v>84114.549417461676</v>
      </c>
      <c r="H46" s="78">
        <f t="shared" si="3"/>
        <v>164177.18681090185</v>
      </c>
    </row>
    <row r="47" spans="3:8" x14ac:dyDescent="0.2">
      <c r="C47" s="19">
        <f t="shared" si="4"/>
        <v>35</v>
      </c>
      <c r="D47" s="75">
        <f t="shared" si="5"/>
        <v>164177.18681090185</v>
      </c>
      <c r="E47" s="76">
        <f t="shared" si="0"/>
        <v>2693.9671306731821</v>
      </c>
      <c r="F47" s="77">
        <f t="shared" si="1"/>
        <v>81420.5822867885</v>
      </c>
      <c r="G47" s="74">
        <f t="shared" si="6"/>
        <v>84114.549417461676</v>
      </c>
      <c r="H47" s="78">
        <f t="shared" si="3"/>
        <v>82756.604524113354</v>
      </c>
    </row>
    <row r="48" spans="3:8" x14ac:dyDescent="0.2">
      <c r="C48" s="19">
        <f t="shared" si="4"/>
        <v>36</v>
      </c>
      <c r="D48" s="75">
        <f t="shared" si="5"/>
        <v>82756.604524113354</v>
      </c>
      <c r="E48" s="76">
        <f t="shared" si="0"/>
        <v>1357.9448933478548</v>
      </c>
      <c r="F48" s="77">
        <f t="shared" si="1"/>
        <v>82756.60452411382</v>
      </c>
      <c r="G48" s="74">
        <f t="shared" si="6"/>
        <v>84114.549417461676</v>
      </c>
      <c r="H48" s="78">
        <f t="shared" si="3"/>
        <v>-4.6566128730773926E-10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L10"/>
  <sheetViews>
    <sheetView workbookViewId="0">
      <selection activeCell="I34" sqref="I34"/>
    </sheetView>
  </sheetViews>
  <sheetFormatPr baseColWidth="10" defaultRowHeight="12.75" x14ac:dyDescent="0.2"/>
  <cols>
    <col min="3" max="3" width="28.7109375" customWidth="1"/>
  </cols>
  <sheetData>
    <row r="2" spans="3:12" ht="13.5" thickBot="1" x14ac:dyDescent="0.25"/>
    <row r="3" spans="3:12" x14ac:dyDescent="0.2">
      <c r="C3" s="83" t="s">
        <v>103</v>
      </c>
      <c r="D3" s="84">
        <v>0</v>
      </c>
      <c r="E3" s="84">
        <f>D3+1</f>
        <v>1</v>
      </c>
      <c r="F3" s="84">
        <f t="shared" ref="F3:L3" si="0">E3+1</f>
        <v>2</v>
      </c>
      <c r="G3" s="84">
        <f t="shared" si="0"/>
        <v>3</v>
      </c>
      <c r="H3" s="84">
        <f t="shared" si="0"/>
        <v>4</v>
      </c>
      <c r="I3" s="84">
        <f t="shared" si="0"/>
        <v>5</v>
      </c>
      <c r="J3" s="84">
        <f t="shared" si="0"/>
        <v>6</v>
      </c>
      <c r="K3" s="84">
        <f t="shared" si="0"/>
        <v>7</v>
      </c>
      <c r="L3" s="85">
        <f t="shared" si="0"/>
        <v>8</v>
      </c>
    </row>
    <row r="4" spans="3:12" x14ac:dyDescent="0.2">
      <c r="C4" s="80" t="s">
        <v>180</v>
      </c>
      <c r="D4" s="56">
        <f>'FC Economico'!N126</f>
        <v>-7576625</v>
      </c>
      <c r="E4" s="56">
        <f>'FC Economico'!O126</f>
        <v>3727110.7249999996</v>
      </c>
      <c r="F4" s="56">
        <f>'FC Economico'!P126</f>
        <v>1782668.2249999994</v>
      </c>
      <c r="G4" s="56">
        <f>'FC Economico'!Q126</f>
        <v>1782668.2249999994</v>
      </c>
      <c r="H4" s="56">
        <f>'FC Economico'!R126</f>
        <v>1466198.2249999992</v>
      </c>
      <c r="I4" s="56">
        <f>'FC Economico'!S126</f>
        <v>2637305.2249999992</v>
      </c>
      <c r="J4" s="56">
        <f>'FC Economico'!T126</f>
        <v>1508496.5249999992</v>
      </c>
      <c r="K4" s="56">
        <f>'FC Economico'!U126</f>
        <v>3355299.835</v>
      </c>
      <c r="L4" s="81">
        <f>'FC Economico'!V126</f>
        <v>8742323.5350000001</v>
      </c>
    </row>
    <row r="5" spans="3:12" x14ac:dyDescent="0.2">
      <c r="C5" s="51" t="s">
        <v>184</v>
      </c>
      <c r="D5" s="75">
        <f>DEUDA!E3</f>
        <v>2272987.5</v>
      </c>
      <c r="E5" s="3"/>
      <c r="F5" s="3"/>
      <c r="G5" s="3"/>
      <c r="H5" s="3"/>
      <c r="I5" s="3"/>
      <c r="J5" s="75"/>
      <c r="K5" s="3"/>
      <c r="L5" s="6"/>
    </row>
    <row r="6" spans="3:12" x14ac:dyDescent="0.2">
      <c r="C6" s="82" t="s">
        <v>179</v>
      </c>
      <c r="D6" s="3"/>
      <c r="E6" s="75">
        <f>-DEUDA!K6</f>
        <v>-615388.82975955028</v>
      </c>
      <c r="F6" s="75">
        <f>-DEUDA!L6</f>
        <v>-748119.75382533588</v>
      </c>
      <c r="G6" s="75">
        <f>-DEUDA!M6</f>
        <v>-909478.91641511442</v>
      </c>
      <c r="H6" s="3"/>
      <c r="I6" s="3"/>
      <c r="J6" s="75"/>
      <c r="K6" s="3"/>
      <c r="L6" s="3"/>
    </row>
    <row r="7" spans="3:12" x14ac:dyDescent="0.2">
      <c r="C7" s="82" t="s">
        <v>174</v>
      </c>
      <c r="D7" s="3"/>
      <c r="E7" s="75">
        <f>-DEUDA!K7</f>
        <v>-393985.76324998977</v>
      </c>
      <c r="F7" s="75">
        <f>-DEUDA!L7</f>
        <v>-261254.83918420426</v>
      </c>
      <c r="G7" s="75">
        <f>-DEUDA!M7</f>
        <v>-99895.676594425749</v>
      </c>
      <c r="H7" s="3"/>
      <c r="I7" s="3"/>
      <c r="J7" s="3"/>
      <c r="K7" s="75"/>
      <c r="L7" s="75"/>
    </row>
    <row r="8" spans="3:12" x14ac:dyDescent="0.2">
      <c r="C8" s="82" t="s">
        <v>181</v>
      </c>
      <c r="D8" s="3"/>
      <c r="E8" s="75">
        <f>-(E7*0.295)</f>
        <v>116225.80015874698</v>
      </c>
      <c r="F8" s="75">
        <f>-(F7*0.295)</f>
        <v>77070.177559340256</v>
      </c>
      <c r="G8" s="75">
        <f>-(G7*0.295)</f>
        <v>29469.224595355594</v>
      </c>
      <c r="H8" s="3"/>
      <c r="I8" s="3"/>
      <c r="J8" s="3"/>
      <c r="K8" s="3"/>
      <c r="L8" s="6"/>
    </row>
    <row r="9" spans="3:12" x14ac:dyDescent="0.2">
      <c r="C9" s="86" t="s">
        <v>182</v>
      </c>
      <c r="D9" s="87">
        <f>SUM(D5:D8)</f>
        <v>2272987.5</v>
      </c>
      <c r="E9" s="87">
        <f t="shared" ref="E9:L9" si="1">SUM(E5:E8)</f>
        <v>-893148.79285079311</v>
      </c>
      <c r="F9" s="87">
        <f t="shared" si="1"/>
        <v>-932304.41545019986</v>
      </c>
      <c r="G9" s="87">
        <f t="shared" si="1"/>
        <v>-979905.36841418454</v>
      </c>
      <c r="H9" s="87">
        <f t="shared" si="1"/>
        <v>0</v>
      </c>
      <c r="I9" s="87">
        <f t="shared" si="1"/>
        <v>0</v>
      </c>
      <c r="J9" s="87">
        <f t="shared" si="1"/>
        <v>0</v>
      </c>
      <c r="K9" s="87">
        <f t="shared" si="1"/>
        <v>0</v>
      </c>
      <c r="L9" s="88">
        <f t="shared" si="1"/>
        <v>0</v>
      </c>
    </row>
    <row r="10" spans="3:12" ht="13.5" thickBot="1" x14ac:dyDescent="0.25">
      <c r="C10" s="89" t="s">
        <v>183</v>
      </c>
      <c r="D10" s="90">
        <f>D4+D9</f>
        <v>-5303637.5</v>
      </c>
      <c r="E10" s="90">
        <f t="shared" ref="E10:L10" si="2">E4+E9</f>
        <v>2833961.9321492063</v>
      </c>
      <c r="F10" s="90">
        <f t="shared" si="2"/>
        <v>850363.80954979954</v>
      </c>
      <c r="G10" s="90">
        <f t="shared" si="2"/>
        <v>802762.85658581485</v>
      </c>
      <c r="H10" s="90">
        <f t="shared" si="2"/>
        <v>1466198.2249999992</v>
      </c>
      <c r="I10" s="90">
        <f t="shared" si="2"/>
        <v>2637305.2249999992</v>
      </c>
      <c r="J10" s="90">
        <f t="shared" si="2"/>
        <v>1508496.5249999992</v>
      </c>
      <c r="K10" s="90">
        <f t="shared" si="2"/>
        <v>3355299.835</v>
      </c>
      <c r="L10" s="91">
        <f t="shared" si="2"/>
        <v>8742323.5350000001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Deprec. y VR</vt:lpstr>
      <vt:lpstr>Planillas</vt:lpstr>
      <vt:lpstr>FC Economico</vt:lpstr>
      <vt:lpstr>DEUDA</vt:lpstr>
      <vt:lpstr>FCD Y FCF</vt:lpstr>
    </vt:vector>
  </TitlesOfParts>
  <Company>Universidad del Pacífico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EDISON ACHALMA</cp:lastModifiedBy>
  <cp:lastPrinted>2004-10-17T17:01:32Z</cp:lastPrinted>
  <dcterms:created xsi:type="dcterms:W3CDTF">2003-08-13T21:47:24Z</dcterms:created>
  <dcterms:modified xsi:type="dcterms:W3CDTF">2021-06-26T19:26:34Z</dcterms:modified>
</cp:coreProperties>
</file>