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1ecd61295a042a9/Documentos/Classroom/Evaluación Privada de Proyectos/Collaboration Space/Shared Resources/4. SOLUCION MERMELADA DE ROCOTO III/"/>
    </mc:Choice>
  </mc:AlternateContent>
  <xr:revisionPtr revIDLastSave="0" documentId="8_{1F22F8C6-C964-4D3A-BFD0-F333E8239361}" xr6:coauthVersionLast="47" xr6:coauthVersionMax="47" xr10:uidLastSave="{00000000-0000-0000-0000-000000000000}"/>
  <bookViews>
    <workbookView xWindow="-120" yWindow="-16320" windowWidth="29040" windowHeight="15720" firstSheet="10" activeTab="15"/>
  </bookViews>
  <sheets>
    <sheet name="Resumen" sheetId="14" r:id="rId1"/>
    <sheet name="Ventas_Unidades" sheetId="16" r:id="rId2"/>
    <sheet name="Presupuesto_Ventas" sheetId="1" r:id="rId3"/>
    <sheet name="Inversión_Inicial" sheetId="2" r:id="rId4"/>
    <sheet name="Depreciación_VR" sheetId="4" r:id="rId5"/>
    <sheet name="Sueldos" sheetId="21" r:id="rId6"/>
    <sheet name="Costos_Producción" sheetId="23" r:id="rId7"/>
    <sheet name="Gastos_Operativos" sheetId="8" r:id="rId8"/>
    <sheet name="Costos_Unitarios" sheetId="5" r:id="rId9"/>
    <sheet name="KW_Año 1" sheetId="15" r:id="rId10"/>
    <sheet name="Punto de equilibrio" sheetId="6" r:id="rId11"/>
    <sheet name="Estado de Resultados" sheetId="9" r:id="rId12"/>
    <sheet name="Flujo_Deuda" sheetId="11" r:id="rId13"/>
    <sheet name="flujos de caja" sheetId="26" r:id="rId14"/>
    <sheet name="Ku" sheetId="24" r:id="rId15"/>
    <sheet name="Ke y Kwacc" sheetId="25" r:id="rId16"/>
  </sheets>
  <externalReferences>
    <externalReference r:id="rId17"/>
  </externalReferences>
  <definedNames>
    <definedName name="_Hlk37002392" localSheetId="15">'Ke y Kwacc'!$B$15</definedName>
    <definedName name="_Hlk38462990" localSheetId="15">'Ke y Kwacc'!$G$14</definedName>
    <definedName name="MANO_DE_OBRA_M">[1]Resumen!$H$13</definedName>
    <definedName name="PRECIO_DE_VENTA_M">[1]Resumen!$H$12</definedName>
  </definedNames>
  <calcPr calcId="191029" iterateDelta="9.999999999999445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3" i="9" l="1"/>
  <c r="H22" i="26"/>
  <c r="I22" i="26"/>
  <c r="J22" i="26"/>
  <c r="K12" i="9"/>
  <c r="K13" i="9" s="1"/>
  <c r="L12" i="9"/>
  <c r="L13" i="9" s="1"/>
  <c r="M12" i="9"/>
  <c r="N12" i="9"/>
  <c r="N13" i="9" s="1"/>
  <c r="J12" i="9"/>
  <c r="J13" i="9" s="1"/>
  <c r="L5" i="9"/>
  <c r="M5" i="9" s="1"/>
  <c r="N5" i="9" s="1"/>
  <c r="K5" i="9"/>
  <c r="E16" i="26"/>
  <c r="F9" i="26"/>
  <c r="G9" i="26"/>
  <c r="H9" i="26"/>
  <c r="E8" i="11"/>
  <c r="E7" i="11"/>
  <c r="C21" i="9"/>
  <c r="C19" i="25"/>
  <c r="C22" i="25" s="1"/>
  <c r="C8" i="25" s="1"/>
  <c r="C12" i="25" s="1"/>
  <c r="H8" i="25" s="1"/>
  <c r="C12" i="24"/>
  <c r="H11" i="25"/>
  <c r="H10" i="25"/>
  <c r="H7" i="25"/>
  <c r="H9" i="25" s="1"/>
  <c r="C10" i="25"/>
  <c r="K12" i="21"/>
  <c r="D5" i="6"/>
  <c r="F14" i="23"/>
  <c r="F13" i="23"/>
  <c r="F15" i="23" s="1"/>
  <c r="F12" i="23"/>
  <c r="F11" i="23"/>
  <c r="F10" i="23"/>
  <c r="F9" i="23"/>
  <c r="F8" i="23"/>
  <c r="F7" i="23"/>
  <c r="F6" i="23"/>
  <c r="F6" i="8"/>
  <c r="F4" i="8" s="1"/>
  <c r="H6" i="21"/>
  <c r="H7" i="21" s="1"/>
  <c r="H5" i="21"/>
  <c r="C16" i="11"/>
  <c r="C17" i="11"/>
  <c r="C18" i="11" s="1"/>
  <c r="C19" i="11" s="1"/>
  <c r="C20" i="11" s="1"/>
  <c r="C21" i="11" s="1"/>
  <c r="C22" i="11" s="1"/>
  <c r="C23" i="11" s="1"/>
  <c r="C24" i="11" s="1"/>
  <c r="C25" i="11"/>
  <c r="C26" i="11" s="1"/>
  <c r="C27" i="11" s="1"/>
  <c r="C28" i="11" s="1"/>
  <c r="C29" i="11" s="1"/>
  <c r="C30" i="11" s="1"/>
  <c r="C31" i="11" s="1"/>
  <c r="C32" i="11" s="1"/>
  <c r="C33" i="11"/>
  <c r="C34" i="11" s="1"/>
  <c r="C35" i="11" s="1"/>
  <c r="C36" i="11" s="1"/>
  <c r="C37" i="11" s="1"/>
  <c r="C15" i="11"/>
  <c r="L33" i="2"/>
  <c r="L32" i="2"/>
  <c r="L31" i="2"/>
  <c r="L34" i="2"/>
  <c r="E5" i="26" s="1"/>
  <c r="L28" i="2"/>
  <c r="L27" i="2"/>
  <c r="L26" i="2"/>
  <c r="L25" i="2"/>
  <c r="L24" i="2" s="1"/>
  <c r="L23" i="2"/>
  <c r="L22" i="2"/>
  <c r="L21" i="2"/>
  <c r="L20" i="2"/>
  <c r="L19" i="2"/>
  <c r="L18" i="2"/>
  <c r="L17" i="2"/>
  <c r="L16" i="2"/>
  <c r="L15" i="2"/>
  <c r="L14" i="2" s="1"/>
  <c r="G4" i="26" s="1"/>
  <c r="I4" i="26" s="1"/>
  <c r="I9" i="26" s="1"/>
  <c r="L13" i="2"/>
  <c r="L12" i="2"/>
  <c r="L11" i="2"/>
  <c r="L9" i="2"/>
  <c r="L8" i="2"/>
  <c r="L7" i="2"/>
  <c r="L6" i="2"/>
  <c r="F12" i="8"/>
  <c r="D6" i="21"/>
  <c r="G6" i="21"/>
  <c r="I6" i="21" s="1"/>
  <c r="D5" i="21"/>
  <c r="G5" i="21"/>
  <c r="I5" i="21"/>
  <c r="I7" i="21" s="1"/>
  <c r="E7" i="4"/>
  <c r="E9" i="15"/>
  <c r="F9" i="15"/>
  <c r="G9" i="15"/>
  <c r="H9" i="15"/>
  <c r="I9" i="15"/>
  <c r="J9" i="15"/>
  <c r="K9" i="15"/>
  <c r="L9" i="15"/>
  <c r="M9" i="15"/>
  <c r="N9" i="15"/>
  <c r="O9" i="15"/>
  <c r="D9" i="15"/>
  <c r="O11" i="16"/>
  <c r="O10" i="16"/>
  <c r="O9" i="16"/>
  <c r="O8" i="16"/>
  <c r="O7" i="16"/>
  <c r="C42" i="2"/>
  <c r="F42" i="2"/>
  <c r="F41" i="2"/>
  <c r="C12" i="5"/>
  <c r="E4" i="11"/>
  <c r="E5" i="11"/>
  <c r="C9" i="1"/>
  <c r="K9" i="1" s="1"/>
  <c r="N9" i="1"/>
  <c r="C10" i="1"/>
  <c r="J10" i="1"/>
  <c r="C11" i="1"/>
  <c r="M11" i="1" s="1"/>
  <c r="J11" i="1"/>
  <c r="C12" i="1"/>
  <c r="G12" i="1" s="1"/>
  <c r="N12" i="1"/>
  <c r="C8" i="1"/>
  <c r="I8" i="1" s="1"/>
  <c r="E6" i="11"/>
  <c r="F37" i="2"/>
  <c r="F14" i="8"/>
  <c r="F11" i="8" s="1"/>
  <c r="F13" i="8"/>
  <c r="F10" i="8"/>
  <c r="F9" i="8"/>
  <c r="F8" i="8"/>
  <c r="F7" i="8"/>
  <c r="F38" i="2"/>
  <c r="F39" i="2"/>
  <c r="F40" i="2"/>
  <c r="F44" i="2"/>
  <c r="F43" i="2" s="1"/>
  <c r="C13" i="5" s="1"/>
  <c r="E6" i="4"/>
  <c r="E8" i="4"/>
  <c r="F8" i="4" s="1"/>
  <c r="G8" i="4" s="1"/>
  <c r="E5" i="4"/>
  <c r="F5" i="4" s="1"/>
  <c r="F23" i="2"/>
  <c r="F22" i="2"/>
  <c r="F8" i="2"/>
  <c r="F9" i="2"/>
  <c r="F20" i="2"/>
  <c r="F32" i="2"/>
  <c r="F33" i="2"/>
  <c r="F26" i="2"/>
  <c r="F24" i="2" s="1"/>
  <c r="C8" i="4" s="1"/>
  <c r="F27" i="2"/>
  <c r="F28" i="2"/>
  <c r="F16" i="2"/>
  <c r="F17" i="2"/>
  <c r="F18" i="2"/>
  <c r="F19" i="2"/>
  <c r="F21" i="2"/>
  <c r="F12" i="2"/>
  <c r="F10" i="2" s="1"/>
  <c r="F13" i="2"/>
  <c r="F31" i="2"/>
  <c r="F34" i="2" s="1"/>
  <c r="F11" i="2"/>
  <c r="F15" i="2"/>
  <c r="F25" i="2"/>
  <c r="F7" i="2"/>
  <c r="F6" i="2" s="1"/>
  <c r="C5" i="4" s="1"/>
  <c r="G11" i="1"/>
  <c r="N10" i="1"/>
  <c r="E8" i="1"/>
  <c r="G8" i="1"/>
  <c r="F8" i="1"/>
  <c r="H8" i="1"/>
  <c r="L10" i="1"/>
  <c r="J8" i="1"/>
  <c r="D10" i="1"/>
  <c r="P10" i="1" s="1"/>
  <c r="F6" i="9" s="1"/>
  <c r="H10" i="26" s="1"/>
  <c r="N8" i="1"/>
  <c r="E11" i="1"/>
  <c r="O10" i="1"/>
  <c r="K10" i="1"/>
  <c r="M10" i="1"/>
  <c r="H10" i="1"/>
  <c r="G10" i="1"/>
  <c r="F10" i="1"/>
  <c r="O9" i="1"/>
  <c r="M8" i="1"/>
  <c r="J9" i="1"/>
  <c r="K8" i="1"/>
  <c r="H9" i="1"/>
  <c r="M9" i="1"/>
  <c r="I9" i="1"/>
  <c r="L8" i="1"/>
  <c r="M12" i="1"/>
  <c r="L9" i="1"/>
  <c r="E9" i="1"/>
  <c r="F14" i="2"/>
  <c r="C7" i="4" s="1"/>
  <c r="E12" i="1"/>
  <c r="H12" i="1"/>
  <c r="O12" i="1"/>
  <c r="G9" i="1"/>
  <c r="I10" i="1"/>
  <c r="L12" i="1"/>
  <c r="E10" i="1"/>
  <c r="D12" i="1"/>
  <c r="F12" i="1"/>
  <c r="I12" i="1"/>
  <c r="F5" i="8"/>
  <c r="H13" i="9"/>
  <c r="J13" i="26" s="1"/>
  <c r="C15" i="14"/>
  <c r="E15" i="14"/>
  <c r="E13" i="14"/>
  <c r="C13" i="14"/>
  <c r="E12" i="9"/>
  <c r="G12" i="26" s="1"/>
  <c r="C6" i="4" l="1"/>
  <c r="F29" i="2"/>
  <c r="F4" i="2" s="1"/>
  <c r="E14" i="9"/>
  <c r="G14" i="9"/>
  <c r="F14" i="9"/>
  <c r="H14" i="9"/>
  <c r="C7" i="5"/>
  <c r="D14" i="9"/>
  <c r="F7" i="4"/>
  <c r="G7" i="4" s="1"/>
  <c r="H7" i="4" s="1"/>
  <c r="C5" i="5"/>
  <c r="H12" i="9"/>
  <c r="J12" i="26" s="1"/>
  <c r="F15" i="8"/>
  <c r="F12" i="9"/>
  <c r="H12" i="26" s="1"/>
  <c r="D12" i="9"/>
  <c r="F12" i="26" s="1"/>
  <c r="G12" i="9"/>
  <c r="I12" i="26" s="1"/>
  <c r="H8" i="4"/>
  <c r="C9" i="4"/>
  <c r="H5" i="4"/>
  <c r="G5" i="4"/>
  <c r="L10" i="2"/>
  <c r="L29" i="2" s="1"/>
  <c r="F36" i="2"/>
  <c r="G13" i="9"/>
  <c r="I13" i="26" s="1"/>
  <c r="E13" i="9"/>
  <c r="G13" i="26" s="1"/>
  <c r="C8" i="5"/>
  <c r="F13" i="9"/>
  <c r="H13" i="26" s="1"/>
  <c r="D13" i="9"/>
  <c r="F13" i="26" s="1"/>
  <c r="D11" i="1"/>
  <c r="F11" i="1"/>
  <c r="N11" i="1"/>
  <c r="L11" i="1"/>
  <c r="J12" i="1"/>
  <c r="P12" i="1" s="1"/>
  <c r="H6" i="9" s="1"/>
  <c r="D9" i="1"/>
  <c r="O8" i="1"/>
  <c r="F9" i="1"/>
  <c r="I11" i="1"/>
  <c r="D8" i="1"/>
  <c r="K12" i="1"/>
  <c r="O11" i="1"/>
  <c r="K11" i="1"/>
  <c r="H13" i="25"/>
  <c r="H11" i="1"/>
  <c r="J10" i="26" l="1"/>
  <c r="E4" i="26"/>
  <c r="L4" i="2"/>
  <c r="F46" i="2"/>
  <c r="P9" i="1"/>
  <c r="E6" i="9" s="1"/>
  <c r="C11" i="5"/>
  <c r="C14" i="5" s="1"/>
  <c r="F45" i="2"/>
  <c r="D12" i="15"/>
  <c r="F12" i="15"/>
  <c r="M12" i="15"/>
  <c r="I12" i="15"/>
  <c r="E12" i="15"/>
  <c r="K12" i="15"/>
  <c r="G12" i="15"/>
  <c r="O12" i="15"/>
  <c r="L12" i="15"/>
  <c r="J12" i="15"/>
  <c r="H15" i="8"/>
  <c r="H12" i="15"/>
  <c r="N12" i="15"/>
  <c r="F6" i="4"/>
  <c r="P8" i="1"/>
  <c r="D6" i="9" s="1"/>
  <c r="P11" i="1"/>
  <c r="G6" i="9" s="1"/>
  <c r="G10" i="26" l="1"/>
  <c r="I10" i="26"/>
  <c r="C18" i="5"/>
  <c r="E14" i="5"/>
  <c r="F10" i="26"/>
  <c r="G6" i="4"/>
  <c r="H6" i="4" s="1"/>
  <c r="H9" i="4" s="1"/>
  <c r="J8" i="26" s="1"/>
  <c r="F9" i="4"/>
  <c r="N10" i="15" l="1"/>
  <c r="N11" i="15" s="1"/>
  <c r="N13" i="15" s="1"/>
  <c r="E8" i="9"/>
  <c r="G8" i="9"/>
  <c r="G10" i="15"/>
  <c r="G11" i="15" s="1"/>
  <c r="G13" i="15" s="1"/>
  <c r="E18" i="5"/>
  <c r="D8" i="9"/>
  <c r="D6" i="6"/>
  <c r="D7" i="6" s="1"/>
  <c r="I10" i="15"/>
  <c r="I11" i="15" s="1"/>
  <c r="I13" i="15" s="1"/>
  <c r="F10" i="15"/>
  <c r="F11" i="15" s="1"/>
  <c r="F13" i="15" s="1"/>
  <c r="H10" i="15"/>
  <c r="H11" i="15" s="1"/>
  <c r="H13" i="15" s="1"/>
  <c r="J10" i="15"/>
  <c r="J11" i="15" s="1"/>
  <c r="J13" i="15" s="1"/>
  <c r="M10" i="15"/>
  <c r="M11" i="15" s="1"/>
  <c r="M13" i="15" s="1"/>
  <c r="E10" i="15"/>
  <c r="E11" i="15" s="1"/>
  <c r="E13" i="15" s="1"/>
  <c r="O10" i="15"/>
  <c r="O11" i="15" s="1"/>
  <c r="O13" i="15" s="1"/>
  <c r="D10" i="15"/>
  <c r="D11" i="15" s="1"/>
  <c r="D13" i="15" s="1"/>
  <c r="F8" i="9"/>
  <c r="L10" i="15"/>
  <c r="L11" i="15" s="1"/>
  <c r="L13" i="15" s="1"/>
  <c r="K10" i="15"/>
  <c r="K11" i="15" s="1"/>
  <c r="K13" i="15" s="1"/>
  <c r="H8" i="9"/>
  <c r="G9" i="9"/>
  <c r="E9" i="9"/>
  <c r="F9" i="9"/>
  <c r="C6" i="5"/>
  <c r="C9" i="5" s="1"/>
  <c r="D9" i="9"/>
  <c r="H9" i="9"/>
  <c r="E9" i="5" l="1"/>
  <c r="D4" i="6"/>
  <c r="D9" i="6" s="1"/>
  <c r="D11" i="6" s="1"/>
  <c r="C17" i="5"/>
  <c r="C19" i="5" s="1"/>
  <c r="D21" i="5" s="1"/>
  <c r="D22" i="5" s="1"/>
  <c r="F11" i="26"/>
  <c r="J8" i="9"/>
  <c r="J9" i="9" s="1"/>
  <c r="J15" i="9" s="1"/>
  <c r="F14" i="26" s="1"/>
  <c r="D10" i="9"/>
  <c r="D15" i="9" s="1"/>
  <c r="D14" i="15"/>
  <c r="J11" i="26"/>
  <c r="N8" i="9"/>
  <c r="N9" i="9" s="1"/>
  <c r="N15" i="9" s="1"/>
  <c r="J14" i="26" s="1"/>
  <c r="H10" i="9"/>
  <c r="H15" i="9" s="1"/>
  <c r="I11" i="26"/>
  <c r="M8" i="9"/>
  <c r="M9" i="9" s="1"/>
  <c r="M15" i="9" s="1"/>
  <c r="I14" i="26" s="1"/>
  <c r="G10" i="9"/>
  <c r="G15" i="9" s="1"/>
  <c r="K8" i="9"/>
  <c r="K9" i="9" s="1"/>
  <c r="K15" i="9" s="1"/>
  <c r="G14" i="26" s="1"/>
  <c r="G11" i="26"/>
  <c r="E10" i="9"/>
  <c r="E15" i="9" s="1"/>
  <c r="C14" i="15"/>
  <c r="D15" i="15"/>
  <c r="O15" i="15"/>
  <c r="L8" i="9"/>
  <c r="L9" i="9" s="1"/>
  <c r="L15" i="9" s="1"/>
  <c r="H14" i="26" s="1"/>
  <c r="H11" i="26"/>
  <c r="F10" i="9"/>
  <c r="F15" i="9" s="1"/>
  <c r="E14" i="15"/>
  <c r="E15" i="15" s="1"/>
  <c r="F14" i="15" s="1"/>
  <c r="F15" i="15" s="1"/>
  <c r="G14" i="15" s="1"/>
  <c r="G15" i="15" s="1"/>
  <c r="H14" i="15" s="1"/>
  <c r="H15" i="15" s="1"/>
  <c r="I14" i="15" s="1"/>
  <c r="I15" i="15" s="1"/>
  <c r="J14" i="15" s="1"/>
  <c r="J15" i="15" s="1"/>
  <c r="K14" i="15" s="1"/>
  <c r="K15" i="15" s="1"/>
  <c r="L14" i="15" s="1"/>
  <c r="L15" i="15" s="1"/>
  <c r="M14" i="15" s="1"/>
  <c r="M15" i="15" s="1"/>
  <c r="N14" i="15" s="1"/>
  <c r="N15" i="15" s="1"/>
  <c r="E16" i="9" l="1"/>
  <c r="G15" i="26" s="1"/>
  <c r="E17" i="9"/>
  <c r="G16" i="26"/>
  <c r="G17" i="26" s="1"/>
  <c r="H16" i="26"/>
  <c r="H17" i="26" s="1"/>
  <c r="H23" i="26" s="1"/>
  <c r="G16" i="9"/>
  <c r="I15" i="26" s="1"/>
  <c r="I16" i="26" s="1"/>
  <c r="I17" i="26" s="1"/>
  <c r="I23" i="26" s="1"/>
  <c r="D16" i="9"/>
  <c r="F15" i="26" s="1"/>
  <c r="F16" i="26" s="1"/>
  <c r="F17" i="26" s="1"/>
  <c r="F16" i="9"/>
  <c r="H15" i="26" s="1"/>
  <c r="H16" i="9"/>
  <c r="J15" i="26" s="1"/>
  <c r="H17" i="9"/>
  <c r="J16" i="26"/>
  <c r="E17" i="5"/>
  <c r="E19" i="5" s="1"/>
  <c r="E15" i="5"/>
  <c r="P14" i="15"/>
  <c r="L36" i="2" s="1"/>
  <c r="L45" i="2" s="1"/>
  <c r="D17" i="9" l="1"/>
  <c r="G17" i="9"/>
  <c r="E6" i="26"/>
  <c r="L46" i="2"/>
  <c r="E3" i="11" s="1"/>
  <c r="F17" i="9"/>
  <c r="E18" i="26" l="1"/>
  <c r="E22" i="26" s="1"/>
  <c r="E10" i="11"/>
  <c r="D14" i="11"/>
  <c r="H10" i="11"/>
  <c r="J7" i="26"/>
  <c r="J9" i="26" s="1"/>
  <c r="J17" i="26" s="1"/>
  <c r="J23" i="26" s="1"/>
  <c r="E9" i="26"/>
  <c r="E17" i="26" s="1"/>
  <c r="E23" i="26" l="1"/>
  <c r="E14" i="11"/>
  <c r="F20" i="11"/>
  <c r="F28" i="11"/>
  <c r="F36" i="11"/>
  <c r="F21" i="11"/>
  <c r="F29" i="11"/>
  <c r="F37" i="11"/>
  <c r="F22" i="11"/>
  <c r="F30" i="11"/>
  <c r="F14" i="11"/>
  <c r="F24" i="11"/>
  <c r="F32" i="11"/>
  <c r="F15" i="11"/>
  <c r="F23" i="11"/>
  <c r="F31" i="11"/>
  <c r="F16" i="11"/>
  <c r="F18" i="11"/>
  <c r="F26" i="11"/>
  <c r="F34" i="11"/>
  <c r="F19" i="11"/>
  <c r="F27" i="11"/>
  <c r="F35" i="11"/>
  <c r="F17" i="11"/>
  <c r="F25" i="11"/>
  <c r="F33" i="11"/>
  <c r="F38" i="11" l="1"/>
  <c r="G19" i="26" s="1"/>
  <c r="F13" i="11"/>
  <c r="F19" i="26" s="1"/>
  <c r="G14" i="11"/>
  <c r="H14" i="11"/>
  <c r="D15" i="11" s="1"/>
  <c r="H15" i="11" l="1"/>
  <c r="D16" i="11" s="1"/>
  <c r="E15" i="11"/>
  <c r="G15" i="11" l="1"/>
  <c r="H16" i="11"/>
  <c r="D17" i="11" s="1"/>
  <c r="E16" i="11"/>
  <c r="G16" i="11" s="1"/>
  <c r="H17" i="11" l="1"/>
  <c r="D18" i="11" s="1"/>
  <c r="E17" i="11"/>
  <c r="G17" i="11" s="1"/>
  <c r="H18" i="11" l="1"/>
  <c r="D19" i="11" s="1"/>
  <c r="E18" i="11"/>
  <c r="G18" i="11" l="1"/>
  <c r="H19" i="11"/>
  <c r="D20" i="11" s="1"/>
  <c r="E19" i="11"/>
  <c r="G19" i="11" s="1"/>
  <c r="H20" i="11" l="1"/>
  <c r="D21" i="11" s="1"/>
  <c r="E20" i="11"/>
  <c r="G20" i="11" s="1"/>
  <c r="H21" i="11" l="1"/>
  <c r="D22" i="11" s="1"/>
  <c r="E21" i="11"/>
  <c r="G21" i="11" s="1"/>
  <c r="H22" i="11" l="1"/>
  <c r="D23" i="11" s="1"/>
  <c r="E22" i="11"/>
  <c r="G22" i="11" s="1"/>
  <c r="H23" i="11" l="1"/>
  <c r="D24" i="11" s="1"/>
  <c r="E23" i="11"/>
  <c r="G23" i="11" s="1"/>
  <c r="H24" i="11" l="1"/>
  <c r="D25" i="11" s="1"/>
  <c r="E24" i="11"/>
  <c r="G24" i="11" s="1"/>
  <c r="H25" i="11" l="1"/>
  <c r="D26" i="11" s="1"/>
  <c r="E25" i="11"/>
  <c r="G25" i="11" l="1"/>
  <c r="G13" i="11" s="1"/>
  <c r="E13" i="11"/>
  <c r="F20" i="26" s="1"/>
  <c r="H26" i="11"/>
  <c r="D27" i="11" s="1"/>
  <c r="E26" i="11"/>
  <c r="G26" i="11" l="1"/>
  <c r="H27" i="11"/>
  <c r="D28" i="11" s="1"/>
  <c r="E27" i="11"/>
  <c r="G27" i="11" s="1"/>
  <c r="F21" i="26"/>
  <c r="F22" i="26"/>
  <c r="F23" i="26" s="1"/>
  <c r="H28" i="11" l="1"/>
  <c r="D29" i="11" s="1"/>
  <c r="E28" i="11"/>
  <c r="G28" i="11" l="1"/>
  <c r="H29" i="11"/>
  <c r="D30" i="11" s="1"/>
  <c r="E29" i="11"/>
  <c r="G29" i="11" s="1"/>
  <c r="H30" i="11" l="1"/>
  <c r="D31" i="11" s="1"/>
  <c r="E30" i="11"/>
  <c r="G30" i="11" s="1"/>
  <c r="H31" i="11" l="1"/>
  <c r="D32" i="11" s="1"/>
  <c r="E31" i="11"/>
  <c r="G31" i="11" l="1"/>
  <c r="H32" i="11"/>
  <c r="D33" i="11" s="1"/>
  <c r="E32" i="11"/>
  <c r="G32" i="11" s="1"/>
  <c r="H33" i="11" l="1"/>
  <c r="D34" i="11" s="1"/>
  <c r="E33" i="11"/>
  <c r="G33" i="11" l="1"/>
  <c r="H34" i="11"/>
  <c r="D35" i="11" s="1"/>
  <c r="E34" i="11"/>
  <c r="G34" i="11" s="1"/>
  <c r="H35" i="11" l="1"/>
  <c r="D36" i="11" s="1"/>
  <c r="E35" i="11"/>
  <c r="G35" i="11" s="1"/>
  <c r="H36" i="11" l="1"/>
  <c r="D37" i="11" s="1"/>
  <c r="E36" i="11"/>
  <c r="G36" i="11" s="1"/>
  <c r="H37" i="11" l="1"/>
  <c r="E37" i="11"/>
  <c r="G37" i="11" l="1"/>
  <c r="G38" i="11" s="1"/>
  <c r="E38" i="11"/>
  <c r="G20" i="26" s="1"/>
  <c r="G21" i="26" l="1"/>
  <c r="G22" i="26"/>
  <c r="G23" i="26" s="1"/>
</calcChain>
</file>

<file path=xl/sharedStrings.xml><?xml version="1.0" encoding="utf-8"?>
<sst xmlns="http://schemas.openxmlformats.org/spreadsheetml/2006/main" count="421" uniqueCount="276">
  <si>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</si>
  <si>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</si>
  <si>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</si>
  <si>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</si>
  <si>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</si>
  <si>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</si>
  <si>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</si>
  <si>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</si>
  <si>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</si>
  <si>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</si>
  <si>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</si>
  <si>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</si>
  <si>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TOTAL</t>
  </si>
  <si>
    <t>Proyeccion de ventas en unidades</t>
  </si>
  <si>
    <t>RUBRO</t>
  </si>
  <si>
    <t>VALOR UNITARIO</t>
  </si>
  <si>
    <t>UNIDAD REQUERIDA</t>
  </si>
  <si>
    <t>COSTO TOTAL</t>
  </si>
  <si>
    <t>maquinaria y/o equipos</t>
  </si>
  <si>
    <t>Herramientas</t>
  </si>
  <si>
    <t>Muebles y enseres</t>
  </si>
  <si>
    <t>Mesa de trabajo</t>
  </si>
  <si>
    <t>Estantes</t>
  </si>
  <si>
    <t>Mano de obra</t>
  </si>
  <si>
    <t>Gastos Administrativos</t>
  </si>
  <si>
    <t>Materia Prima</t>
  </si>
  <si>
    <t>Unidad</t>
  </si>
  <si>
    <t>Balanza</t>
  </si>
  <si>
    <t>Escritorio</t>
  </si>
  <si>
    <t>Carnet sanitario</t>
  </si>
  <si>
    <t>Gas</t>
  </si>
  <si>
    <t>Utiles de oficina</t>
  </si>
  <si>
    <t>Transporte</t>
  </si>
  <si>
    <t>Infraestructura</t>
  </si>
  <si>
    <t>Construcción de local</t>
  </si>
  <si>
    <t>Instalación eléctrica</t>
  </si>
  <si>
    <t>Instación de agua y desague</t>
  </si>
  <si>
    <t>Termómetro</t>
  </si>
  <si>
    <t>Cocina semi industrial</t>
  </si>
  <si>
    <t>Cuchillos</t>
  </si>
  <si>
    <t>Jarra de 2 litros</t>
  </si>
  <si>
    <t>Coladores</t>
  </si>
  <si>
    <t>cucharones de madera</t>
  </si>
  <si>
    <t>Ollas medianas</t>
  </si>
  <si>
    <t>Tazones</t>
  </si>
  <si>
    <t>Cucharas</t>
  </si>
  <si>
    <t>tablas para picar</t>
  </si>
  <si>
    <t>peladores</t>
  </si>
  <si>
    <t>Sillas</t>
  </si>
  <si>
    <t>Rocoto</t>
  </si>
  <si>
    <t>Especias</t>
  </si>
  <si>
    <t>Azúcar blanca</t>
  </si>
  <si>
    <t>Frascos</t>
  </si>
  <si>
    <t>Cocineros</t>
  </si>
  <si>
    <t>Mantenimiento de local</t>
  </si>
  <si>
    <t>ACTIVO FIJO</t>
  </si>
  <si>
    <t>Valor de compra</t>
  </si>
  <si>
    <t>Maquinaria y Equipo</t>
  </si>
  <si>
    <t>Total</t>
  </si>
  <si>
    <t>Vida útil (años)</t>
  </si>
  <si>
    <t>Depreciación anual</t>
  </si>
  <si>
    <t>Depreciación acumulada</t>
  </si>
  <si>
    <t>Costo variable</t>
  </si>
  <si>
    <t>Gastos administrativos</t>
  </si>
  <si>
    <t>Amortización de intangibles</t>
  </si>
  <si>
    <t>Gastos de ventas</t>
  </si>
  <si>
    <t>Materia prima e insumos</t>
  </si>
  <si>
    <t>Total Costo Variable</t>
  </si>
  <si>
    <t>Costo variable unitario</t>
  </si>
  <si>
    <t>Costo total unitario</t>
  </si>
  <si>
    <t>Año</t>
  </si>
  <si>
    <t>Margen de contribución</t>
  </si>
  <si>
    <t>Punto de equilibrio</t>
  </si>
  <si>
    <t>Año 1</t>
  </si>
  <si>
    <t>Año 2</t>
  </si>
  <si>
    <t>Año 3</t>
  </si>
  <si>
    <t>TOTAL INVERSION FIJA INTANGIBLE</t>
  </si>
  <si>
    <t>I.- INVERSION FIJA</t>
  </si>
  <si>
    <t>1.1.  ACTIVO FIJO TANGIBLE</t>
  </si>
  <si>
    <t>Gastos indirectos</t>
  </si>
  <si>
    <t>Balon</t>
  </si>
  <si>
    <t>TOTAL CAPITAL DE TRABAJO</t>
  </si>
  <si>
    <t>TOTAL INVERSION INICIAL</t>
  </si>
  <si>
    <t>Unidades</t>
  </si>
  <si>
    <t>TOTAL ACTIVO FIJO TANGIBLE</t>
  </si>
  <si>
    <t>Gastos de constitución y formalizacion</t>
  </si>
  <si>
    <t>Licencia de Funcionamiento y avisos</t>
  </si>
  <si>
    <t>II. CAPITAL DE TRABAJO (100 Unid.)</t>
  </si>
  <si>
    <t>Luz, agua y telefono</t>
  </si>
  <si>
    <t>Volantes</t>
  </si>
  <si>
    <t>Llaveros</t>
  </si>
  <si>
    <t>TOTAL COSTOS OPERATIVOS</t>
  </si>
  <si>
    <t>Tasa de Deprec.</t>
  </si>
  <si>
    <t>Total Costo Fijo</t>
  </si>
  <si>
    <t>Amortizacion de intangibles</t>
  </si>
  <si>
    <t>Costo de ventas</t>
  </si>
  <si>
    <t>Costos de produccion</t>
  </si>
  <si>
    <t>Utilidad Bruta</t>
  </si>
  <si>
    <t>Gastos operativos</t>
  </si>
  <si>
    <t>Utilidad Imponible</t>
  </si>
  <si>
    <t>Utilidad Neta</t>
  </si>
  <si>
    <t>Prestamo =</t>
  </si>
  <si>
    <t>n =</t>
  </si>
  <si>
    <t>Saldo inicial</t>
  </si>
  <si>
    <t>Interes</t>
  </si>
  <si>
    <t>Cuota</t>
  </si>
  <si>
    <t>Amortizacion</t>
  </si>
  <si>
    <t>Saldo final</t>
  </si>
  <si>
    <t>Inflacion</t>
  </si>
  <si>
    <t>e.)</t>
  </si>
  <si>
    <t>Punto de equilibrio contable</t>
  </si>
  <si>
    <t>Inflacion Anual =</t>
  </si>
  <si>
    <t>cuota capital  =</t>
  </si>
  <si>
    <t>soles</t>
  </si>
  <si>
    <t>Trimestres</t>
  </si>
  <si>
    <t>Depreciacion Activo Fijo</t>
  </si>
  <si>
    <t>c.) Tabla de amortizacion de la deuda</t>
  </si>
  <si>
    <t>TEA nominal =</t>
  </si>
  <si>
    <t>Nº de frascos de 250 grs.</t>
  </si>
  <si>
    <t>COSTO UNITARIO: LOTE DE 100 FRASCOS</t>
  </si>
  <si>
    <t>UNIDAD DE MEDIDA</t>
  </si>
  <si>
    <t>Global</t>
  </si>
  <si>
    <t>Documento</t>
  </si>
  <si>
    <t>Kgrs.</t>
  </si>
  <si>
    <t>Persona</t>
  </si>
  <si>
    <t>Ciento</t>
  </si>
  <si>
    <t xml:space="preserve">Costo fijo </t>
  </si>
  <si>
    <t>MODELO FINANCIERO</t>
  </si>
  <si>
    <t>EVALUACION ECONOMICA</t>
  </si>
  <si>
    <t>COK</t>
  </si>
  <si>
    <t>nominal anual</t>
  </si>
  <si>
    <t>anual</t>
  </si>
  <si>
    <t>años</t>
  </si>
  <si>
    <t>TEA</t>
  </si>
  <si>
    <t>por frasco</t>
  </si>
  <si>
    <t>Precio venta</t>
  </si>
  <si>
    <t>Año 4</t>
  </si>
  <si>
    <t>Año 5</t>
  </si>
  <si>
    <t>Precio de venta</t>
  </si>
  <si>
    <t>Depreciación activo fijo</t>
  </si>
  <si>
    <t>Costo fijo unitario (100% )</t>
  </si>
  <si>
    <t>Inflacion mes =</t>
  </si>
  <si>
    <t>TEM nominal¨=</t>
  </si>
  <si>
    <t>TEM real =</t>
  </si>
  <si>
    <t>Mano Obra</t>
  </si>
  <si>
    <t>VANE</t>
  </si>
  <si>
    <t>VANF</t>
  </si>
  <si>
    <t>TIRE</t>
  </si>
  <si>
    <t>TIRF</t>
  </si>
  <si>
    <t>1.2. INVERSION INTANGIBLE</t>
  </si>
  <si>
    <t>MES</t>
  </si>
  <si>
    <t>Variacion KW</t>
  </si>
  <si>
    <t>CV Unitario</t>
  </si>
  <si>
    <t>VARIACION DE CAPITAL DE TRABAJO AÑO 1</t>
  </si>
  <si>
    <t>Y FINANCIERA DE INVERSIONES</t>
  </si>
  <si>
    <t>Valor de Recupero</t>
  </si>
  <si>
    <t>Utensilios</t>
  </si>
  <si>
    <t>Cargo</t>
  </si>
  <si>
    <t>Personal Administratico</t>
  </si>
  <si>
    <t>Personal de Ventas</t>
  </si>
  <si>
    <t>Administrativo</t>
  </si>
  <si>
    <t>Vendedor</t>
  </si>
  <si>
    <t>Sub Total</t>
  </si>
  <si>
    <t>Gratificación(*)</t>
  </si>
  <si>
    <t>CTS (**)</t>
  </si>
  <si>
    <t>Anual</t>
  </si>
  <si>
    <t>Básico mes</t>
  </si>
  <si>
    <t>Impuesto II</t>
  </si>
  <si>
    <t>Impuesto I</t>
  </si>
  <si>
    <t>PRESUPUESTO DE INVERSION INICIAL EN NUEVOS SOLES - MERMELADA DE ROCOTO</t>
  </si>
  <si>
    <t>CALCULO DE DEPRECIACION Y VALOR DE RECUPERO</t>
  </si>
  <si>
    <t>Horizonte Ev.</t>
  </si>
  <si>
    <t>0-S/. 66,000</t>
  </si>
  <si>
    <t>Mayor a 66,000</t>
  </si>
  <si>
    <t>II. CAPITAL DE TRABAJO AÑO 1</t>
  </si>
  <si>
    <t>CV Total</t>
  </si>
  <si>
    <t>KW Total</t>
  </si>
  <si>
    <t>Tota Año 1</t>
  </si>
  <si>
    <t>Total año 2</t>
  </si>
  <si>
    <t>REGIMEN LABORAL MICRO EMPRESA</t>
  </si>
  <si>
    <t>CIS</t>
  </si>
  <si>
    <t>CIS (***)</t>
  </si>
  <si>
    <t>(***) 15 soles mensuales por trabajador</t>
  </si>
  <si>
    <t>(*) No tiene gratificaciones</t>
  </si>
  <si>
    <t>(**) No tiene CTS</t>
  </si>
  <si>
    <t>Costos Indirectos de Fabricación</t>
  </si>
  <si>
    <t>Materia Prima Directa</t>
  </si>
  <si>
    <t>Mano de obra Directa</t>
  </si>
  <si>
    <t>Valor Unitario</t>
  </si>
  <si>
    <t>Unidad Requerida</t>
  </si>
  <si>
    <t>Unidad de Medida</t>
  </si>
  <si>
    <t>COSTOS DE PRODUCCIÓN (100 unidades)</t>
  </si>
  <si>
    <t xml:space="preserve">COSTOS OPERATIVOS MENSUALES EN NUEVOS SOLES </t>
  </si>
  <si>
    <t>Costos indirectos de fabricación</t>
  </si>
  <si>
    <t>UIT</t>
  </si>
  <si>
    <t>Micro empresa</t>
  </si>
  <si>
    <t>Costos de producción y GO</t>
  </si>
  <si>
    <t>Ventas netas</t>
  </si>
  <si>
    <t>ESTADO DE RESULTADOS ECONOMICO</t>
  </si>
  <si>
    <t>Unidades/mes</t>
  </si>
  <si>
    <t>soles/mes</t>
  </si>
  <si>
    <t>Impuestos (*)</t>
  </si>
  <si>
    <t>(*) corresponde al MYPE tributario</t>
  </si>
  <si>
    <t>Utilidades &lt; a 15 UIT</t>
  </si>
  <si>
    <r>
      <t xml:space="preserve">Kurt = Rf usa+ </t>
    </r>
    <r>
      <rPr>
        <sz val="12"/>
        <color indexed="8"/>
        <rFont val="Symbol"/>
        <family val="1"/>
        <charset val="2"/>
      </rPr>
      <t>b</t>
    </r>
    <r>
      <rPr>
        <sz val="12"/>
        <color indexed="8"/>
        <rFont val="Times New Roman"/>
        <family val="1"/>
      </rPr>
      <t xml:space="preserve">u total </t>
    </r>
    <r>
      <rPr>
        <vertAlign val="subscript"/>
        <sz val="12"/>
        <color indexed="8"/>
        <rFont val="Times New Roman"/>
        <family val="1"/>
      </rPr>
      <t>ME</t>
    </r>
    <r>
      <rPr>
        <sz val="12"/>
        <color indexed="8"/>
        <rFont val="Times New Roman"/>
        <family val="1"/>
      </rPr>
      <t>* (Rm- Rf)</t>
    </r>
    <r>
      <rPr>
        <vertAlign val="subscript"/>
        <sz val="12"/>
        <color indexed="8"/>
        <rFont val="Times New Roman"/>
        <family val="1"/>
      </rPr>
      <t xml:space="preserve"> </t>
    </r>
    <r>
      <rPr>
        <sz val="12"/>
        <color indexed="8"/>
        <rFont val="Times New Roman"/>
        <family val="1"/>
      </rPr>
      <t xml:space="preserve">usa+ Rp </t>
    </r>
    <r>
      <rPr>
        <vertAlign val="subscript"/>
        <sz val="12"/>
        <color indexed="8"/>
        <rFont val="Times New Roman"/>
        <family val="1"/>
      </rPr>
      <t>PERU</t>
    </r>
    <r>
      <rPr>
        <sz val="12"/>
        <color indexed="8"/>
        <rFont val="Times New Roman"/>
        <family val="1"/>
      </rPr>
      <t xml:space="preserve"> </t>
    </r>
  </si>
  <si>
    <t>Donde</t>
  </si>
  <si>
    <t>Rf usa =</t>
  </si>
  <si>
    <t>βu total ME =</t>
  </si>
  <si>
    <t>(Rm-Rf) =</t>
  </si>
  <si>
    <t>Rp =</t>
  </si>
  <si>
    <t>Promedio 2020</t>
  </si>
  <si>
    <t>COK desapalancado con Riesgo Total</t>
  </si>
  <si>
    <t>Kurt =</t>
  </si>
  <si>
    <r>
      <t xml:space="preserve">Kert = Rfusa + </t>
    </r>
    <r>
      <rPr>
        <b/>
        <sz val="12"/>
        <color indexed="8"/>
        <rFont val="Symbol"/>
        <family val="1"/>
        <charset val="2"/>
      </rPr>
      <t>b</t>
    </r>
    <r>
      <rPr>
        <b/>
        <sz val="12"/>
        <color indexed="8"/>
        <rFont val="Times New Roman"/>
        <family val="1"/>
      </rPr>
      <t xml:space="preserve">rl total </t>
    </r>
    <r>
      <rPr>
        <b/>
        <vertAlign val="subscript"/>
        <sz val="10"/>
        <color indexed="8"/>
        <rFont val="Times New Roman"/>
        <family val="1"/>
      </rPr>
      <t>PERU</t>
    </r>
    <r>
      <rPr>
        <b/>
        <sz val="12"/>
        <color indexed="8"/>
        <rFont val="Times New Roman"/>
        <family val="1"/>
      </rPr>
      <t xml:space="preserve">* (Rm- Rf )usa+ Rp </t>
    </r>
    <r>
      <rPr>
        <b/>
        <vertAlign val="subscript"/>
        <sz val="10"/>
        <color indexed="8"/>
        <rFont val="Times New Roman"/>
        <family val="1"/>
      </rPr>
      <t xml:space="preserve">PERU </t>
    </r>
    <r>
      <rPr>
        <b/>
        <sz val="12"/>
        <color indexed="8"/>
        <rFont val="Times New Roman"/>
        <family val="1"/>
      </rPr>
      <t xml:space="preserve">                                                </t>
    </r>
  </si>
  <si>
    <t>Donde:</t>
  </si>
  <si>
    <t>Rfusa =</t>
  </si>
  <si>
    <r>
      <t>b</t>
    </r>
    <r>
      <rPr>
        <sz val="12"/>
        <color indexed="8"/>
        <rFont val="Times New Roman"/>
        <family val="1"/>
      </rPr>
      <t>rl total</t>
    </r>
    <r>
      <rPr>
        <vertAlign val="subscript"/>
        <sz val="10"/>
        <color indexed="8"/>
        <rFont val="Times New Roman"/>
        <family val="1"/>
      </rPr>
      <t xml:space="preserve"> PERU</t>
    </r>
    <r>
      <rPr>
        <sz val="12"/>
        <color indexed="8"/>
        <rFont val="Times New Roman"/>
        <family val="1"/>
      </rPr>
      <t xml:space="preserve">= </t>
    </r>
  </si>
  <si>
    <t>(Rm – Rf)usa =</t>
  </si>
  <si>
    <t xml:space="preserve">Rp = </t>
  </si>
  <si>
    <t>Beta reapalancado para el proyecto</t>
  </si>
  <si>
    <t>promedio geometrico 1928-2020</t>
  </si>
  <si>
    <t xml:space="preserve">βrl total perú </t>
  </si>
  <si>
    <t>Kert =</t>
  </si>
  <si>
    <t>Dónde:</t>
  </si>
  <si>
    <r>
      <t>Donde:</t>
    </r>
    <r>
      <rPr>
        <sz val="12"/>
        <color indexed="8"/>
        <rFont val="Arial"/>
        <family val="2"/>
      </rPr>
      <t xml:space="preserve">         </t>
    </r>
    <r>
      <rPr>
        <sz val="12"/>
        <color indexed="8"/>
        <rFont val="Symbol"/>
        <family val="1"/>
        <charset val="2"/>
      </rPr>
      <t xml:space="preserve">                                                                      </t>
    </r>
  </si>
  <si>
    <t>COK Apalancado con riesgo total</t>
  </si>
  <si>
    <t>Costo Promedio Ponderado de Capital con riesgo total</t>
  </si>
  <si>
    <r>
      <t>b</t>
    </r>
    <r>
      <rPr>
        <vertAlign val="subscript"/>
        <sz val="12"/>
        <color indexed="8"/>
        <rFont val="Arial"/>
        <family val="2"/>
      </rPr>
      <t xml:space="preserve">u total ME </t>
    </r>
    <r>
      <rPr>
        <sz val="12"/>
        <color indexed="8"/>
        <rFont val="Times New Roman"/>
        <family val="1"/>
      </rPr>
      <t xml:space="preserve">= </t>
    </r>
  </si>
  <si>
    <r>
      <t>D/E*</t>
    </r>
    <r>
      <rPr>
        <vertAlign val="subscript"/>
        <sz val="12"/>
        <color indexed="8"/>
        <rFont val="Times New Roman"/>
        <family val="1"/>
      </rPr>
      <t xml:space="preserve">PERU </t>
    </r>
    <r>
      <rPr>
        <sz val="12"/>
        <color indexed="8"/>
        <rFont val="Times New Roman"/>
        <family val="1"/>
      </rPr>
      <t xml:space="preserve">= </t>
    </r>
  </si>
  <si>
    <t xml:space="preserve">t* = </t>
  </si>
  <si>
    <r>
      <t>E/V*</t>
    </r>
    <r>
      <rPr>
        <b/>
        <i/>
        <sz val="12"/>
        <color indexed="8"/>
        <rFont val="Times New Roman"/>
        <family val="1"/>
      </rPr>
      <t xml:space="preserve"> </t>
    </r>
    <r>
      <rPr>
        <sz val="12"/>
        <color indexed="8"/>
        <rFont val="Times New Roman"/>
        <family val="1"/>
      </rPr>
      <t>=</t>
    </r>
  </si>
  <si>
    <r>
      <t>D/V*</t>
    </r>
    <r>
      <rPr>
        <b/>
        <i/>
        <sz val="12"/>
        <color indexed="8"/>
        <rFont val="Times New Roman"/>
        <family val="1"/>
      </rPr>
      <t xml:space="preserve"> </t>
    </r>
    <r>
      <rPr>
        <sz val="12"/>
        <color indexed="8"/>
        <rFont val="Times New Roman"/>
        <family val="1"/>
      </rPr>
      <t xml:space="preserve">= </t>
    </r>
  </si>
  <si>
    <r>
      <t>K</t>
    </r>
    <r>
      <rPr>
        <b/>
        <sz val="10"/>
        <color indexed="8"/>
        <rFont val="Times New Roman"/>
        <family val="1"/>
      </rPr>
      <t xml:space="preserve">d </t>
    </r>
    <r>
      <rPr>
        <b/>
        <sz val="12"/>
        <color indexed="8"/>
        <rFont val="Times New Roman"/>
        <family val="1"/>
      </rPr>
      <t>=</t>
    </r>
    <r>
      <rPr>
        <sz val="12"/>
        <color indexed="8"/>
        <rFont val="Times New Roman"/>
        <family val="1"/>
      </rPr>
      <t xml:space="preserve"> </t>
    </r>
  </si>
  <si>
    <r>
      <t xml:space="preserve">t* </t>
    </r>
    <r>
      <rPr>
        <sz val="12"/>
        <color indexed="8"/>
        <rFont val="Times New Roman"/>
        <family val="1"/>
      </rPr>
      <t xml:space="preserve">= </t>
    </r>
  </si>
  <si>
    <t>Kwacc</t>
  </si>
  <si>
    <t>Beta total desapalancado para procesamiento de alimentos</t>
  </si>
  <si>
    <r>
      <t xml:space="preserve">             b</t>
    </r>
    <r>
      <rPr>
        <b/>
        <vertAlign val="subscript"/>
        <sz val="12"/>
        <color indexed="8"/>
        <rFont val="Arial"/>
        <family val="2"/>
      </rPr>
      <t xml:space="preserve">rl total  </t>
    </r>
    <r>
      <rPr>
        <b/>
        <sz val="12"/>
        <color indexed="8"/>
        <rFont val="Arial"/>
        <family val="2"/>
      </rPr>
      <t xml:space="preserve">=  </t>
    </r>
    <r>
      <rPr>
        <b/>
        <sz val="12"/>
        <color indexed="8"/>
        <rFont val="Symbol"/>
        <family val="1"/>
        <charset val="2"/>
      </rPr>
      <t>b</t>
    </r>
    <r>
      <rPr>
        <b/>
        <vertAlign val="subscript"/>
        <sz val="12"/>
        <color indexed="8"/>
        <rFont val="Arial"/>
        <family val="2"/>
      </rPr>
      <t>u total ME *</t>
    </r>
    <r>
      <rPr>
        <b/>
        <sz val="12"/>
        <color indexed="8"/>
        <rFont val="Arial"/>
        <family val="2"/>
      </rPr>
      <t>( 1+(D/E*)*( 1-t))</t>
    </r>
    <r>
      <rPr>
        <b/>
        <vertAlign val="subscript"/>
        <sz val="12"/>
        <color indexed="8"/>
        <rFont val="Arial"/>
        <family val="2"/>
      </rPr>
      <t xml:space="preserve">PERU                                                                             </t>
    </r>
    <r>
      <rPr>
        <sz val="12"/>
        <color indexed="8"/>
        <rFont val="Arial"/>
        <family val="2"/>
      </rPr>
      <t xml:space="preserve"> </t>
    </r>
  </si>
  <si>
    <r>
      <t>Kwacc rt= E/V * Kert + D/V * K</t>
    </r>
    <r>
      <rPr>
        <b/>
        <sz val="10"/>
        <color indexed="8"/>
        <rFont val="Times New Roman"/>
        <family val="1"/>
      </rPr>
      <t xml:space="preserve">d </t>
    </r>
    <r>
      <rPr>
        <b/>
        <sz val="12"/>
        <color indexed="8"/>
        <rFont val="Times New Roman"/>
        <family val="1"/>
      </rPr>
      <t xml:space="preserve">* </t>
    </r>
    <r>
      <rPr>
        <b/>
        <sz val="12"/>
        <color indexed="8"/>
        <rFont val="Times New Roman"/>
        <family val="1"/>
      </rPr>
      <t>(</t>
    </r>
    <r>
      <rPr>
        <b/>
        <sz val="12"/>
        <color indexed="8"/>
        <rFont val="Times New Roman"/>
        <family val="1"/>
      </rPr>
      <t>1 – t</t>
    </r>
    <r>
      <rPr>
        <b/>
        <sz val="12"/>
        <color indexed="8"/>
        <rFont val="Times New Roman"/>
        <family val="1"/>
      </rPr>
      <t>)</t>
    </r>
    <r>
      <rPr>
        <sz val="12"/>
        <color indexed="8"/>
        <rFont val="Times New Roman"/>
        <family val="1"/>
      </rPr>
      <t xml:space="preserve">                                                             </t>
    </r>
  </si>
  <si>
    <t>V. U.</t>
  </si>
  <si>
    <t>Proyeccion de ventas netas en nuevos soles*</t>
  </si>
  <si>
    <t>* LA PROYECCION ES EN TÉRMINOS REALES O CONSTANTES ( valor del producto no varia) ( no hay inflación)</t>
  </si>
  <si>
    <t>GF Total*</t>
  </si>
  <si>
    <t>* no se considera depreciaciones ni amortización de intengibles, porque no es un requerimiento en efectivo</t>
  </si>
  <si>
    <t>Costo fijo total*</t>
  </si>
  <si>
    <t>* se incluye depreciaciones y amortización de intangibles</t>
  </si>
  <si>
    <t>año 1</t>
  </si>
  <si>
    <t>Amortización constante</t>
  </si>
  <si>
    <t>Amortización</t>
  </si>
  <si>
    <t>Activo fijo tangible</t>
  </si>
  <si>
    <t>Activo fijo intangible</t>
  </si>
  <si>
    <t>Capital de trabajo</t>
  </si>
  <si>
    <t>Recupero capital de trabajo</t>
  </si>
  <si>
    <t>Recupero AF tangible</t>
  </si>
  <si>
    <t>Flujo de inversión y liquidación</t>
  </si>
  <si>
    <t>Valor de ventas</t>
  </si>
  <si>
    <t>costos de producción</t>
  </si>
  <si>
    <t>Gastos de administrativos</t>
  </si>
  <si>
    <t>Impuestos</t>
  </si>
  <si>
    <t>Flujo operativo</t>
  </si>
  <si>
    <t>Flujo de Caja Económico FCE</t>
  </si>
  <si>
    <t>Prestamo</t>
  </si>
  <si>
    <t>Capital</t>
  </si>
  <si>
    <t>Intereres</t>
  </si>
  <si>
    <t>Escudo fiscal de intereses</t>
  </si>
  <si>
    <t>Flujo de Caja de la Deuda FCD</t>
  </si>
  <si>
    <t>Flujo de Caja Financiero FCF</t>
  </si>
  <si>
    <t>Pago de IGV</t>
  </si>
  <si>
    <t>cp</t>
  </si>
  <si>
    <t>vv</t>
  </si>
  <si>
    <t>utilidad</t>
  </si>
  <si>
    <t>sin IGV</t>
  </si>
  <si>
    <t>SIN IGV</t>
  </si>
  <si>
    <t>CON igv</t>
  </si>
  <si>
    <t>con IGV</t>
  </si>
  <si>
    <t>COMPRAS</t>
  </si>
  <si>
    <t>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</si>
</sst>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7" formatCode="&quot;S/&quot;#,##0.00;[Red]\-&quot;S/&quot;#,##0.00"/>
    <numFmt numFmtId="171" formatCode="_-* #,##0.00_-;\-* #,##0.00_-;_-* &quot;-&quot;??_-;_-@_-"/>
    <numFmt numFmtId="179" formatCode="_ * #,##0.00_ ;_ * \-#,##0.00_ ;_ * &quot;-&quot;??_ ;_ @_ "/>
    <numFmt numFmtId="207" formatCode="0.0"/>
    <numFmt numFmtId="217" formatCode="0.0%"/>
    <numFmt numFmtId="223" formatCode="_ * #,##0_ ;_ * \-#,##0_ ;_ * &quot;-&quot;??_ ;_ @_ "/>
  </numFmts>
  <fonts count="3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2"/>
      <color indexed="8"/>
      <name val="Times New Roman"/>
      <family val="1"/>
    </font>
    <font>
      <sz val="12"/>
      <color indexed="8"/>
      <name val="Symbol"/>
      <family val="1"/>
      <charset val="2"/>
    </font>
    <font>
      <vertAlign val="subscript"/>
      <sz val="12"/>
      <color indexed="8"/>
      <name val="Times New Roman"/>
      <family val="1"/>
    </font>
    <font>
      <sz val="10"/>
      <name val="Calibri"/>
      <family val="2"/>
    </font>
    <font>
      <b/>
      <sz val="12"/>
      <color indexed="8"/>
      <name val="Times New Roman"/>
      <family val="1"/>
    </font>
    <font>
      <b/>
      <sz val="12"/>
      <color indexed="8"/>
      <name val="Symbol"/>
      <family val="1"/>
      <charset val="2"/>
    </font>
    <font>
      <b/>
      <vertAlign val="subscript"/>
      <sz val="10"/>
      <color indexed="8"/>
      <name val="Times New Roman"/>
      <family val="1"/>
    </font>
    <font>
      <vertAlign val="subscript"/>
      <sz val="10"/>
      <color indexed="8"/>
      <name val="Times New Roman"/>
      <family val="1"/>
    </font>
    <font>
      <b/>
      <vertAlign val="subscript"/>
      <sz val="12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indexed="8"/>
      <name val="Times New Roman"/>
      <family val="1"/>
    </font>
    <font>
      <b/>
      <i/>
      <sz val="12"/>
      <color indexed="8"/>
      <name val="Times New Roman"/>
      <family val="1"/>
    </font>
    <font>
      <sz val="12"/>
      <color indexed="8"/>
      <name val="Arial"/>
      <family val="2"/>
    </font>
    <font>
      <vertAlign val="subscript"/>
      <sz val="12"/>
      <color indexed="8"/>
      <name val="Arial"/>
      <family val="2"/>
    </font>
    <font>
      <b/>
      <sz val="12"/>
      <color indexed="8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Symbol"/>
      <family val="1"/>
      <charset val="2"/>
    </font>
    <font>
      <b/>
      <sz val="12"/>
      <color rgb="FF000000"/>
      <name val="Symbol"/>
      <family val="1"/>
      <charset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17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8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3" fontId="0" fillId="0" borderId="1" xfId="0" applyNumberFormat="1" applyBorder="1" applyAlignment="1">
      <alignment horizontal="center" vertical="center" wrapText="1"/>
    </xf>
    <xf numFmtId="3" fontId="0" fillId="0" borderId="2" xfId="0" applyNumberFormat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0" fillId="0" borderId="3" xfId="0" applyBorder="1"/>
    <xf numFmtId="0" fontId="0" fillId="0" borderId="3" xfId="0" applyBorder="1" applyAlignment="1">
      <alignment horizontal="center"/>
    </xf>
    <xf numFmtId="0" fontId="2" fillId="0" borderId="0" xfId="0" applyFont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0" xfId="0" applyFont="1" applyAlignment="1">
      <alignment horizontal="right"/>
    </xf>
    <xf numFmtId="0" fontId="0" fillId="2" borderId="1" xfId="0" applyFill="1" applyBorder="1" applyAlignment="1">
      <alignment horizontal="right"/>
    </xf>
    <xf numFmtId="0" fontId="0" fillId="0" borderId="3" xfId="0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0" borderId="1" xfId="0" applyBorder="1" applyAlignment="1">
      <alignment horizontal="right"/>
    </xf>
    <xf numFmtId="2" fontId="0" fillId="0" borderId="3" xfId="0" applyNumberForma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Fill="1" applyBorder="1" applyAlignment="1">
      <alignment horizontal="right"/>
    </xf>
    <xf numFmtId="2" fontId="0" fillId="0" borderId="3" xfId="0" applyNumberFormat="1" applyBorder="1"/>
    <xf numFmtId="0" fontId="5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0" xfId="0" applyFont="1" applyAlignment="1">
      <alignment horizontal="left" vertical="center" wrapText="1"/>
    </xf>
    <xf numFmtId="3" fontId="0" fillId="0" borderId="3" xfId="0" applyNumberFormat="1" applyBorder="1" applyAlignment="1">
      <alignment horizontal="center" vertical="center" wrapText="1"/>
    </xf>
    <xf numFmtId="0" fontId="5" fillId="0" borderId="0" xfId="0" applyFont="1"/>
    <xf numFmtId="0" fontId="5" fillId="0" borderId="3" xfId="0" applyFont="1" applyBorder="1"/>
    <xf numFmtId="2" fontId="2" fillId="0" borderId="0" xfId="0" applyNumberFormat="1" applyFont="1"/>
    <xf numFmtId="0" fontId="4" fillId="2" borderId="5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 wrapText="1"/>
    </xf>
    <xf numFmtId="2" fontId="2" fillId="2" borderId="2" xfId="0" applyNumberFormat="1" applyFont="1" applyFill="1" applyBorder="1" applyAlignment="1">
      <alignment horizontal="center"/>
    </xf>
    <xf numFmtId="0" fontId="3" fillId="0" borderId="7" xfId="0" applyFont="1" applyBorder="1" applyAlignment="1">
      <alignment horizontal="left" vertical="center" wrapText="1"/>
    </xf>
    <xf numFmtId="2" fontId="0" fillId="0" borderId="8" xfId="0" applyNumberFormat="1" applyBorder="1" applyAlignment="1">
      <alignment horizontal="center"/>
    </xf>
    <xf numFmtId="0" fontId="6" fillId="0" borderId="7" xfId="0" applyFont="1" applyBorder="1" applyAlignment="1">
      <alignment horizontal="left" vertical="center" wrapText="1"/>
    </xf>
    <xf numFmtId="0" fontId="0" fillId="2" borderId="9" xfId="0" applyFill="1" applyBorder="1" applyAlignment="1">
      <alignment horizontal="center"/>
    </xf>
    <xf numFmtId="0" fontId="3" fillId="0" borderId="6" xfId="0" applyFont="1" applyBorder="1" applyAlignment="1">
      <alignment horizontal="left" vertical="center" wrapText="1"/>
    </xf>
    <xf numFmtId="2" fontId="0" fillId="0" borderId="2" xfId="0" applyNumberFormat="1" applyBorder="1" applyAlignment="1">
      <alignment horizontal="center"/>
    </xf>
    <xf numFmtId="0" fontId="4" fillId="0" borderId="6" xfId="0" applyFont="1" applyFill="1" applyBorder="1" applyAlignment="1">
      <alignment horizontal="left" vertical="center" wrapText="1"/>
    </xf>
    <xf numFmtId="2" fontId="2" fillId="0" borderId="2" xfId="0" applyNumberFormat="1" applyFont="1" applyFill="1" applyBorder="1" applyAlignment="1">
      <alignment horizontal="center"/>
    </xf>
    <xf numFmtId="0" fontId="4" fillId="0" borderId="7" xfId="0" applyFont="1" applyBorder="1" applyAlignment="1">
      <alignment horizontal="left" vertical="center" wrapText="1"/>
    </xf>
    <xf numFmtId="2" fontId="2" fillId="0" borderId="8" xfId="0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right" vertical="center" wrapText="1"/>
    </xf>
    <xf numFmtId="0" fontId="4" fillId="0" borderId="1" xfId="0" applyFont="1" applyFill="1" applyBorder="1" applyAlignment="1">
      <alignment horizontal="center" vertical="center" wrapText="1"/>
    </xf>
    <xf numFmtId="2" fontId="4" fillId="0" borderId="2" xfId="0" applyNumberFormat="1" applyFont="1" applyFill="1" applyBorder="1" applyAlignment="1">
      <alignment horizontal="center" vertical="center" wrapText="1"/>
    </xf>
    <xf numFmtId="1" fontId="0" fillId="0" borderId="3" xfId="0" applyNumberFormat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1" fontId="0" fillId="0" borderId="3" xfId="0" applyNumberFormat="1" applyBorder="1"/>
    <xf numFmtId="0" fontId="0" fillId="0" borderId="1" xfId="0" applyBorder="1"/>
    <xf numFmtId="0" fontId="0" fillId="0" borderId="12" xfId="0" applyBorder="1"/>
    <xf numFmtId="0" fontId="2" fillId="5" borderId="13" xfId="0" applyFont="1" applyFill="1" applyBorder="1" applyAlignment="1">
      <alignment horizontal="center"/>
    </xf>
    <xf numFmtId="1" fontId="2" fillId="5" borderId="10" xfId="0" applyNumberFormat="1" applyFont="1" applyFill="1" applyBorder="1" applyAlignment="1">
      <alignment horizontal="center"/>
    </xf>
    <xf numFmtId="1" fontId="2" fillId="5" borderId="11" xfId="0" applyNumberFormat="1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1" fontId="2" fillId="0" borderId="3" xfId="0" applyNumberFormat="1" applyFont="1" applyBorder="1"/>
    <xf numFmtId="9" fontId="0" fillId="0" borderId="0" xfId="0" applyNumberFormat="1"/>
    <xf numFmtId="0" fontId="5" fillId="0" borderId="1" xfId="0" applyFont="1" applyBorder="1"/>
    <xf numFmtId="0" fontId="2" fillId="0" borderId="7" xfId="0" applyFont="1" applyBorder="1"/>
    <xf numFmtId="0" fontId="0" fillId="0" borderId="8" xfId="0" applyBorder="1"/>
    <xf numFmtId="0" fontId="5" fillId="0" borderId="7" xfId="0" applyFont="1" applyBorder="1"/>
    <xf numFmtId="1" fontId="0" fillId="0" borderId="8" xfId="0" applyNumberFormat="1" applyBorder="1"/>
    <xf numFmtId="1" fontId="2" fillId="0" borderId="8" xfId="0" applyNumberFormat="1" applyFont="1" applyBorder="1"/>
    <xf numFmtId="0" fontId="2" fillId="5" borderId="14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5" borderId="16" xfId="0" applyFont="1" applyFill="1" applyBorder="1" applyAlignment="1">
      <alignment horizontal="center"/>
    </xf>
    <xf numFmtId="0" fontId="0" fillId="0" borderId="7" xfId="0" applyBorder="1"/>
    <xf numFmtId="0" fontId="3" fillId="0" borderId="0" xfId="0" applyFont="1" applyFill="1" applyBorder="1" applyAlignment="1">
      <alignment horizontal="left" vertical="center" wrapText="1"/>
    </xf>
    <xf numFmtId="2" fontId="0" fillId="0" borderId="8" xfId="0" applyNumberFormat="1" applyBorder="1"/>
    <xf numFmtId="2" fontId="0" fillId="0" borderId="1" xfId="0" applyNumberFormat="1" applyBorder="1" applyAlignment="1">
      <alignment horizontal="right"/>
    </xf>
    <xf numFmtId="2" fontId="0" fillId="0" borderId="1" xfId="0" applyNumberFormat="1" applyBorder="1"/>
    <xf numFmtId="2" fontId="0" fillId="0" borderId="2" xfId="0" applyNumberFormat="1" applyBorder="1"/>
    <xf numFmtId="2" fontId="0" fillId="0" borderId="12" xfId="0" applyNumberFormat="1" applyBorder="1"/>
    <xf numFmtId="0" fontId="5" fillId="0" borderId="12" xfId="0" applyFont="1" applyBorder="1"/>
    <xf numFmtId="2" fontId="0" fillId="0" borderId="17" xfId="0" applyNumberFormat="1" applyBorder="1"/>
    <xf numFmtId="0" fontId="4" fillId="4" borderId="13" xfId="0" applyFont="1" applyFill="1" applyBorder="1" applyAlignment="1">
      <alignment horizontal="center" vertical="center" wrapText="1"/>
    </xf>
    <xf numFmtId="0" fontId="5" fillId="0" borderId="18" xfId="0" applyFont="1" applyBorder="1"/>
    <xf numFmtId="0" fontId="0" fillId="0" borderId="7" xfId="0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center"/>
    </xf>
    <xf numFmtId="2" fontId="5" fillId="0" borderId="3" xfId="0" applyNumberFormat="1" applyFont="1" applyFill="1" applyBorder="1" applyAlignment="1">
      <alignment horizontal="right"/>
    </xf>
    <xf numFmtId="1" fontId="0" fillId="0" borderId="8" xfId="0" applyNumberForma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0" fillId="6" borderId="0" xfId="0" applyFill="1"/>
    <xf numFmtId="0" fontId="5" fillId="6" borderId="0" xfId="0" applyFont="1" applyFill="1"/>
    <xf numFmtId="10" fontId="5" fillId="6" borderId="0" xfId="0" applyNumberFormat="1" applyFont="1" applyFill="1"/>
    <xf numFmtId="0" fontId="0" fillId="0" borderId="0" xfId="0" applyAlignment="1">
      <alignment horizontal="left"/>
    </xf>
    <xf numFmtId="0" fontId="5" fillId="0" borderId="14" xfId="0" applyFont="1" applyBorder="1"/>
    <xf numFmtId="0" fontId="0" fillId="0" borderId="16" xfId="0" applyBorder="1"/>
    <xf numFmtId="0" fontId="2" fillId="6" borderId="0" xfId="0" applyFont="1" applyFill="1"/>
    <xf numFmtId="2" fontId="0" fillId="6" borderId="0" xfId="0" applyNumberFormat="1" applyFill="1"/>
    <xf numFmtId="2" fontId="2" fillId="6" borderId="0" xfId="0" applyNumberFormat="1" applyFont="1" applyFill="1"/>
    <xf numFmtId="0" fontId="4" fillId="2" borderId="19" xfId="0" applyFont="1" applyFill="1" applyBorder="1" applyAlignment="1">
      <alignment horizontal="left" vertical="center" wrapText="1"/>
    </xf>
    <xf numFmtId="0" fontId="2" fillId="2" borderId="20" xfId="0" applyFont="1" applyFill="1" applyBorder="1" applyAlignment="1">
      <alignment horizontal="right"/>
    </xf>
    <xf numFmtId="0" fontId="2" fillId="2" borderId="20" xfId="0" applyFont="1" applyFill="1" applyBorder="1" applyAlignment="1">
      <alignment horizontal="center"/>
    </xf>
    <xf numFmtId="0" fontId="4" fillId="2" borderId="21" xfId="0" applyFont="1" applyFill="1" applyBorder="1" applyAlignment="1">
      <alignment horizontal="center" vertical="center" wrapText="1"/>
    </xf>
    <xf numFmtId="0" fontId="4" fillId="3" borderId="22" xfId="0" applyFont="1" applyFill="1" applyBorder="1" applyAlignment="1">
      <alignment horizontal="left" vertical="center" wrapText="1"/>
    </xf>
    <xf numFmtId="0" fontId="0" fillId="3" borderId="23" xfId="0" applyFill="1" applyBorder="1" applyAlignment="1">
      <alignment horizontal="right"/>
    </xf>
    <xf numFmtId="0" fontId="0" fillId="3" borderId="23" xfId="0" applyFill="1" applyBorder="1" applyAlignment="1">
      <alignment horizontal="center"/>
    </xf>
    <xf numFmtId="2" fontId="2" fillId="3" borderId="24" xfId="0" applyNumberFormat="1" applyFont="1" applyFill="1" applyBorder="1" applyAlignment="1">
      <alignment horizontal="center"/>
    </xf>
    <xf numFmtId="0" fontId="4" fillId="0" borderId="14" xfId="0" applyFont="1" applyFill="1" applyBorder="1" applyAlignment="1">
      <alignment horizontal="left" vertical="center" wrapText="1"/>
    </xf>
    <xf numFmtId="0" fontId="5" fillId="0" borderId="15" xfId="0" applyFont="1" applyFill="1" applyBorder="1" applyAlignment="1">
      <alignment horizontal="right"/>
    </xf>
    <xf numFmtId="0" fontId="5" fillId="0" borderId="15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left" vertical="center" wrapText="1"/>
    </xf>
    <xf numFmtId="2" fontId="5" fillId="0" borderId="8" xfId="0" applyNumberFormat="1" applyFont="1" applyFill="1" applyBorder="1" applyAlignment="1">
      <alignment horizontal="center"/>
    </xf>
    <xf numFmtId="0" fontId="4" fillId="0" borderId="7" xfId="0" applyFont="1" applyFill="1" applyBorder="1" applyAlignment="1">
      <alignment horizontal="left" vertical="center" wrapText="1"/>
    </xf>
    <xf numFmtId="0" fontId="3" fillId="0" borderId="18" xfId="0" applyFont="1" applyBorder="1" applyAlignment="1">
      <alignment horizontal="left" vertical="center" wrapText="1"/>
    </xf>
    <xf numFmtId="2" fontId="0" fillId="0" borderId="25" xfId="0" applyNumberFormat="1" applyBorder="1" applyAlignment="1">
      <alignment horizontal="right"/>
    </xf>
    <xf numFmtId="0" fontId="0" fillId="0" borderId="25" xfId="0" applyBorder="1" applyAlignment="1">
      <alignment horizontal="center"/>
    </xf>
    <xf numFmtId="0" fontId="5" fillId="0" borderId="25" xfId="0" applyFont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0" fontId="5" fillId="0" borderId="27" xfId="0" applyFont="1" applyFill="1" applyBorder="1" applyAlignment="1">
      <alignment horizontal="center"/>
    </xf>
    <xf numFmtId="2" fontId="5" fillId="0" borderId="2" xfId="0" applyNumberFormat="1" applyFont="1" applyFill="1" applyBorder="1" applyAlignment="1">
      <alignment horizontal="center"/>
    </xf>
    <xf numFmtId="2" fontId="2" fillId="0" borderId="28" xfId="0" applyNumberFormat="1" applyFont="1" applyFill="1" applyBorder="1" applyAlignment="1">
      <alignment horizontal="center"/>
    </xf>
    <xf numFmtId="2" fontId="2" fillId="0" borderId="8" xfId="0" applyNumberFormat="1" applyFont="1" applyFill="1" applyBorder="1" applyAlignment="1">
      <alignment horizontal="center"/>
    </xf>
    <xf numFmtId="0" fontId="4" fillId="7" borderId="13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left" vertical="center" wrapText="1"/>
    </xf>
    <xf numFmtId="2" fontId="0" fillId="5" borderId="23" xfId="0" applyNumberFormat="1" applyFill="1" applyBorder="1" applyAlignment="1">
      <alignment horizontal="right"/>
    </xf>
    <xf numFmtId="0" fontId="0" fillId="5" borderId="23" xfId="0" applyFill="1" applyBorder="1" applyAlignment="1">
      <alignment horizontal="center"/>
    </xf>
    <xf numFmtId="2" fontId="2" fillId="5" borderId="24" xfId="0" applyNumberFormat="1" applyFont="1" applyFill="1" applyBorder="1" applyAlignment="1">
      <alignment horizontal="center"/>
    </xf>
    <xf numFmtId="0" fontId="4" fillId="3" borderId="6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2" fontId="2" fillId="3" borderId="2" xfId="0" applyNumberFormat="1" applyFont="1" applyFill="1" applyBorder="1" applyAlignment="1">
      <alignment horizontal="center"/>
    </xf>
    <xf numFmtId="0" fontId="0" fillId="0" borderId="25" xfId="0" applyBorder="1" applyAlignment="1">
      <alignment horizontal="right"/>
    </xf>
    <xf numFmtId="2" fontId="0" fillId="0" borderId="29" xfId="0" applyNumberFormat="1" applyBorder="1" applyAlignment="1">
      <alignment horizontal="center"/>
    </xf>
    <xf numFmtId="0" fontId="2" fillId="7" borderId="13" xfId="0" applyFont="1" applyFill="1" applyBorder="1" applyAlignment="1">
      <alignment horizontal="center" vertical="center" wrapText="1"/>
    </xf>
    <xf numFmtId="0" fontId="2" fillId="7" borderId="10" xfId="0" applyFont="1" applyFill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/>
    </xf>
    <xf numFmtId="2" fontId="5" fillId="0" borderId="3" xfId="0" applyNumberFormat="1" applyFont="1" applyFill="1" applyBorder="1" applyAlignment="1"/>
    <xf numFmtId="0" fontId="5" fillId="0" borderId="3" xfId="0" applyFont="1" applyFill="1" applyBorder="1" applyAlignment="1"/>
    <xf numFmtId="2" fontId="2" fillId="0" borderId="8" xfId="0" applyNumberFormat="1" applyFont="1" applyFill="1" applyBorder="1" applyAlignment="1"/>
    <xf numFmtId="2" fontId="5" fillId="0" borderId="3" xfId="0" applyNumberFormat="1" applyFont="1" applyBorder="1" applyAlignment="1"/>
    <xf numFmtId="0" fontId="5" fillId="0" borderId="3" xfId="0" applyFont="1" applyBorder="1" applyAlignment="1"/>
    <xf numFmtId="2" fontId="5" fillId="0" borderId="8" xfId="0" applyNumberFormat="1" applyFont="1" applyBorder="1" applyAlignment="1"/>
    <xf numFmtId="2" fontId="5" fillId="0" borderId="25" xfId="0" applyNumberFormat="1" applyFont="1" applyBorder="1" applyAlignment="1"/>
    <xf numFmtId="0" fontId="5" fillId="0" borderId="25" xfId="0" applyFont="1" applyBorder="1" applyAlignment="1"/>
    <xf numFmtId="2" fontId="5" fillId="0" borderId="26" xfId="0" applyNumberFormat="1" applyFont="1" applyBorder="1" applyAlignment="1"/>
    <xf numFmtId="0" fontId="2" fillId="0" borderId="7" xfId="0" applyFont="1" applyFill="1" applyBorder="1" applyAlignment="1">
      <alignment wrapText="1"/>
    </xf>
    <xf numFmtId="0" fontId="5" fillId="0" borderId="7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5" fillId="0" borderId="18" xfId="0" applyFont="1" applyBorder="1" applyAlignment="1">
      <alignment wrapText="1"/>
    </xf>
    <xf numFmtId="0" fontId="2" fillId="7" borderId="30" xfId="0" applyFont="1" applyFill="1" applyBorder="1" applyAlignment="1">
      <alignment wrapText="1"/>
    </xf>
    <xf numFmtId="0" fontId="2" fillId="7" borderId="31" xfId="0" applyFont="1" applyFill="1" applyBorder="1" applyAlignment="1"/>
    <xf numFmtId="2" fontId="2" fillId="7" borderId="29" xfId="0" applyNumberFormat="1" applyFont="1" applyFill="1" applyBorder="1" applyAlignment="1"/>
    <xf numFmtId="2" fontId="2" fillId="7" borderId="10" xfId="0" applyNumberFormat="1" applyFont="1" applyFill="1" applyBorder="1"/>
    <xf numFmtId="0" fontId="2" fillId="7" borderId="10" xfId="0" applyFont="1" applyFill="1" applyBorder="1"/>
    <xf numFmtId="0" fontId="5" fillId="0" borderId="6" xfId="0" applyFont="1" applyBorder="1" applyAlignment="1">
      <alignment horizontal="left" vertical="center" wrapText="1"/>
    </xf>
    <xf numFmtId="0" fontId="5" fillId="0" borderId="32" xfId="0" applyFont="1" applyBorder="1" applyAlignment="1">
      <alignment horizontal="left" vertical="center" wrapText="1"/>
    </xf>
    <xf numFmtId="0" fontId="4" fillId="7" borderId="13" xfId="0" applyFont="1" applyFill="1" applyBorder="1" applyAlignment="1">
      <alignment horizontal="left" vertical="center" wrapText="1"/>
    </xf>
    <xf numFmtId="2" fontId="0" fillId="7" borderId="10" xfId="0" applyNumberFormat="1" applyFill="1" applyBorder="1" applyAlignment="1">
      <alignment horizontal="right"/>
    </xf>
    <xf numFmtId="0" fontId="0" fillId="7" borderId="10" xfId="0" applyFill="1" applyBorder="1" applyAlignment="1">
      <alignment horizontal="center"/>
    </xf>
    <xf numFmtId="2" fontId="2" fillId="7" borderId="11" xfId="0" applyNumberFormat="1" applyFont="1" applyFill="1" applyBorder="1" applyAlignment="1">
      <alignment horizontal="center"/>
    </xf>
    <xf numFmtId="0" fontId="5" fillId="0" borderId="8" xfId="0" applyFont="1" applyBorder="1"/>
    <xf numFmtId="2" fontId="5" fillId="0" borderId="26" xfId="0" applyNumberFormat="1" applyFont="1" applyBorder="1"/>
    <xf numFmtId="0" fontId="2" fillId="0" borderId="0" xfId="0" applyFont="1" applyFill="1" applyBorder="1" applyAlignment="1">
      <alignment horizontal="center"/>
    </xf>
    <xf numFmtId="0" fontId="5" fillId="0" borderId="14" xfId="0" applyFont="1" applyBorder="1" applyAlignment="1">
      <alignment horizontal="center" vertical="center" wrapText="1"/>
    </xf>
    <xf numFmtId="1" fontId="0" fillId="0" borderId="15" xfId="0" applyNumberFormat="1" applyBorder="1" applyAlignment="1">
      <alignment horizontal="center" vertical="center" wrapText="1"/>
    </xf>
    <xf numFmtId="1" fontId="0" fillId="0" borderId="16" xfId="0" applyNumberFormat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18" xfId="0" applyFont="1" applyFill="1" applyBorder="1" applyAlignment="1">
      <alignment horizontal="center" vertical="center" wrapText="1"/>
    </xf>
    <xf numFmtId="3" fontId="0" fillId="0" borderId="8" xfId="0" applyNumberFormat="1" applyBorder="1" applyAlignment="1">
      <alignment horizontal="center" vertical="center" wrapText="1"/>
    </xf>
    <xf numFmtId="3" fontId="0" fillId="0" borderId="25" xfId="0" applyNumberFormat="1" applyBorder="1" applyAlignment="1">
      <alignment horizontal="center" vertical="center" wrapText="1"/>
    </xf>
    <xf numFmtId="3" fontId="0" fillId="0" borderId="26" xfId="0" applyNumberFormat="1" applyBorder="1" applyAlignment="1">
      <alignment horizontal="center" vertical="center" wrapText="1"/>
    </xf>
    <xf numFmtId="0" fontId="2" fillId="7" borderId="14" xfId="0" applyFont="1" applyFill="1" applyBorder="1"/>
    <xf numFmtId="2" fontId="2" fillId="7" borderId="16" xfId="0" applyNumberFormat="1" applyFont="1" applyFill="1" applyBorder="1" applyAlignment="1">
      <alignment horizontal="center"/>
    </xf>
    <xf numFmtId="0" fontId="2" fillId="4" borderId="7" xfId="0" applyFont="1" applyFill="1" applyBorder="1"/>
    <xf numFmtId="2" fontId="2" fillId="4" borderId="8" xfId="0" applyNumberFormat="1" applyFont="1" applyFill="1" applyBorder="1"/>
    <xf numFmtId="0" fontId="2" fillId="7" borderId="7" xfId="0" applyFont="1" applyFill="1" applyBorder="1"/>
    <xf numFmtId="2" fontId="2" fillId="7" borderId="8" xfId="0" applyNumberFormat="1" applyFont="1" applyFill="1" applyBorder="1" applyAlignment="1">
      <alignment horizontal="center"/>
    </xf>
    <xf numFmtId="0" fontId="2" fillId="4" borderId="18" xfId="0" applyFont="1" applyFill="1" applyBorder="1"/>
    <xf numFmtId="2" fontId="2" fillId="4" borderId="26" xfId="0" applyNumberFormat="1" applyFont="1" applyFill="1" applyBorder="1"/>
    <xf numFmtId="0" fontId="5" fillId="0" borderId="6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6" borderId="0" xfId="0" applyFont="1" applyFill="1" applyAlignment="1">
      <alignment horizontal="left"/>
    </xf>
    <xf numFmtId="1" fontId="2" fillId="6" borderId="0" xfId="0" applyNumberFormat="1" applyFont="1" applyFill="1" applyAlignment="1">
      <alignment horizontal="center"/>
    </xf>
    <xf numFmtId="2" fontId="2" fillId="6" borderId="0" xfId="0" applyNumberFormat="1" applyFont="1" applyFill="1" applyAlignment="1">
      <alignment horizontal="center"/>
    </xf>
    <xf numFmtId="1" fontId="0" fillId="0" borderId="25" xfId="0" applyNumberFormat="1" applyBorder="1"/>
    <xf numFmtId="1" fontId="0" fillId="0" borderId="0" xfId="0" applyNumberFormat="1"/>
    <xf numFmtId="1" fontId="0" fillId="0" borderId="15" xfId="0" applyNumberFormat="1" applyBorder="1"/>
    <xf numFmtId="1" fontId="0" fillId="0" borderId="16" xfId="0" applyNumberFormat="1" applyBorder="1"/>
    <xf numFmtId="0" fontId="0" fillId="0" borderId="18" xfId="0" applyBorder="1"/>
    <xf numFmtId="217" fontId="5" fillId="6" borderId="0" xfId="2" applyNumberFormat="1" applyFont="1" applyFill="1"/>
    <xf numFmtId="207" fontId="0" fillId="0" borderId="3" xfId="0" applyNumberFormat="1" applyBorder="1" applyAlignment="1">
      <alignment horizontal="center"/>
    </xf>
    <xf numFmtId="9" fontId="7" fillId="6" borderId="0" xfId="2" applyFont="1" applyFill="1"/>
    <xf numFmtId="9" fontId="0" fillId="0" borderId="3" xfId="0" applyNumberFormat="1" applyBorder="1"/>
    <xf numFmtId="223" fontId="0" fillId="0" borderId="3" xfId="1" applyNumberFormat="1" applyFont="1" applyBorder="1"/>
    <xf numFmtId="0" fontId="0" fillId="6" borderId="3" xfId="0" applyFill="1" applyBorder="1"/>
    <xf numFmtId="0" fontId="5" fillId="6" borderId="3" xfId="0" applyFont="1" applyFill="1" applyBorder="1"/>
    <xf numFmtId="0" fontId="2" fillId="8" borderId="14" xfId="0" applyFont="1" applyFill="1" applyBorder="1" applyAlignment="1">
      <alignment horizontal="center"/>
    </xf>
    <xf numFmtId="1" fontId="5" fillId="6" borderId="15" xfId="0" applyNumberFormat="1" applyFont="1" applyFill="1" applyBorder="1"/>
    <xf numFmtId="0" fontId="2" fillId="8" borderId="15" xfId="0" applyFont="1" applyFill="1" applyBorder="1" applyAlignment="1">
      <alignment horizontal="center"/>
    </xf>
    <xf numFmtId="1" fontId="0" fillId="6" borderId="16" xfId="0" applyNumberFormat="1" applyFill="1" applyBorder="1"/>
    <xf numFmtId="0" fontId="0" fillId="6" borderId="7" xfId="0" applyFill="1" applyBorder="1"/>
    <xf numFmtId="0" fontId="0" fillId="6" borderId="8" xfId="0" applyFill="1" applyBorder="1"/>
    <xf numFmtId="0" fontId="2" fillId="8" borderId="18" xfId="0" applyFont="1" applyFill="1" applyBorder="1" applyAlignment="1">
      <alignment horizontal="center"/>
    </xf>
    <xf numFmtId="0" fontId="2" fillId="8" borderId="25" xfId="0" applyFont="1" applyFill="1" applyBorder="1" applyAlignment="1">
      <alignment horizontal="center"/>
    </xf>
    <xf numFmtId="3" fontId="5" fillId="0" borderId="3" xfId="0" applyNumberFormat="1" applyFont="1" applyBorder="1"/>
    <xf numFmtId="1" fontId="5" fillId="0" borderId="3" xfId="0" applyNumberFormat="1" applyFont="1" applyBorder="1"/>
    <xf numFmtId="0" fontId="5" fillId="0" borderId="25" xfId="0" applyFont="1" applyBorder="1"/>
    <xf numFmtId="0" fontId="5" fillId="0" borderId="26" xfId="0" applyFont="1" applyBorder="1"/>
    <xf numFmtId="0" fontId="5" fillId="0" borderId="18" xfId="0" applyFont="1" applyBorder="1" applyAlignment="1">
      <alignment horizontal="center"/>
    </xf>
    <xf numFmtId="0" fontId="0" fillId="9" borderId="33" xfId="0" applyFill="1" applyBorder="1"/>
    <xf numFmtId="0" fontId="0" fillId="9" borderId="34" xfId="0" applyFill="1" applyBorder="1"/>
    <xf numFmtId="0" fontId="0" fillId="9" borderId="35" xfId="0" applyFill="1" applyBorder="1"/>
    <xf numFmtId="0" fontId="0" fillId="9" borderId="36" xfId="0" applyFill="1" applyBorder="1"/>
    <xf numFmtId="0" fontId="2" fillId="9" borderId="0" xfId="0" applyFont="1" applyFill="1" applyBorder="1" applyAlignment="1">
      <alignment horizontal="center"/>
    </xf>
    <xf numFmtId="0" fontId="0" fillId="9" borderId="37" xfId="0" applyFill="1" applyBorder="1"/>
    <xf numFmtId="217" fontId="0" fillId="6" borderId="25" xfId="0" applyNumberFormat="1" applyFill="1" applyBorder="1" applyAlignment="1">
      <alignment horizontal="center"/>
    </xf>
    <xf numFmtId="217" fontId="0" fillId="6" borderId="26" xfId="0" applyNumberFormat="1" applyFill="1" applyBorder="1" applyAlignment="1">
      <alignment horizontal="center"/>
    </xf>
    <xf numFmtId="0" fontId="2" fillId="7" borderId="3" xfId="0" applyFont="1" applyFill="1" applyBorder="1"/>
    <xf numFmtId="217" fontId="0" fillId="0" borderId="3" xfId="0" applyNumberFormat="1" applyBorder="1"/>
    <xf numFmtId="0" fontId="2" fillId="7" borderId="3" xfId="0" applyFont="1" applyFill="1" applyBorder="1" applyAlignment="1">
      <alignment horizontal="center"/>
    </xf>
    <xf numFmtId="0" fontId="0" fillId="7" borderId="3" xfId="0" applyFill="1" applyBorder="1"/>
    <xf numFmtId="1" fontId="2" fillId="7" borderId="3" xfId="0" applyNumberFormat="1" applyFont="1" applyFill="1" applyBorder="1" applyAlignment="1">
      <alignment horizontal="center"/>
    </xf>
    <xf numFmtId="1" fontId="5" fillId="0" borderId="25" xfId="0" applyNumberFormat="1" applyFont="1" applyBorder="1"/>
    <xf numFmtId="207" fontId="0" fillId="6" borderId="0" xfId="0" applyNumberFormat="1" applyFill="1"/>
    <xf numFmtId="0" fontId="2" fillId="4" borderId="3" xfId="0" applyFont="1" applyFill="1" applyBorder="1"/>
    <xf numFmtId="1" fontId="2" fillId="4" borderId="3" xfId="0" applyNumberFormat="1" applyFont="1" applyFill="1" applyBorder="1"/>
    <xf numFmtId="1" fontId="2" fillId="4" borderId="3" xfId="0" applyNumberFormat="1" applyFont="1" applyFill="1" applyBorder="1" applyAlignment="1">
      <alignment horizontal="center"/>
    </xf>
    <xf numFmtId="207" fontId="2" fillId="4" borderId="3" xfId="0" applyNumberFormat="1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207" fontId="2" fillId="4" borderId="1" xfId="0" applyNumberFormat="1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right"/>
    </xf>
    <xf numFmtId="2" fontId="8" fillId="0" borderId="2" xfId="0" applyNumberFormat="1" applyFont="1" applyFill="1" applyBorder="1" applyAlignment="1">
      <alignment horizontal="center"/>
    </xf>
    <xf numFmtId="0" fontId="9" fillId="0" borderId="6" xfId="0" applyFont="1" applyFill="1" applyBorder="1" applyAlignment="1">
      <alignment horizontal="left" vertical="center" wrapText="1"/>
    </xf>
    <xf numFmtId="2" fontId="9" fillId="0" borderId="8" xfId="0" applyNumberFormat="1" applyFont="1" applyBorder="1" applyAlignment="1">
      <alignment horizontal="center"/>
    </xf>
    <xf numFmtId="0" fontId="9" fillId="0" borderId="7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center"/>
    </xf>
    <xf numFmtId="2" fontId="9" fillId="0" borderId="3" xfId="0" applyNumberFormat="1" applyFont="1" applyBorder="1" applyAlignment="1">
      <alignment horizontal="right"/>
    </xf>
    <xf numFmtId="0" fontId="8" fillId="0" borderId="7" xfId="0" applyFont="1" applyBorder="1" applyAlignment="1">
      <alignment horizontal="left" vertical="center" wrapText="1"/>
    </xf>
    <xf numFmtId="2" fontId="8" fillId="0" borderId="8" xfId="0" applyNumberFormat="1" applyFont="1" applyBorder="1" applyAlignment="1">
      <alignment horizontal="center"/>
    </xf>
    <xf numFmtId="0" fontId="9" fillId="0" borderId="18" xfId="0" applyFont="1" applyBorder="1" applyAlignment="1">
      <alignment horizontal="left" vertical="center" wrapText="1"/>
    </xf>
    <xf numFmtId="0" fontId="9" fillId="0" borderId="25" xfId="0" applyFont="1" applyBorder="1" applyAlignment="1">
      <alignment horizontal="center"/>
    </xf>
    <xf numFmtId="2" fontId="9" fillId="0" borderId="25" xfId="0" applyNumberFormat="1" applyFont="1" applyBorder="1" applyAlignment="1">
      <alignment horizontal="right"/>
    </xf>
    <xf numFmtId="2" fontId="9" fillId="0" borderId="26" xfId="0" applyNumberFormat="1" applyFont="1" applyBorder="1" applyAlignment="1">
      <alignment horizontal="center"/>
    </xf>
    <xf numFmtId="0" fontId="8" fillId="4" borderId="13" xfId="0" applyFont="1" applyFill="1" applyBorder="1" applyAlignment="1">
      <alignment horizontal="center" vertical="center" wrapText="1"/>
    </xf>
    <xf numFmtId="0" fontId="9" fillId="4" borderId="10" xfId="0" applyFont="1" applyFill="1" applyBorder="1" applyAlignment="1">
      <alignment horizontal="justify" wrapText="1"/>
    </xf>
    <xf numFmtId="2" fontId="8" fillId="4" borderId="11" xfId="0" applyNumberFormat="1" applyFont="1" applyFill="1" applyBorder="1" applyAlignment="1">
      <alignment horizontal="center" vertical="center"/>
    </xf>
    <xf numFmtId="0" fontId="8" fillId="4" borderId="30" xfId="0" applyFont="1" applyFill="1" applyBorder="1" applyAlignment="1">
      <alignment horizontal="left" vertical="center" wrapText="1"/>
    </xf>
    <xf numFmtId="0" fontId="9" fillId="4" borderId="31" xfId="0" applyFont="1" applyFill="1" applyBorder="1" applyAlignment="1">
      <alignment horizontal="center"/>
    </xf>
    <xf numFmtId="2" fontId="9" fillId="4" borderId="31" xfId="0" applyNumberFormat="1" applyFont="1" applyFill="1" applyBorder="1" applyAlignment="1">
      <alignment horizontal="right"/>
    </xf>
    <xf numFmtId="2" fontId="8" fillId="4" borderId="29" xfId="0" applyNumberFormat="1" applyFont="1" applyFill="1" applyBorder="1" applyAlignment="1">
      <alignment horizontal="center"/>
    </xf>
    <xf numFmtId="0" fontId="0" fillId="0" borderId="37" xfId="0" applyBorder="1"/>
    <xf numFmtId="0" fontId="0" fillId="0" borderId="22" xfId="0" applyFill="1" applyBorder="1"/>
    <xf numFmtId="0" fontId="25" fillId="0" borderId="0" xfId="0" applyFont="1" applyAlignment="1">
      <alignment vertical="center"/>
    </xf>
    <xf numFmtId="0" fontId="13" fillId="0" borderId="0" xfId="0" applyFont="1"/>
    <xf numFmtId="9" fontId="0" fillId="0" borderId="0" xfId="2" applyFont="1"/>
    <xf numFmtId="10" fontId="0" fillId="0" borderId="0" xfId="2" applyNumberFormat="1" applyFont="1"/>
    <xf numFmtId="0" fontId="26" fillId="0" borderId="0" xfId="0" applyFont="1"/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171" fontId="0" fillId="0" borderId="0" xfId="0" applyNumberFormat="1"/>
    <xf numFmtId="10" fontId="0" fillId="0" borderId="0" xfId="0" applyNumberFormat="1"/>
    <xf numFmtId="0" fontId="26" fillId="8" borderId="0" xfId="0" applyFont="1" applyFill="1" applyAlignment="1">
      <alignment vertical="center"/>
    </xf>
    <xf numFmtId="10" fontId="2" fillId="8" borderId="0" xfId="0" applyNumberFormat="1" applyFont="1" applyFill="1"/>
    <xf numFmtId="0" fontId="0" fillId="0" borderId="0" xfId="0" applyAlignment="1"/>
    <xf numFmtId="10" fontId="2" fillId="8" borderId="0" xfId="2" applyNumberFormat="1" applyFont="1" applyFill="1"/>
    <xf numFmtId="0" fontId="2" fillId="8" borderId="0" xfId="0" applyFont="1" applyFill="1"/>
    <xf numFmtId="2" fontId="2" fillId="8" borderId="10" xfId="0" applyNumberFormat="1" applyFont="1" applyFill="1" applyBorder="1"/>
    <xf numFmtId="2" fontId="2" fillId="8" borderId="11" xfId="0" applyNumberFormat="1" applyFont="1" applyFill="1" applyBorder="1"/>
    <xf numFmtId="3" fontId="0" fillId="8" borderId="1" xfId="0" applyNumberFormat="1" applyFill="1" applyBorder="1" applyAlignment="1">
      <alignment horizontal="center" vertical="center" wrapText="1"/>
    </xf>
    <xf numFmtId="2" fontId="0" fillId="0" borderId="0" xfId="0" applyNumberFormat="1"/>
    <xf numFmtId="0" fontId="5" fillId="0" borderId="22" xfId="0" applyFont="1" applyFill="1" applyBorder="1"/>
    <xf numFmtId="1" fontId="5" fillId="8" borderId="8" xfId="0" applyNumberFormat="1" applyFont="1" applyFill="1" applyBorder="1"/>
    <xf numFmtId="167" fontId="0" fillId="6" borderId="0" xfId="0" applyNumberFormat="1" applyFill="1"/>
    <xf numFmtId="0" fontId="2" fillId="0" borderId="3" xfId="0" applyFont="1" applyBorder="1"/>
    <xf numFmtId="2" fontId="2" fillId="0" borderId="3" xfId="0" applyNumberFormat="1" applyFont="1" applyBorder="1"/>
    <xf numFmtId="0" fontId="2" fillId="0" borderId="12" xfId="0" applyFont="1" applyBorder="1"/>
    <xf numFmtId="0" fontId="2" fillId="7" borderId="13" xfId="0" applyFont="1" applyFill="1" applyBorder="1"/>
    <xf numFmtId="207" fontId="0" fillId="0" borderId="12" xfId="0" applyNumberFormat="1" applyBorder="1"/>
    <xf numFmtId="1" fontId="0" fillId="6" borderId="0" xfId="0" applyNumberFormat="1" applyFill="1"/>
    <xf numFmtId="0" fontId="30" fillId="0" borderId="7" xfId="0" applyFont="1" applyBorder="1" applyAlignment="1">
      <alignment wrapText="1"/>
    </xf>
    <xf numFmtId="2" fontId="30" fillId="0" borderId="0" xfId="0" applyNumberFormat="1" applyFont="1"/>
    <xf numFmtId="0" fontId="30" fillId="0" borderId="0" xfId="0" applyFont="1"/>
    <xf numFmtId="1" fontId="2" fillId="0" borderId="0" xfId="0" applyNumberFormat="1" applyFont="1" applyFill="1" applyBorder="1"/>
    <xf numFmtId="1" fontId="0" fillId="0" borderId="1" xfId="0" applyNumberFormat="1" applyBorder="1"/>
    <xf numFmtId="1" fontId="2" fillId="7" borderId="10" xfId="0" applyNumberFormat="1" applyFont="1" applyFill="1" applyBorder="1"/>
    <xf numFmtId="0" fontId="31" fillId="0" borderId="3" xfId="0" applyFont="1" applyBorder="1"/>
    <xf numFmtId="0" fontId="29" fillId="9" borderId="36" xfId="0" applyFont="1" applyFill="1" applyBorder="1" applyAlignment="1">
      <alignment horizontal="center"/>
    </xf>
    <xf numFmtId="0" fontId="29" fillId="9" borderId="0" xfId="0" applyFont="1" applyFill="1" applyBorder="1" applyAlignment="1">
      <alignment horizontal="center"/>
    </xf>
    <xf numFmtId="0" fontId="29" fillId="9" borderId="37" xfId="0" applyFont="1" applyFill="1" applyBorder="1" applyAlignment="1">
      <alignment horizontal="center"/>
    </xf>
    <xf numFmtId="0" fontId="2" fillId="8" borderId="38" xfId="0" applyFont="1" applyFill="1" applyBorder="1" applyAlignment="1">
      <alignment horizontal="center"/>
    </xf>
    <xf numFmtId="0" fontId="2" fillId="8" borderId="39" xfId="0" applyFont="1" applyFill="1" applyBorder="1" applyAlignment="1">
      <alignment horizontal="center"/>
    </xf>
    <xf numFmtId="0" fontId="2" fillId="8" borderId="40" xfId="0" applyFont="1" applyFill="1" applyBorder="1" applyAlignment="1">
      <alignment horizontal="center"/>
    </xf>
    <xf numFmtId="0" fontId="29" fillId="9" borderId="36" xfId="0" applyFont="1" applyFill="1" applyBorder="1" applyAlignment="1">
      <alignment horizontal="center" vertical="center"/>
    </xf>
    <xf numFmtId="0" fontId="29" fillId="9" borderId="0" xfId="0" applyFont="1" applyFill="1" applyBorder="1" applyAlignment="1">
      <alignment horizontal="center" vertical="center"/>
    </xf>
    <xf numFmtId="0" fontId="29" fillId="9" borderId="37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41" xfId="0" applyFont="1" applyBorder="1" applyAlignment="1">
      <alignment horizontal="center" vertical="center" wrapText="1"/>
    </xf>
    <xf numFmtId="0" fontId="2" fillId="8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2" fillId="7" borderId="27" xfId="0" applyFont="1" applyFill="1" applyBorder="1" applyAlignment="1">
      <alignment horizontal="center"/>
    </xf>
    <xf numFmtId="0" fontId="2" fillId="7" borderId="42" xfId="0" applyFont="1" applyFill="1" applyBorder="1" applyAlignment="1">
      <alignment horizontal="center"/>
    </xf>
    <xf numFmtId="0" fontId="2" fillId="7" borderId="43" xfId="0" applyFont="1" applyFill="1" applyBorder="1" applyAlignment="1">
      <alignment horizontal="center"/>
    </xf>
    <xf numFmtId="0" fontId="2" fillId="7" borderId="44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45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46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2" fillId="4" borderId="38" xfId="0" applyFont="1" applyFill="1" applyBorder="1" applyAlignment="1">
      <alignment horizontal="center"/>
    </xf>
    <xf numFmtId="0" fontId="2" fillId="4" borderId="39" xfId="0" applyFont="1" applyFill="1" applyBorder="1" applyAlignment="1">
      <alignment horizontal="center"/>
    </xf>
    <xf numFmtId="0" fontId="2" fillId="4" borderId="40" xfId="0" applyFont="1" applyFill="1" applyBorder="1" applyAlignment="1">
      <alignment horizontal="center"/>
    </xf>
    <xf numFmtId="0" fontId="26" fillId="10" borderId="38" xfId="0" applyFont="1" applyFill="1" applyBorder="1" applyAlignment="1">
      <alignment horizontal="center" vertical="center"/>
    </xf>
    <xf numFmtId="0" fontId="26" fillId="10" borderId="39" xfId="0" applyFont="1" applyFill="1" applyBorder="1" applyAlignment="1">
      <alignment horizontal="center" vertical="center"/>
    </xf>
    <xf numFmtId="0" fontId="26" fillId="10" borderId="40" xfId="0" applyFont="1" applyFill="1" applyBorder="1" applyAlignment="1">
      <alignment horizontal="center" vertical="center"/>
    </xf>
    <xf numFmtId="0" fontId="2" fillId="11" borderId="38" xfId="0" applyFont="1" applyFill="1" applyBorder="1" applyAlignment="1">
      <alignment horizontal="center"/>
    </xf>
    <xf numFmtId="0" fontId="2" fillId="11" borderId="39" xfId="0" applyFont="1" applyFill="1" applyBorder="1" applyAlignment="1">
      <alignment horizontal="center"/>
    </xf>
    <xf numFmtId="0" fontId="2" fillId="11" borderId="40" xfId="0" applyFont="1" applyFill="1" applyBorder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PLANTILLA_FINALIZADA_VER.%20BETA%201.2%20xD%20OK.xlsm?91D4495B" TargetMode="External"/><Relationship Id="rId1" Type="http://schemas.openxmlformats.org/officeDocument/2006/relationships/externalLinkPath" Target="file:///\\91D4495B\PLANTILLA_FINALIZADA_VER.%20BETA%201.2%20xD%20OK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CIÓN"/>
      <sheetName val="INDICE"/>
      <sheetName val="Planteamiento"/>
      <sheetName val="Resumen"/>
      <sheetName val="Ventas_Unidades"/>
      <sheetName val="Inversion_Inicial"/>
      <sheetName val="Depreciacion"/>
      <sheetName val="Costos_operativos"/>
      <sheetName val="Costos_Unitarios"/>
      <sheetName val="Capital Trabajo"/>
      <sheetName val="Proyeccion_de_ventas"/>
      <sheetName val="Punto de equilibrio"/>
      <sheetName val="Ganancias y Perdidas"/>
      <sheetName val="Flujo_Deuda"/>
      <sheetName val="Flujos de Caja"/>
      <sheetName val="Rentabilidad"/>
      <sheetName val="Sensibilidad"/>
      <sheetName val="ESCENARIOS"/>
    </sheetNames>
    <sheetDataSet>
      <sheetData sheetId="0" refreshError="1"/>
      <sheetData sheetId="1" refreshError="1"/>
      <sheetData sheetId="2" refreshError="1"/>
      <sheetData sheetId="3">
        <row r="12">
          <cell r="H12" t="str">
            <v>Precio  de venta</v>
          </cell>
        </row>
        <row r="13">
          <cell r="H13" t="str">
            <v>Costo de mano obra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I15"/>
  <sheetViews>
    <sheetView workbookViewId="0">
      <selection activeCell="H11" sqref="H11"/>
    </sheetView>
  </sheetViews>
  <sheetFormatPr baseColWidth="10" defaultRowHeight="12.75" x14ac:dyDescent="0.2"/>
  <cols>
    <col min="1" max="1" width="3.42578125" customWidth="1"/>
    <col min="2" max="2" width="6.5703125" customWidth="1"/>
    <col min="3" max="3" width="8" customWidth="1"/>
    <col min="4" max="4" width="7.7109375" customWidth="1"/>
    <col min="5" max="5" width="7" customWidth="1"/>
    <col min="6" max="6" width="2.140625" customWidth="1"/>
    <col min="8" max="8" width="7.42578125" customWidth="1"/>
    <col min="9" max="9" width="14.85546875" customWidth="1"/>
  </cols>
  <sheetData>
    <row r="6" spans="2:9" ht="13.5" thickBot="1" x14ac:dyDescent="0.25"/>
    <row r="7" spans="2:9" ht="13.5" thickBot="1" x14ac:dyDescent="0.25">
      <c r="B7" s="298" t="s">
        <v>127</v>
      </c>
      <c r="C7" s="299"/>
      <c r="D7" s="299"/>
      <c r="E7" s="300"/>
      <c r="G7" s="30" t="s">
        <v>129</v>
      </c>
      <c r="H7" s="195">
        <v>0.12</v>
      </c>
      <c r="I7" s="30" t="s">
        <v>130</v>
      </c>
    </row>
    <row r="8" spans="2:9" x14ac:dyDescent="0.2">
      <c r="B8" s="212"/>
      <c r="C8" s="213"/>
      <c r="D8" s="213"/>
      <c r="E8" s="214"/>
      <c r="G8" s="30" t="s">
        <v>108</v>
      </c>
      <c r="H8" s="195">
        <v>0.02</v>
      </c>
      <c r="I8" s="30" t="s">
        <v>131</v>
      </c>
    </row>
    <row r="9" spans="2:9" x14ac:dyDescent="0.2">
      <c r="B9" s="295" t="s">
        <v>128</v>
      </c>
      <c r="C9" s="296"/>
      <c r="D9" s="296"/>
      <c r="E9" s="297"/>
      <c r="G9" s="30" t="s">
        <v>171</v>
      </c>
      <c r="H9" s="9">
        <v>5</v>
      </c>
      <c r="I9" s="30" t="s">
        <v>132</v>
      </c>
    </row>
    <row r="10" spans="2:9" x14ac:dyDescent="0.2">
      <c r="B10" s="301" t="s">
        <v>154</v>
      </c>
      <c r="C10" s="302"/>
      <c r="D10" s="302"/>
      <c r="E10" s="303"/>
      <c r="G10" s="30" t="s">
        <v>133</v>
      </c>
      <c r="H10" s="195">
        <v>0.2</v>
      </c>
      <c r="I10" s="9"/>
    </row>
    <row r="11" spans="2:9" x14ac:dyDescent="0.2">
      <c r="B11" s="295"/>
      <c r="C11" s="296"/>
      <c r="D11" s="296"/>
      <c r="E11" s="297"/>
      <c r="G11" s="30" t="s">
        <v>168</v>
      </c>
      <c r="H11" s="195">
        <v>0.1</v>
      </c>
      <c r="I11" s="30" t="s">
        <v>172</v>
      </c>
    </row>
    <row r="12" spans="2:9" ht="13.5" thickBot="1" x14ac:dyDescent="0.25">
      <c r="B12" s="215"/>
      <c r="C12" s="216"/>
      <c r="D12" s="216"/>
      <c r="E12" s="217"/>
      <c r="G12" s="30" t="s">
        <v>167</v>
      </c>
      <c r="H12" s="221">
        <v>0.29499999999999998</v>
      </c>
      <c r="I12" s="30" t="s">
        <v>173</v>
      </c>
    </row>
    <row r="13" spans="2:9" x14ac:dyDescent="0.2">
      <c r="B13" s="199" t="s">
        <v>145</v>
      </c>
      <c r="C13" s="200" t="e">
        <f>#REF!</f>
        <v>#REF!</v>
      </c>
      <c r="D13" s="201" t="s">
        <v>146</v>
      </c>
      <c r="E13" s="202" t="e">
        <f>#REF!</f>
        <v>#REF!</v>
      </c>
      <c r="F13" s="188"/>
      <c r="G13" s="30" t="s">
        <v>135</v>
      </c>
      <c r="H13" s="196">
        <v>12</v>
      </c>
      <c r="I13" s="30" t="s">
        <v>134</v>
      </c>
    </row>
    <row r="14" spans="2:9" x14ac:dyDescent="0.2">
      <c r="B14" s="203"/>
      <c r="C14" s="198"/>
      <c r="D14" s="197"/>
      <c r="E14" s="204"/>
      <c r="G14" s="30" t="s">
        <v>144</v>
      </c>
      <c r="H14" s="9">
        <v>5</v>
      </c>
      <c r="I14" s="30" t="s">
        <v>134</v>
      </c>
    </row>
    <row r="15" spans="2:9" ht="13.5" thickBot="1" x14ac:dyDescent="0.25">
      <c r="B15" s="205" t="s">
        <v>147</v>
      </c>
      <c r="C15" s="218" t="e">
        <f>#REF!</f>
        <v>#REF!</v>
      </c>
      <c r="D15" s="206" t="s">
        <v>148</v>
      </c>
      <c r="E15" s="219" t="e">
        <f>#REF!</f>
        <v>#REF!</v>
      </c>
      <c r="F15" s="60"/>
      <c r="G15" s="9"/>
      <c r="H15" s="9"/>
      <c r="I15" s="9"/>
    </row>
  </sheetData>
  <scenarios current="1" sqref="C13 C15 E13 E15">
    <scenario name="OPTIMISTA" locked="1" count="2" user="Tony Hinojosa" comment="Creado por Tony Hinojosa el 28/12/2017">
      <inputCells r="H13" val="10,5" numFmtId="207"/>
      <inputCells r="H14" val="4,5"/>
    </scenario>
    <scenario name="PESIMISTA" locked="1" count="2" user="Tony Hinojosa" comment="Creado por Tony Hinojosa el 28/12/2017">
      <inputCells r="H13" val="9,5" numFmtId="207"/>
      <inputCells r="H14" val="5,5"/>
    </scenario>
  </scenarios>
  <mergeCells count="4">
    <mergeCell ref="B11:E11"/>
    <mergeCell ref="B7:E7"/>
    <mergeCell ref="B9:E9"/>
    <mergeCell ref="B10:E1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P18"/>
  <sheetViews>
    <sheetView workbookViewId="0">
      <selection activeCell="P15" sqref="P15"/>
    </sheetView>
  </sheetViews>
  <sheetFormatPr baseColWidth="10" defaultRowHeight="12.75" x14ac:dyDescent="0.2"/>
  <cols>
    <col min="2" max="2" width="15.85546875" customWidth="1"/>
    <col min="3" max="3" width="5.5703125" customWidth="1"/>
    <col min="4" max="4" width="7.5703125" customWidth="1"/>
    <col min="5" max="5" width="7.28515625" customWidth="1"/>
    <col min="6" max="6" width="7.7109375" customWidth="1"/>
    <col min="7" max="7" width="6" customWidth="1"/>
    <col min="8" max="8" width="6.140625" customWidth="1"/>
    <col min="9" max="9" width="5.85546875" customWidth="1"/>
    <col min="10" max="10" width="5.5703125" customWidth="1"/>
    <col min="11" max="11" width="7.42578125" customWidth="1"/>
    <col min="12" max="12" width="6.140625" customWidth="1"/>
    <col min="13" max="13" width="6.85546875" customWidth="1"/>
    <col min="14" max="14" width="6.7109375" customWidth="1"/>
    <col min="15" max="15" width="6.28515625" customWidth="1"/>
    <col min="16" max="16" width="7.28515625" customWidth="1"/>
  </cols>
  <sheetData>
    <row r="5" spans="2:16" x14ac:dyDescent="0.2">
      <c r="B5" s="304" t="s">
        <v>153</v>
      </c>
      <c r="C5" s="304"/>
      <c r="D5" s="304"/>
      <c r="E5" s="304"/>
      <c r="F5" s="304"/>
      <c r="G5" s="304"/>
      <c r="H5" s="304"/>
      <c r="I5" s="304"/>
      <c r="J5" s="304"/>
      <c r="K5" s="304"/>
      <c r="L5" s="304"/>
      <c r="M5" s="304"/>
      <c r="N5" s="304"/>
      <c r="O5" s="304"/>
      <c r="P5" s="304"/>
    </row>
    <row r="6" spans="2:16" ht="13.5" thickBot="1" x14ac:dyDescent="0.25"/>
    <row r="7" spans="2:16" x14ac:dyDescent="0.2">
      <c r="B7" s="316" t="s">
        <v>14</v>
      </c>
      <c r="C7" s="314">
        <v>0</v>
      </c>
      <c r="D7" s="309" t="s">
        <v>150</v>
      </c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1"/>
      <c r="P7" s="312" t="s">
        <v>12</v>
      </c>
    </row>
    <row r="8" spans="2:16" x14ac:dyDescent="0.2">
      <c r="B8" s="317"/>
      <c r="C8" s="315"/>
      <c r="D8" s="222">
        <v>1</v>
      </c>
      <c r="E8" s="222">
        <v>2</v>
      </c>
      <c r="F8" s="222">
        <v>3</v>
      </c>
      <c r="G8" s="222">
        <v>4</v>
      </c>
      <c r="H8" s="222">
        <v>5</v>
      </c>
      <c r="I8" s="222">
        <v>6</v>
      </c>
      <c r="J8" s="222">
        <v>7</v>
      </c>
      <c r="K8" s="222">
        <v>8</v>
      </c>
      <c r="L8" s="222">
        <v>9</v>
      </c>
      <c r="M8" s="222">
        <v>10</v>
      </c>
      <c r="N8" s="222">
        <v>11</v>
      </c>
      <c r="O8" s="222">
        <v>12</v>
      </c>
      <c r="P8" s="313"/>
    </row>
    <row r="9" spans="2:16" x14ac:dyDescent="0.2">
      <c r="B9" s="64" t="s">
        <v>83</v>
      </c>
      <c r="C9" s="30"/>
      <c r="D9" s="207">
        <f>Ventas_Unidades!C7</f>
        <v>100</v>
      </c>
      <c r="E9" s="207">
        <f>Ventas_Unidades!D7</f>
        <v>200</v>
      </c>
      <c r="F9" s="207">
        <f>Ventas_Unidades!E7</f>
        <v>300</v>
      </c>
      <c r="G9" s="207">
        <f>Ventas_Unidades!F7</f>
        <v>400</v>
      </c>
      <c r="H9" s="207">
        <f>Ventas_Unidades!G7</f>
        <v>500</v>
      </c>
      <c r="I9" s="207">
        <f>Ventas_Unidades!H7</f>
        <v>600</v>
      </c>
      <c r="J9" s="207">
        <f>Ventas_Unidades!I7</f>
        <v>700</v>
      </c>
      <c r="K9" s="207">
        <f>Ventas_Unidades!J7</f>
        <v>800</v>
      </c>
      <c r="L9" s="207">
        <f>Ventas_Unidades!K7</f>
        <v>800</v>
      </c>
      <c r="M9" s="207">
        <f>Ventas_Unidades!L7</f>
        <v>900</v>
      </c>
      <c r="N9" s="207">
        <f>Ventas_Unidades!M7</f>
        <v>1000</v>
      </c>
      <c r="O9" s="207">
        <f>Ventas_Unidades!N7</f>
        <v>1000</v>
      </c>
      <c r="P9" s="163"/>
    </row>
    <row r="10" spans="2:16" x14ac:dyDescent="0.2">
      <c r="B10" s="64" t="s">
        <v>152</v>
      </c>
      <c r="C10" s="30"/>
      <c r="D10" s="30">
        <f>Costos_Unitarios!$C$18</f>
        <v>8.07</v>
      </c>
      <c r="E10" s="30">
        <f>Costos_Unitarios!$C$18</f>
        <v>8.07</v>
      </c>
      <c r="F10" s="30">
        <f>Costos_Unitarios!$C$18</f>
        <v>8.07</v>
      </c>
      <c r="G10" s="30">
        <f>Costos_Unitarios!$C$18</f>
        <v>8.07</v>
      </c>
      <c r="H10" s="30">
        <f>Costos_Unitarios!$C$18</f>
        <v>8.07</v>
      </c>
      <c r="I10" s="30">
        <f>Costos_Unitarios!$C$18</f>
        <v>8.07</v>
      </c>
      <c r="J10" s="30">
        <f>Costos_Unitarios!$C$18</f>
        <v>8.07</v>
      </c>
      <c r="K10" s="30">
        <f>Costos_Unitarios!$C$18</f>
        <v>8.07</v>
      </c>
      <c r="L10" s="30">
        <f>Costos_Unitarios!$C$18</f>
        <v>8.07</v>
      </c>
      <c r="M10" s="30">
        <f>Costos_Unitarios!$C$18</f>
        <v>8.07</v>
      </c>
      <c r="N10" s="30">
        <f>Costos_Unitarios!$C$18</f>
        <v>8.07</v>
      </c>
      <c r="O10" s="30">
        <f>Costos_Unitarios!$C$18</f>
        <v>8.07</v>
      </c>
      <c r="P10" s="163"/>
    </row>
    <row r="11" spans="2:16" x14ac:dyDescent="0.2">
      <c r="B11" s="64" t="s">
        <v>175</v>
      </c>
      <c r="C11" s="208"/>
      <c r="D11" s="30">
        <f t="shared" ref="D11:O11" si="0">D9*D10</f>
        <v>807</v>
      </c>
      <c r="E11" s="30">
        <f t="shared" si="0"/>
        <v>1614</v>
      </c>
      <c r="F11" s="30">
        <f t="shared" si="0"/>
        <v>2421</v>
      </c>
      <c r="G11" s="30">
        <f t="shared" si="0"/>
        <v>3228</v>
      </c>
      <c r="H11" s="30">
        <f t="shared" si="0"/>
        <v>4035</v>
      </c>
      <c r="I11" s="30">
        <f t="shared" si="0"/>
        <v>4842</v>
      </c>
      <c r="J11" s="30">
        <f t="shared" si="0"/>
        <v>5649</v>
      </c>
      <c r="K11" s="30">
        <f t="shared" si="0"/>
        <v>6456</v>
      </c>
      <c r="L11" s="30">
        <f t="shared" si="0"/>
        <v>6456</v>
      </c>
      <c r="M11" s="30">
        <f t="shared" si="0"/>
        <v>7263</v>
      </c>
      <c r="N11" s="30">
        <f t="shared" si="0"/>
        <v>8070</v>
      </c>
      <c r="O11" s="30">
        <f t="shared" si="0"/>
        <v>8070</v>
      </c>
      <c r="P11" s="163"/>
    </row>
    <row r="12" spans="2:16" x14ac:dyDescent="0.2">
      <c r="B12" s="64" t="s">
        <v>241</v>
      </c>
      <c r="C12" s="208"/>
      <c r="D12" s="208">
        <f>Gastos_Operativos!$F$15</f>
        <v>2135</v>
      </c>
      <c r="E12" s="208">
        <f>Gastos_Operativos!$F$15</f>
        <v>2135</v>
      </c>
      <c r="F12" s="208">
        <f>Gastos_Operativos!$F$15</f>
        <v>2135</v>
      </c>
      <c r="G12" s="208">
        <f>Gastos_Operativos!$F$15</f>
        <v>2135</v>
      </c>
      <c r="H12" s="208">
        <f>Gastos_Operativos!$F$15</f>
        <v>2135</v>
      </c>
      <c r="I12" s="208">
        <f>Gastos_Operativos!$F$15</f>
        <v>2135</v>
      </c>
      <c r="J12" s="208">
        <f>Gastos_Operativos!$F$15</f>
        <v>2135</v>
      </c>
      <c r="K12" s="208">
        <f>Gastos_Operativos!$F$15</f>
        <v>2135</v>
      </c>
      <c r="L12" s="208">
        <f>Gastos_Operativos!$F$15</f>
        <v>2135</v>
      </c>
      <c r="M12" s="208">
        <f>Gastos_Operativos!$F$15</f>
        <v>2135</v>
      </c>
      <c r="N12" s="208">
        <f>Gastos_Operativos!$F$15</f>
        <v>2135</v>
      </c>
      <c r="O12" s="208">
        <f>Gastos_Operativos!$F$15</f>
        <v>2135</v>
      </c>
      <c r="P12" s="163"/>
    </row>
    <row r="13" spans="2:16" x14ac:dyDescent="0.2">
      <c r="B13" s="64" t="s">
        <v>176</v>
      </c>
      <c r="C13" s="208"/>
      <c r="D13" s="208">
        <f>D11+D12</f>
        <v>2942</v>
      </c>
      <c r="E13" s="208">
        <f t="shared" ref="E13:O13" si="1">E11+E12</f>
        <v>3749</v>
      </c>
      <c r="F13" s="208">
        <f t="shared" si="1"/>
        <v>4556</v>
      </c>
      <c r="G13" s="208">
        <f t="shared" si="1"/>
        <v>5363</v>
      </c>
      <c r="H13" s="208">
        <f t="shared" si="1"/>
        <v>6170</v>
      </c>
      <c r="I13" s="208">
        <f t="shared" si="1"/>
        <v>6977</v>
      </c>
      <c r="J13" s="208">
        <f t="shared" si="1"/>
        <v>7784</v>
      </c>
      <c r="K13" s="208">
        <f t="shared" si="1"/>
        <v>8591</v>
      </c>
      <c r="L13" s="208">
        <f t="shared" si="1"/>
        <v>8591</v>
      </c>
      <c r="M13" s="208">
        <f t="shared" si="1"/>
        <v>9398</v>
      </c>
      <c r="N13" s="208">
        <f t="shared" si="1"/>
        <v>10205</v>
      </c>
      <c r="O13" s="208">
        <f t="shared" si="1"/>
        <v>10205</v>
      </c>
      <c r="P13" s="163"/>
    </row>
    <row r="14" spans="2:16" x14ac:dyDescent="0.2">
      <c r="B14" s="64" t="s">
        <v>151</v>
      </c>
      <c r="C14" s="208">
        <f>D13</f>
        <v>2942</v>
      </c>
      <c r="D14" s="208">
        <f>E13-D13</f>
        <v>807</v>
      </c>
      <c r="E14" s="208">
        <f>F13-E13</f>
        <v>807</v>
      </c>
      <c r="F14" s="208">
        <f>G13-E15</f>
        <v>807</v>
      </c>
      <c r="G14" s="208">
        <f t="shared" ref="G14:N14" si="2">H13-F15</f>
        <v>807</v>
      </c>
      <c r="H14" s="208">
        <f t="shared" si="2"/>
        <v>807</v>
      </c>
      <c r="I14" s="208">
        <f t="shared" si="2"/>
        <v>807</v>
      </c>
      <c r="J14" s="208">
        <f t="shared" si="2"/>
        <v>807</v>
      </c>
      <c r="K14" s="208">
        <f t="shared" si="2"/>
        <v>0</v>
      </c>
      <c r="L14" s="208">
        <f t="shared" si="2"/>
        <v>807</v>
      </c>
      <c r="M14" s="208">
        <f t="shared" si="2"/>
        <v>807</v>
      </c>
      <c r="N14" s="208">
        <f t="shared" si="2"/>
        <v>0</v>
      </c>
      <c r="O14" s="208"/>
      <c r="P14" s="280">
        <f>SUM(C14:O14)</f>
        <v>10205</v>
      </c>
    </row>
    <row r="15" spans="2:16" ht="13.5" thickBot="1" x14ac:dyDescent="0.25">
      <c r="B15" s="211" t="s">
        <v>12</v>
      </c>
      <c r="C15" s="209"/>
      <c r="D15" s="225">
        <f>D13+D14</f>
        <v>3749</v>
      </c>
      <c r="E15" s="225">
        <f t="shared" ref="E15:O15" si="3">E13+E14</f>
        <v>4556</v>
      </c>
      <c r="F15" s="225">
        <f t="shared" si="3"/>
        <v>5363</v>
      </c>
      <c r="G15" s="225">
        <f t="shared" si="3"/>
        <v>6170</v>
      </c>
      <c r="H15" s="225">
        <f t="shared" si="3"/>
        <v>6977</v>
      </c>
      <c r="I15" s="225">
        <f t="shared" si="3"/>
        <v>7784</v>
      </c>
      <c r="J15" s="225">
        <f t="shared" si="3"/>
        <v>8591</v>
      </c>
      <c r="K15" s="225">
        <f t="shared" si="3"/>
        <v>8591</v>
      </c>
      <c r="L15" s="225">
        <f t="shared" si="3"/>
        <v>9398</v>
      </c>
      <c r="M15" s="225">
        <f t="shared" si="3"/>
        <v>10205</v>
      </c>
      <c r="N15" s="225">
        <f t="shared" si="3"/>
        <v>10205</v>
      </c>
      <c r="O15" s="225">
        <f t="shared" si="3"/>
        <v>10205</v>
      </c>
      <c r="P15" s="210"/>
    </row>
    <row r="16" spans="2:16" x14ac:dyDescent="0.2">
      <c r="B16" s="279" t="s">
        <v>242</v>
      </c>
    </row>
    <row r="17" spans="5:11" x14ac:dyDescent="0.2">
      <c r="E17" s="188"/>
    </row>
    <row r="18" spans="5:11" x14ac:dyDescent="0.2">
      <c r="K18" s="188"/>
    </row>
  </sheetData>
  <mergeCells count="5">
    <mergeCell ref="D7:O7"/>
    <mergeCell ref="P7:P8"/>
    <mergeCell ref="C7:C8"/>
    <mergeCell ref="B7:B8"/>
    <mergeCell ref="B5:P5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3"/>
  <sheetViews>
    <sheetView workbookViewId="0">
      <selection activeCell="D9" sqref="D9"/>
    </sheetView>
  </sheetViews>
  <sheetFormatPr baseColWidth="10" defaultRowHeight="12.75" x14ac:dyDescent="0.2"/>
  <cols>
    <col min="2" max="2" width="3.42578125" customWidth="1"/>
    <col min="3" max="3" width="22.85546875" customWidth="1"/>
    <col min="4" max="4" width="12.5703125" bestFit="1" customWidth="1"/>
  </cols>
  <sheetData>
    <row r="2" spans="2:5" x14ac:dyDescent="0.2">
      <c r="B2" s="11" t="s">
        <v>109</v>
      </c>
      <c r="C2" s="96" t="s">
        <v>110</v>
      </c>
      <c r="D2" s="90"/>
      <c r="E2" s="90"/>
    </row>
    <row r="3" spans="2:5" x14ac:dyDescent="0.2">
      <c r="C3" s="90"/>
      <c r="D3" s="90"/>
      <c r="E3" s="90"/>
    </row>
    <row r="4" spans="2:5" x14ac:dyDescent="0.2">
      <c r="C4" s="91" t="s">
        <v>243</v>
      </c>
      <c r="D4" s="97">
        <f>Costos_Unitarios!C9</f>
        <v>2260.458333333333</v>
      </c>
      <c r="E4" s="90"/>
    </row>
    <row r="5" spans="2:5" x14ac:dyDescent="0.2">
      <c r="C5" s="91" t="s">
        <v>138</v>
      </c>
      <c r="D5" s="97">
        <f>+Presupuesto_Ventas!C8*1.18</f>
        <v>14.16</v>
      </c>
      <c r="E5" s="90"/>
    </row>
    <row r="6" spans="2:5" x14ac:dyDescent="0.2">
      <c r="C6" s="91" t="s">
        <v>68</v>
      </c>
      <c r="D6" s="90">
        <f>+Costos_Unitarios!C18</f>
        <v>8.07</v>
      </c>
      <c r="E6" s="90"/>
    </row>
    <row r="7" spans="2:5" x14ac:dyDescent="0.2">
      <c r="C7" s="96" t="s">
        <v>71</v>
      </c>
      <c r="D7" s="98">
        <f>+D5-D6</f>
        <v>6.09</v>
      </c>
      <c r="E7" s="90"/>
    </row>
    <row r="8" spans="2:5" x14ac:dyDescent="0.2">
      <c r="C8" s="90"/>
      <c r="D8" s="90"/>
      <c r="E8" s="90"/>
    </row>
    <row r="9" spans="2:5" x14ac:dyDescent="0.2">
      <c r="C9" s="96" t="s">
        <v>72</v>
      </c>
      <c r="D9" s="185">
        <f>D4/D7</f>
        <v>371.1754241926655</v>
      </c>
      <c r="E9" s="184" t="s">
        <v>199</v>
      </c>
    </row>
    <row r="10" spans="2:5" x14ac:dyDescent="0.2">
      <c r="C10" s="91"/>
      <c r="D10" s="97"/>
      <c r="E10" s="90"/>
    </row>
    <row r="11" spans="2:5" x14ac:dyDescent="0.2">
      <c r="C11" s="96" t="s">
        <v>72</v>
      </c>
      <c r="D11" s="186">
        <f>D9*D5</f>
        <v>5255.8440065681434</v>
      </c>
      <c r="E11" s="90" t="s">
        <v>200</v>
      </c>
    </row>
    <row r="13" spans="2:5" x14ac:dyDescent="0.2">
      <c r="C13" t="s">
        <v>244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1"/>
  <sheetViews>
    <sheetView workbookViewId="0">
      <selection activeCell="D9" sqref="D9"/>
    </sheetView>
  </sheetViews>
  <sheetFormatPr baseColWidth="10" defaultRowHeight="12.75" x14ac:dyDescent="0.2"/>
  <cols>
    <col min="2" max="2" width="4.42578125" customWidth="1"/>
    <col min="3" max="3" width="24" customWidth="1"/>
    <col min="4" max="4" width="9.140625" customWidth="1"/>
    <col min="5" max="5" width="9.28515625" customWidth="1"/>
    <col min="6" max="6" width="8.42578125" customWidth="1"/>
    <col min="10" max="10" width="12.28515625" bestFit="1" customWidth="1"/>
  </cols>
  <sheetData>
    <row r="1" spans="2:15" x14ac:dyDescent="0.2">
      <c r="B1" s="11"/>
    </row>
    <row r="2" spans="2:15" x14ac:dyDescent="0.2">
      <c r="B2" s="29"/>
    </row>
    <row r="3" spans="2:15" x14ac:dyDescent="0.2">
      <c r="C3" s="318" t="s">
        <v>198</v>
      </c>
      <c r="D3" s="318"/>
      <c r="E3" s="318"/>
      <c r="F3" s="318"/>
      <c r="G3" s="318"/>
      <c r="H3" s="318"/>
    </row>
    <row r="4" spans="2:15" ht="13.5" thickBot="1" x14ac:dyDescent="0.25">
      <c r="C4" s="90"/>
      <c r="D4" s="90"/>
      <c r="E4" s="90"/>
      <c r="F4" s="90"/>
    </row>
    <row r="5" spans="2:15" ht="13.5" thickBot="1" x14ac:dyDescent="0.25">
      <c r="C5" s="54" t="s">
        <v>14</v>
      </c>
      <c r="D5" s="57" t="s">
        <v>73</v>
      </c>
      <c r="E5" s="57" t="s">
        <v>74</v>
      </c>
      <c r="F5" s="57" t="s">
        <v>75</v>
      </c>
      <c r="G5" s="57" t="s">
        <v>136</v>
      </c>
      <c r="H5" s="58" t="s">
        <v>137</v>
      </c>
      <c r="I5" s="165"/>
      <c r="J5">
        <v>1</v>
      </c>
      <c r="K5">
        <f>J5+1</f>
        <v>2</v>
      </c>
      <c r="L5">
        <f>K5+1</f>
        <v>3</v>
      </c>
      <c r="M5">
        <f>L5+1</f>
        <v>4</v>
      </c>
      <c r="N5">
        <f>M5+1</f>
        <v>5</v>
      </c>
    </row>
    <row r="6" spans="2:15" x14ac:dyDescent="0.2">
      <c r="C6" s="94" t="s">
        <v>197</v>
      </c>
      <c r="D6" s="189">
        <f>Presupuesto_Ventas!P8</f>
        <v>87600</v>
      </c>
      <c r="E6" s="189">
        <f>Presupuesto_Ventas!P9</f>
        <v>144000</v>
      </c>
      <c r="F6" s="189">
        <f>Presupuesto_Ventas!P10</f>
        <v>144000</v>
      </c>
      <c r="G6" s="189">
        <f>Presupuesto_Ventas!P11</f>
        <v>144000</v>
      </c>
      <c r="H6" s="190">
        <f>Presupuesto_Ventas!P12</f>
        <v>144000</v>
      </c>
    </row>
    <row r="7" spans="2:15" x14ac:dyDescent="0.2">
      <c r="C7" s="70" t="s">
        <v>95</v>
      </c>
      <c r="D7" s="9"/>
      <c r="E7" s="9"/>
      <c r="F7" s="9"/>
      <c r="G7" s="9"/>
      <c r="H7" s="63"/>
    </row>
    <row r="8" spans="2:15" x14ac:dyDescent="0.2">
      <c r="C8" s="70" t="s">
        <v>96</v>
      </c>
      <c r="D8" s="9">
        <f>Ventas_Unidades!O7*Costos_Unitarios!$C$18</f>
        <v>58911</v>
      </c>
      <c r="E8" s="9">
        <f>Ventas_Unidades!O8*Costos_Unitarios!$C$18</f>
        <v>96840</v>
      </c>
      <c r="F8" s="9">
        <f>Ventas_Unidades!O9*Costos_Unitarios!$C$18</f>
        <v>96840</v>
      </c>
      <c r="G8" s="9">
        <f>Ventas_Unidades!O10*Costos_Unitarios!$C$18</f>
        <v>96840</v>
      </c>
      <c r="H8" s="63">
        <f>Ventas_Unidades!O11*Costos_Unitarios!$C$18</f>
        <v>96840</v>
      </c>
      <c r="I8" s="29" t="s">
        <v>275</v>
      </c>
      <c r="J8">
        <f>'Estado de Resultados'!D8</f>
        <v>58911</v>
      </c>
      <c r="K8">
        <f>'Estado de Resultados'!E8</f>
        <v>96840</v>
      </c>
      <c r="L8">
        <f>'Estado de Resultados'!F8</f>
        <v>96840</v>
      </c>
      <c r="M8">
        <f>'Estado de Resultados'!G8</f>
        <v>96840</v>
      </c>
      <c r="N8">
        <f>'Estado de Resultados'!H8</f>
        <v>96840</v>
      </c>
      <c r="O8" s="29" t="s">
        <v>270</v>
      </c>
    </row>
    <row r="9" spans="2:15" x14ac:dyDescent="0.2">
      <c r="C9" s="64" t="s">
        <v>115</v>
      </c>
      <c r="D9" s="51">
        <f>Depreciación_VR!$F$9</f>
        <v>1214.5</v>
      </c>
      <c r="E9" s="51">
        <f>Depreciación_VR!$F$9</f>
        <v>1214.5</v>
      </c>
      <c r="F9" s="51">
        <f>Depreciación_VR!$F$9</f>
        <v>1214.5</v>
      </c>
      <c r="G9" s="51">
        <f>Depreciación_VR!$F$9</f>
        <v>1214.5</v>
      </c>
      <c r="H9" s="65">
        <f>Depreciación_VR!$F$9</f>
        <v>1214.5</v>
      </c>
      <c r="J9" s="188">
        <f>J8*0.18</f>
        <v>10603.98</v>
      </c>
      <c r="K9" s="188">
        <f>K8*0.18</f>
        <v>17431.2</v>
      </c>
      <c r="L9" s="188">
        <f>L8*0.18</f>
        <v>17431.2</v>
      </c>
      <c r="M9" s="188">
        <f>M8*0.18</f>
        <v>17431.2</v>
      </c>
      <c r="N9" s="188">
        <f>N8*0.18</f>
        <v>17431.2</v>
      </c>
      <c r="O9" s="29" t="s">
        <v>272</v>
      </c>
    </row>
    <row r="10" spans="2:15" x14ac:dyDescent="0.2">
      <c r="C10" s="62" t="s">
        <v>97</v>
      </c>
      <c r="D10" s="59">
        <f>D6-D8-D9</f>
        <v>27474.5</v>
      </c>
      <c r="E10" s="59">
        <f>E6-E8-E9</f>
        <v>45945.5</v>
      </c>
      <c r="F10" s="59">
        <f>F6-F8-F9</f>
        <v>45945.5</v>
      </c>
      <c r="G10" s="59">
        <f>G6-G8-G9</f>
        <v>45945.5</v>
      </c>
      <c r="H10" s="66">
        <f>H6-H8-H9</f>
        <v>45945.5</v>
      </c>
    </row>
    <row r="11" spans="2:15" x14ac:dyDescent="0.2">
      <c r="C11" s="70" t="s">
        <v>98</v>
      </c>
      <c r="D11" s="9"/>
      <c r="E11" s="9"/>
      <c r="F11" s="9"/>
      <c r="G11" s="9"/>
      <c r="H11" s="63"/>
    </row>
    <row r="12" spans="2:15" x14ac:dyDescent="0.2">
      <c r="C12" s="70" t="s">
        <v>63</v>
      </c>
      <c r="D12" s="9">
        <f>Gastos_Operativos!$F$4*12</f>
        <v>13680</v>
      </c>
      <c r="E12" s="9">
        <f>Gastos_Operativos!$F$4*12</f>
        <v>13680</v>
      </c>
      <c r="F12" s="9">
        <f>Gastos_Operativos!$F$4*12</f>
        <v>13680</v>
      </c>
      <c r="G12" s="9">
        <f>Gastos_Operativos!$F$4*12</f>
        <v>13680</v>
      </c>
      <c r="H12" s="9">
        <f>Gastos_Operativos!$F$4*12</f>
        <v>13680</v>
      </c>
      <c r="I12" s="29" t="s">
        <v>274</v>
      </c>
      <c r="J12">
        <f>180*12</f>
        <v>2160</v>
      </c>
      <c r="K12">
        <f>180*12</f>
        <v>2160</v>
      </c>
      <c r="L12">
        <f>180*12</f>
        <v>2160</v>
      </c>
      <c r="M12">
        <f>180*12</f>
        <v>2160</v>
      </c>
      <c r="N12">
        <f>180*12</f>
        <v>2160</v>
      </c>
      <c r="O12" s="29" t="s">
        <v>271</v>
      </c>
    </row>
    <row r="13" spans="2:15" x14ac:dyDescent="0.2">
      <c r="C13" s="70" t="s">
        <v>65</v>
      </c>
      <c r="D13" s="9">
        <f>Gastos_Operativos!$F$11*12</f>
        <v>11940</v>
      </c>
      <c r="E13" s="9">
        <f>Gastos_Operativos!$F$11*12</f>
        <v>11940</v>
      </c>
      <c r="F13" s="9">
        <f>Gastos_Operativos!$F$11*12</f>
        <v>11940</v>
      </c>
      <c r="G13" s="9">
        <f>Gastos_Operativos!$F$11*12</f>
        <v>11940</v>
      </c>
      <c r="H13" s="9">
        <f>Gastos_Operativos!$F$11*12</f>
        <v>11940</v>
      </c>
      <c r="J13" s="188">
        <f>J12*0.18</f>
        <v>388.8</v>
      </c>
      <c r="K13" s="188">
        <f>K12*0.18</f>
        <v>388.8</v>
      </c>
      <c r="L13" s="188">
        <f>L12*0.18</f>
        <v>388.8</v>
      </c>
      <c r="M13" s="188">
        <f>M12*0.18</f>
        <v>388.8</v>
      </c>
      <c r="N13" s="188">
        <f>N12*0.18</f>
        <v>388.8</v>
      </c>
      <c r="O13" s="29" t="s">
        <v>273</v>
      </c>
    </row>
    <row r="14" spans="2:15" x14ac:dyDescent="0.2">
      <c r="C14" s="70" t="s">
        <v>94</v>
      </c>
      <c r="D14" s="51">
        <f>Inversión_Inicial!$F$34/Resumen!$H$9</f>
        <v>291</v>
      </c>
      <c r="E14" s="51">
        <f>Inversión_Inicial!$F$34/Resumen!$H$9</f>
        <v>291</v>
      </c>
      <c r="F14" s="51">
        <f>Inversión_Inicial!$F$34/Resumen!$H$9</f>
        <v>291</v>
      </c>
      <c r="G14" s="51">
        <f>Inversión_Inicial!$F$34/Resumen!$H$9</f>
        <v>291</v>
      </c>
      <c r="H14" s="65">
        <f>Inversión_Inicial!$F$34/Resumen!$H$9</f>
        <v>291</v>
      </c>
    </row>
    <row r="15" spans="2:15" x14ac:dyDescent="0.2">
      <c r="C15" s="62" t="s">
        <v>99</v>
      </c>
      <c r="D15" s="59">
        <f>D10-D12-D13-D14</f>
        <v>1563.5</v>
      </c>
      <c r="E15" s="59">
        <f>E10-E12-E13-E14</f>
        <v>20034.5</v>
      </c>
      <c r="F15" s="59">
        <f>F10-F12-F13-F14</f>
        <v>20034.5</v>
      </c>
      <c r="G15" s="59">
        <f>G10-G12-G13-G14</f>
        <v>20034.5</v>
      </c>
      <c r="H15" s="66">
        <f>H10-H12-H13-H14</f>
        <v>20034.5</v>
      </c>
      <c r="J15" s="291">
        <f>J9-J13</f>
        <v>10215.18</v>
      </c>
      <c r="K15" s="291">
        <f>K9-K13</f>
        <v>17042.400000000001</v>
      </c>
      <c r="L15" s="291">
        <f>L9-L13</f>
        <v>17042.400000000001</v>
      </c>
      <c r="M15" s="291">
        <f>M9-M13</f>
        <v>17042.400000000001</v>
      </c>
      <c r="N15" s="291">
        <f>N9-N13</f>
        <v>17042.400000000001</v>
      </c>
    </row>
    <row r="16" spans="2:15" ht="13.5" thickBot="1" x14ac:dyDescent="0.25">
      <c r="C16" s="191" t="s">
        <v>201</v>
      </c>
      <c r="D16" s="187">
        <f>D15*Resumen!$H$11</f>
        <v>156.35000000000002</v>
      </c>
      <c r="E16" s="187">
        <f>E15*Resumen!$H$11</f>
        <v>2003.45</v>
      </c>
      <c r="F16" s="187">
        <f>F15*Resumen!$H$11</f>
        <v>2003.45</v>
      </c>
      <c r="G16" s="187">
        <f>G15*Resumen!$H$11</f>
        <v>2003.45</v>
      </c>
      <c r="H16" s="187">
        <f>H15*Resumen!$H$11</f>
        <v>2003.45</v>
      </c>
    </row>
    <row r="17" spans="3:8" ht="13.5" thickBot="1" x14ac:dyDescent="0.25">
      <c r="C17" s="54" t="s">
        <v>100</v>
      </c>
      <c r="D17" s="55">
        <f>D15-D16</f>
        <v>1407.15</v>
      </c>
      <c r="E17" s="55">
        <f>E15-E16</f>
        <v>18031.05</v>
      </c>
      <c r="F17" s="55">
        <f>F15-F16</f>
        <v>18031.05</v>
      </c>
      <c r="G17" s="55">
        <f>G15-G16</f>
        <v>18031.05</v>
      </c>
      <c r="H17" s="56">
        <f>H15-H16</f>
        <v>18031.05</v>
      </c>
    </row>
    <row r="18" spans="3:8" x14ac:dyDescent="0.2">
      <c r="C18" s="259" t="s">
        <v>202</v>
      </c>
    </row>
    <row r="20" spans="3:8" x14ac:dyDescent="0.2">
      <c r="C20" t="s">
        <v>203</v>
      </c>
      <c r="D20" s="60">
        <v>0.1</v>
      </c>
    </row>
    <row r="21" spans="3:8" x14ac:dyDescent="0.2">
      <c r="C21">
        <f>15*4500</f>
        <v>67500</v>
      </c>
      <c r="D21" t="s">
        <v>245</v>
      </c>
    </row>
  </sheetData>
  <mergeCells count="1">
    <mergeCell ref="C3:H3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8"/>
  <sheetViews>
    <sheetView topLeftCell="A22" workbookViewId="0">
      <selection activeCell="G13" sqref="G13"/>
    </sheetView>
  </sheetViews>
  <sheetFormatPr baseColWidth="10" defaultRowHeight="12.75" x14ac:dyDescent="0.2"/>
  <cols>
    <col min="2" max="2" width="3.140625" customWidth="1"/>
    <col min="4" max="4" width="14.42578125" customWidth="1"/>
    <col min="5" max="5" width="12.28515625" bestFit="1" customWidth="1"/>
    <col min="6" max="6" width="9.140625" customWidth="1"/>
    <col min="7" max="7" width="13.140625" customWidth="1"/>
  </cols>
  <sheetData>
    <row r="2" spans="2:8" x14ac:dyDescent="0.2">
      <c r="B2" s="11" t="s">
        <v>116</v>
      </c>
      <c r="G2" t="s">
        <v>246</v>
      </c>
    </row>
    <row r="3" spans="2:8" x14ac:dyDescent="0.2">
      <c r="B3" s="90"/>
      <c r="C3" s="90"/>
      <c r="D3" s="91" t="s">
        <v>101</v>
      </c>
      <c r="E3" s="287">
        <f>Inversión_Inicial!L46*0.4</f>
        <v>8278.8000000000011</v>
      </c>
      <c r="F3" s="90"/>
      <c r="G3" s="90"/>
      <c r="H3" s="90"/>
    </row>
    <row r="4" spans="2:8" x14ac:dyDescent="0.2">
      <c r="B4" s="90"/>
      <c r="C4" s="90"/>
      <c r="D4" s="91" t="s">
        <v>117</v>
      </c>
      <c r="E4" s="194">
        <f>Resumen!H10</f>
        <v>0.2</v>
      </c>
      <c r="F4" s="90"/>
      <c r="G4" s="90"/>
      <c r="H4" s="90"/>
    </row>
    <row r="5" spans="2:8" x14ac:dyDescent="0.2">
      <c r="B5" s="90"/>
      <c r="C5" s="90"/>
      <c r="D5" s="91" t="s">
        <v>142</v>
      </c>
      <c r="E5" s="192">
        <f>POWER((1+E4),(1/12))-1</f>
        <v>1.5309470499731193E-2</v>
      </c>
      <c r="F5" s="91"/>
      <c r="G5" s="91"/>
      <c r="H5" s="90"/>
    </row>
    <row r="6" spans="2:8" x14ac:dyDescent="0.2">
      <c r="B6" s="90"/>
      <c r="C6" s="90"/>
      <c r="D6" s="91" t="s">
        <v>111</v>
      </c>
      <c r="E6" s="192">
        <f>Resumen!H8</f>
        <v>0.02</v>
      </c>
      <c r="F6" s="91"/>
      <c r="G6" s="91"/>
      <c r="H6" s="90"/>
    </row>
    <row r="7" spans="2:8" x14ac:dyDescent="0.2">
      <c r="B7" s="90"/>
      <c r="C7" s="90"/>
      <c r="D7" s="91" t="s">
        <v>141</v>
      </c>
      <c r="E7" s="92">
        <f>POWER((1+E6),(1/12))-1</f>
        <v>1.6515813019202241E-3</v>
      </c>
      <c r="F7" s="91"/>
      <c r="G7" s="90"/>
      <c r="H7" s="90"/>
    </row>
    <row r="8" spans="2:8" x14ac:dyDescent="0.2">
      <c r="B8" s="90"/>
      <c r="C8" s="90"/>
      <c r="D8" s="91" t="s">
        <v>143</v>
      </c>
      <c r="E8" s="92">
        <f>((1+E5)/(1+E7))-1</f>
        <v>1.3635369276868481E-2</v>
      </c>
      <c r="F8" s="91"/>
      <c r="G8" s="90"/>
      <c r="H8" s="90"/>
    </row>
    <row r="9" spans="2:8" x14ac:dyDescent="0.2">
      <c r="B9" s="90"/>
      <c r="C9" s="90"/>
      <c r="D9" s="91" t="s">
        <v>102</v>
      </c>
      <c r="E9" s="90">
        <v>24</v>
      </c>
      <c r="F9" s="90"/>
      <c r="G9" s="90"/>
      <c r="H9" s="90"/>
    </row>
    <row r="10" spans="2:8" x14ac:dyDescent="0.2">
      <c r="B10" s="90"/>
      <c r="C10" s="90"/>
      <c r="D10" s="91" t="s">
        <v>112</v>
      </c>
      <c r="E10" s="226">
        <f>E3/24</f>
        <v>344.95000000000005</v>
      </c>
      <c r="F10" s="90"/>
      <c r="G10" s="90" t="s">
        <v>247</v>
      </c>
      <c r="H10" s="281">
        <f>-PMT(E8,E9,E3)</f>
        <v>406.79097358320558</v>
      </c>
    </row>
    <row r="11" spans="2:8" ht="13.5" thickBot="1" x14ac:dyDescent="0.25">
      <c r="B11" s="90"/>
      <c r="C11" s="90"/>
      <c r="D11" s="90"/>
      <c r="E11" s="90"/>
      <c r="F11" s="90"/>
      <c r="G11" s="90"/>
      <c r="H11" s="90"/>
    </row>
    <row r="12" spans="2:8" x14ac:dyDescent="0.2">
      <c r="C12" s="67" t="s">
        <v>114</v>
      </c>
      <c r="D12" s="68" t="s">
        <v>103</v>
      </c>
      <c r="E12" s="68" t="s">
        <v>104</v>
      </c>
      <c r="F12" s="68" t="s">
        <v>105</v>
      </c>
      <c r="G12" s="68" t="s">
        <v>106</v>
      </c>
      <c r="H12" s="69" t="s">
        <v>107</v>
      </c>
    </row>
    <row r="13" spans="2:8" x14ac:dyDescent="0.2">
      <c r="C13" s="231" t="s">
        <v>177</v>
      </c>
      <c r="D13" s="232"/>
      <c r="E13" s="233">
        <f>SUM(E14:E25)</f>
        <v>1044.181580316384</v>
      </c>
      <c r="F13" s="234">
        <f>SUM(F14:F25)</f>
        <v>4139.3999999999996</v>
      </c>
      <c r="G13" s="233">
        <f>SUM(G14:G25)</f>
        <v>5183.5815803163841</v>
      </c>
      <c r="H13" s="235"/>
    </row>
    <row r="14" spans="2:8" x14ac:dyDescent="0.2">
      <c r="C14" s="81">
        <v>1</v>
      </c>
      <c r="D14" s="51">
        <f>E3</f>
        <v>8278.8000000000011</v>
      </c>
      <c r="E14" s="82">
        <f>$E$8*D14</f>
        <v>112.88449516933879</v>
      </c>
      <c r="F14" s="193">
        <f>$E$10</f>
        <v>344.95000000000005</v>
      </c>
      <c r="G14" s="233">
        <f>E14+F14</f>
        <v>457.83449516933882</v>
      </c>
      <c r="H14" s="65">
        <f>D14-F14</f>
        <v>7933.8500000000013</v>
      </c>
    </row>
    <row r="15" spans="2:8" x14ac:dyDescent="0.2">
      <c r="C15" s="81">
        <f>C14+1</f>
        <v>2</v>
      </c>
      <c r="D15" s="51">
        <f>H14</f>
        <v>7933.8500000000013</v>
      </c>
      <c r="E15" s="82">
        <f t="shared" ref="E15:E37" si="0">$E$8*D15</f>
        <v>108.18097453728302</v>
      </c>
      <c r="F15" s="193">
        <f t="shared" ref="F15:F37" si="1">$E$10</f>
        <v>344.95000000000005</v>
      </c>
      <c r="G15" s="233">
        <f t="shared" ref="G15:G37" si="2">E15+F15</f>
        <v>453.13097453728307</v>
      </c>
      <c r="H15" s="65">
        <f t="shared" ref="H15:H37" si="3">D15-F15</f>
        <v>7588.9000000000015</v>
      </c>
    </row>
    <row r="16" spans="2:8" x14ac:dyDescent="0.2">
      <c r="C16" s="81">
        <f t="shared" ref="C16:C37" si="4">C15+1</f>
        <v>3</v>
      </c>
      <c r="D16" s="51">
        <f t="shared" ref="D16:D37" si="5">H15</f>
        <v>7588.9000000000015</v>
      </c>
      <c r="E16" s="82">
        <f t="shared" si="0"/>
        <v>103.47745390522724</v>
      </c>
      <c r="F16" s="193">
        <f t="shared" si="1"/>
        <v>344.95000000000005</v>
      </c>
      <c r="G16" s="233">
        <f t="shared" si="2"/>
        <v>448.42745390522725</v>
      </c>
      <c r="H16" s="65">
        <f t="shared" si="3"/>
        <v>7243.9500000000016</v>
      </c>
    </row>
    <row r="17" spans="3:8" x14ac:dyDescent="0.2">
      <c r="C17" s="81">
        <f t="shared" si="4"/>
        <v>4</v>
      </c>
      <c r="D17" s="51">
        <f t="shared" si="5"/>
        <v>7243.9500000000016</v>
      </c>
      <c r="E17" s="82">
        <f t="shared" si="0"/>
        <v>98.773933273171451</v>
      </c>
      <c r="F17" s="193">
        <f t="shared" si="1"/>
        <v>344.95000000000005</v>
      </c>
      <c r="G17" s="233">
        <f t="shared" si="2"/>
        <v>443.7239332731715</v>
      </c>
      <c r="H17" s="65">
        <f t="shared" si="3"/>
        <v>6899.0000000000018</v>
      </c>
    </row>
    <row r="18" spans="3:8" x14ac:dyDescent="0.2">
      <c r="C18" s="81">
        <f t="shared" si="4"/>
        <v>5</v>
      </c>
      <c r="D18" s="51">
        <f t="shared" si="5"/>
        <v>6899.0000000000018</v>
      </c>
      <c r="E18" s="82">
        <f t="shared" si="0"/>
        <v>94.070412641115681</v>
      </c>
      <c r="F18" s="193">
        <f t="shared" si="1"/>
        <v>344.95000000000005</v>
      </c>
      <c r="G18" s="233">
        <f t="shared" si="2"/>
        <v>439.02041264111574</v>
      </c>
      <c r="H18" s="65">
        <f t="shared" si="3"/>
        <v>6554.050000000002</v>
      </c>
    </row>
    <row r="19" spans="3:8" x14ac:dyDescent="0.2">
      <c r="C19" s="81">
        <f t="shared" si="4"/>
        <v>6</v>
      </c>
      <c r="D19" s="51">
        <f t="shared" si="5"/>
        <v>6554.050000000002</v>
      </c>
      <c r="E19" s="82">
        <f t="shared" si="0"/>
        <v>89.366892009059896</v>
      </c>
      <c r="F19" s="193">
        <f t="shared" si="1"/>
        <v>344.95000000000005</v>
      </c>
      <c r="G19" s="233">
        <f t="shared" si="2"/>
        <v>434.31689200905993</v>
      </c>
      <c r="H19" s="65">
        <f t="shared" si="3"/>
        <v>6209.1000000000022</v>
      </c>
    </row>
    <row r="20" spans="3:8" x14ac:dyDescent="0.2">
      <c r="C20" s="81">
        <f t="shared" si="4"/>
        <v>7</v>
      </c>
      <c r="D20" s="51">
        <f t="shared" si="5"/>
        <v>6209.1000000000022</v>
      </c>
      <c r="E20" s="82">
        <f t="shared" si="0"/>
        <v>84.663371377004111</v>
      </c>
      <c r="F20" s="193">
        <f t="shared" si="1"/>
        <v>344.95000000000005</v>
      </c>
      <c r="G20" s="233">
        <f t="shared" si="2"/>
        <v>429.61337137700417</v>
      </c>
      <c r="H20" s="65">
        <f t="shared" si="3"/>
        <v>5864.1500000000024</v>
      </c>
    </row>
    <row r="21" spans="3:8" x14ac:dyDescent="0.2">
      <c r="C21" s="81">
        <f t="shared" si="4"/>
        <v>8</v>
      </c>
      <c r="D21" s="51">
        <f t="shared" si="5"/>
        <v>5864.1500000000024</v>
      </c>
      <c r="E21" s="82">
        <f t="shared" si="0"/>
        <v>79.959850744948341</v>
      </c>
      <c r="F21" s="193">
        <f t="shared" si="1"/>
        <v>344.95000000000005</v>
      </c>
      <c r="G21" s="233">
        <f t="shared" si="2"/>
        <v>424.90985074494836</v>
      </c>
      <c r="H21" s="65">
        <f t="shared" si="3"/>
        <v>5519.2000000000025</v>
      </c>
    </row>
    <row r="22" spans="3:8" x14ac:dyDescent="0.2">
      <c r="C22" s="81">
        <f t="shared" si="4"/>
        <v>9</v>
      </c>
      <c r="D22" s="51">
        <f t="shared" si="5"/>
        <v>5519.2000000000025</v>
      </c>
      <c r="E22" s="82">
        <f t="shared" si="0"/>
        <v>75.256330112892556</v>
      </c>
      <c r="F22" s="193">
        <f t="shared" si="1"/>
        <v>344.95000000000005</v>
      </c>
      <c r="G22" s="233">
        <f t="shared" si="2"/>
        <v>420.2063301128926</v>
      </c>
      <c r="H22" s="65">
        <f t="shared" si="3"/>
        <v>5174.2500000000027</v>
      </c>
    </row>
    <row r="23" spans="3:8" x14ac:dyDescent="0.2">
      <c r="C23" s="81">
        <f t="shared" si="4"/>
        <v>10</v>
      </c>
      <c r="D23" s="51">
        <f t="shared" si="5"/>
        <v>5174.2500000000027</v>
      </c>
      <c r="E23" s="82">
        <f t="shared" si="0"/>
        <v>70.552809480836771</v>
      </c>
      <c r="F23" s="193">
        <f t="shared" si="1"/>
        <v>344.95000000000005</v>
      </c>
      <c r="G23" s="233">
        <f t="shared" si="2"/>
        <v>415.50280948083685</v>
      </c>
      <c r="H23" s="65">
        <f t="shared" si="3"/>
        <v>4829.3000000000029</v>
      </c>
    </row>
    <row r="24" spans="3:8" x14ac:dyDescent="0.2">
      <c r="C24" s="81">
        <f t="shared" si="4"/>
        <v>11</v>
      </c>
      <c r="D24" s="51">
        <f t="shared" si="5"/>
        <v>4829.3000000000029</v>
      </c>
      <c r="E24" s="82">
        <f t="shared" si="0"/>
        <v>65.849288848781001</v>
      </c>
      <c r="F24" s="193">
        <f t="shared" si="1"/>
        <v>344.95000000000005</v>
      </c>
      <c r="G24" s="233">
        <f t="shared" si="2"/>
        <v>410.79928884878103</v>
      </c>
      <c r="H24" s="65">
        <f t="shared" si="3"/>
        <v>4484.3500000000031</v>
      </c>
    </row>
    <row r="25" spans="3:8" x14ac:dyDescent="0.2">
      <c r="C25" s="81">
        <f t="shared" si="4"/>
        <v>12</v>
      </c>
      <c r="D25" s="51">
        <f t="shared" si="5"/>
        <v>4484.3500000000031</v>
      </c>
      <c r="E25" s="82">
        <f t="shared" si="0"/>
        <v>61.145768216725216</v>
      </c>
      <c r="F25" s="193">
        <f t="shared" si="1"/>
        <v>344.95000000000005</v>
      </c>
      <c r="G25" s="233">
        <f t="shared" si="2"/>
        <v>406.09576821672528</v>
      </c>
      <c r="H25" s="65">
        <f t="shared" si="3"/>
        <v>4139.4000000000033</v>
      </c>
    </row>
    <row r="26" spans="3:8" x14ac:dyDescent="0.2">
      <c r="C26" s="81">
        <f t="shared" si="4"/>
        <v>13</v>
      </c>
      <c r="D26" s="51">
        <f t="shared" si="5"/>
        <v>4139.4000000000033</v>
      </c>
      <c r="E26" s="82">
        <f t="shared" si="0"/>
        <v>56.442247584669431</v>
      </c>
      <c r="F26" s="193">
        <f t="shared" si="1"/>
        <v>344.95000000000005</v>
      </c>
      <c r="G26" s="233">
        <f t="shared" si="2"/>
        <v>401.39224758466946</v>
      </c>
      <c r="H26" s="65">
        <f t="shared" si="3"/>
        <v>3794.4500000000035</v>
      </c>
    </row>
    <row r="27" spans="3:8" x14ac:dyDescent="0.2">
      <c r="C27" s="81">
        <f t="shared" si="4"/>
        <v>14</v>
      </c>
      <c r="D27" s="51">
        <f t="shared" si="5"/>
        <v>3794.4500000000035</v>
      </c>
      <c r="E27" s="82">
        <f t="shared" si="0"/>
        <v>51.738726952613654</v>
      </c>
      <c r="F27" s="193">
        <f t="shared" si="1"/>
        <v>344.95000000000005</v>
      </c>
      <c r="G27" s="233">
        <f t="shared" si="2"/>
        <v>396.68872695261371</v>
      </c>
      <c r="H27" s="65">
        <f t="shared" si="3"/>
        <v>3449.5000000000036</v>
      </c>
    </row>
    <row r="28" spans="3:8" x14ac:dyDescent="0.2">
      <c r="C28" s="81">
        <f t="shared" si="4"/>
        <v>15</v>
      </c>
      <c r="D28" s="51">
        <f t="shared" si="5"/>
        <v>3449.5000000000036</v>
      </c>
      <c r="E28" s="82">
        <f t="shared" si="0"/>
        <v>47.035206320557876</v>
      </c>
      <c r="F28" s="193">
        <f t="shared" si="1"/>
        <v>344.95000000000005</v>
      </c>
      <c r="G28" s="233">
        <f t="shared" si="2"/>
        <v>391.98520632055795</v>
      </c>
      <c r="H28" s="65">
        <f t="shared" si="3"/>
        <v>3104.5500000000038</v>
      </c>
    </row>
    <row r="29" spans="3:8" x14ac:dyDescent="0.2">
      <c r="C29" s="81">
        <f t="shared" si="4"/>
        <v>16</v>
      </c>
      <c r="D29" s="51">
        <f t="shared" si="5"/>
        <v>3104.5500000000038</v>
      </c>
      <c r="E29" s="82">
        <f t="shared" si="0"/>
        <v>42.331685688502091</v>
      </c>
      <c r="F29" s="193">
        <f t="shared" si="1"/>
        <v>344.95000000000005</v>
      </c>
      <c r="G29" s="233">
        <f t="shared" si="2"/>
        <v>387.28168568850214</v>
      </c>
      <c r="H29" s="65">
        <f t="shared" si="3"/>
        <v>2759.600000000004</v>
      </c>
    </row>
    <row r="30" spans="3:8" x14ac:dyDescent="0.2">
      <c r="C30" s="81">
        <f t="shared" si="4"/>
        <v>17</v>
      </c>
      <c r="D30" s="51">
        <f t="shared" si="5"/>
        <v>2759.600000000004</v>
      </c>
      <c r="E30" s="82">
        <f t="shared" si="0"/>
        <v>37.628165056446313</v>
      </c>
      <c r="F30" s="193">
        <f t="shared" si="1"/>
        <v>344.95000000000005</v>
      </c>
      <c r="G30" s="233">
        <f t="shared" si="2"/>
        <v>382.57816505644638</v>
      </c>
      <c r="H30" s="65">
        <f t="shared" si="3"/>
        <v>2414.6500000000042</v>
      </c>
    </row>
    <row r="31" spans="3:8" x14ac:dyDescent="0.2">
      <c r="C31" s="81">
        <f t="shared" si="4"/>
        <v>18</v>
      </c>
      <c r="D31" s="51">
        <f t="shared" si="5"/>
        <v>2414.6500000000042</v>
      </c>
      <c r="E31" s="82">
        <f t="shared" si="0"/>
        <v>32.924644424390536</v>
      </c>
      <c r="F31" s="193">
        <f t="shared" si="1"/>
        <v>344.95000000000005</v>
      </c>
      <c r="G31" s="233">
        <f t="shared" si="2"/>
        <v>377.87464442439057</v>
      </c>
      <c r="H31" s="65">
        <f t="shared" si="3"/>
        <v>2069.7000000000044</v>
      </c>
    </row>
    <row r="32" spans="3:8" x14ac:dyDescent="0.2">
      <c r="C32" s="81">
        <f t="shared" si="4"/>
        <v>19</v>
      </c>
      <c r="D32" s="51">
        <f t="shared" si="5"/>
        <v>2069.7000000000044</v>
      </c>
      <c r="E32" s="82">
        <f t="shared" si="0"/>
        <v>28.221123792334755</v>
      </c>
      <c r="F32" s="193">
        <f t="shared" si="1"/>
        <v>344.95000000000005</v>
      </c>
      <c r="G32" s="233">
        <f t="shared" si="2"/>
        <v>373.17112379233481</v>
      </c>
      <c r="H32" s="65">
        <f t="shared" si="3"/>
        <v>1724.7500000000043</v>
      </c>
    </row>
    <row r="33" spans="3:8" x14ac:dyDescent="0.2">
      <c r="C33" s="81">
        <f t="shared" si="4"/>
        <v>20</v>
      </c>
      <c r="D33" s="51">
        <f t="shared" si="5"/>
        <v>1724.7500000000043</v>
      </c>
      <c r="E33" s="82">
        <f t="shared" si="0"/>
        <v>23.51760316027897</v>
      </c>
      <c r="F33" s="193">
        <f t="shared" si="1"/>
        <v>344.95000000000005</v>
      </c>
      <c r="G33" s="233">
        <f t="shared" si="2"/>
        <v>368.467603160279</v>
      </c>
      <c r="H33" s="65">
        <f t="shared" si="3"/>
        <v>1379.8000000000043</v>
      </c>
    </row>
    <row r="34" spans="3:8" x14ac:dyDescent="0.2">
      <c r="C34" s="81">
        <f t="shared" si="4"/>
        <v>21</v>
      </c>
      <c r="D34" s="51">
        <f t="shared" si="5"/>
        <v>1379.8000000000043</v>
      </c>
      <c r="E34" s="82">
        <f t="shared" si="0"/>
        <v>18.814082528223189</v>
      </c>
      <c r="F34" s="193">
        <f t="shared" si="1"/>
        <v>344.95000000000005</v>
      </c>
      <c r="G34" s="233">
        <f t="shared" si="2"/>
        <v>363.76408252822324</v>
      </c>
      <c r="H34" s="65">
        <f t="shared" si="3"/>
        <v>1034.8500000000042</v>
      </c>
    </row>
    <row r="35" spans="3:8" x14ac:dyDescent="0.2">
      <c r="C35" s="81">
        <f>C34+1</f>
        <v>22</v>
      </c>
      <c r="D35" s="51">
        <f t="shared" si="5"/>
        <v>1034.8500000000042</v>
      </c>
      <c r="E35" s="82">
        <f t="shared" si="0"/>
        <v>14.110561896167406</v>
      </c>
      <c r="F35" s="193">
        <f t="shared" si="1"/>
        <v>344.95000000000005</v>
      </c>
      <c r="G35" s="233">
        <f t="shared" si="2"/>
        <v>359.06056189616743</v>
      </c>
      <c r="H35" s="65">
        <f t="shared" si="3"/>
        <v>689.90000000000418</v>
      </c>
    </row>
    <row r="36" spans="3:8" x14ac:dyDescent="0.2">
      <c r="C36" s="81">
        <f t="shared" si="4"/>
        <v>23</v>
      </c>
      <c r="D36" s="51">
        <f t="shared" si="5"/>
        <v>689.90000000000418</v>
      </c>
      <c r="E36" s="82">
        <f t="shared" si="0"/>
        <v>9.4070412641116228</v>
      </c>
      <c r="F36" s="193">
        <f t="shared" si="1"/>
        <v>344.95000000000005</v>
      </c>
      <c r="G36" s="233">
        <f t="shared" si="2"/>
        <v>354.35704126411167</v>
      </c>
      <c r="H36" s="65">
        <f t="shared" si="3"/>
        <v>344.95000000000414</v>
      </c>
    </row>
    <row r="37" spans="3:8" x14ac:dyDescent="0.2">
      <c r="C37" s="81">
        <f t="shared" si="4"/>
        <v>24</v>
      </c>
      <c r="D37" s="51">
        <f t="shared" si="5"/>
        <v>344.95000000000414</v>
      </c>
      <c r="E37" s="82">
        <f t="shared" si="0"/>
        <v>4.7035206320558389</v>
      </c>
      <c r="F37" s="193">
        <f t="shared" si="1"/>
        <v>344.95000000000005</v>
      </c>
      <c r="G37" s="233">
        <f t="shared" si="2"/>
        <v>349.65352063205586</v>
      </c>
      <c r="H37" s="65">
        <f t="shared" si="3"/>
        <v>4.0927261579781771E-12</v>
      </c>
    </row>
    <row r="38" spans="3:8" x14ac:dyDescent="0.2">
      <c r="C38" s="227" t="s">
        <v>178</v>
      </c>
      <c r="D38" s="228"/>
      <c r="E38" s="229">
        <f>SUM(E26:E37)</f>
        <v>366.87460930035161</v>
      </c>
      <c r="F38" s="230">
        <f>SUM(F26:F37)</f>
        <v>4139.3999999999996</v>
      </c>
      <c r="G38" s="229">
        <f>SUM(G26:G37)</f>
        <v>4506.2746093003525</v>
      </c>
      <c r="H38" s="22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J23"/>
  <sheetViews>
    <sheetView workbookViewId="0">
      <selection activeCell="L18" sqref="L18"/>
    </sheetView>
  </sheetViews>
  <sheetFormatPr baseColWidth="10" defaultRowHeight="12.75" x14ac:dyDescent="0.2"/>
  <cols>
    <col min="4" max="4" width="31.140625" customWidth="1"/>
  </cols>
  <sheetData>
    <row r="3" spans="4:10" x14ac:dyDescent="0.2">
      <c r="D3" s="222" t="s">
        <v>14</v>
      </c>
      <c r="E3" s="222">
        <v>0</v>
      </c>
      <c r="F3" s="222">
        <v>1</v>
      </c>
      <c r="G3" s="222">
        <v>2</v>
      </c>
      <c r="H3" s="222">
        <v>3</v>
      </c>
      <c r="I3" s="222">
        <v>4</v>
      </c>
      <c r="J3" s="222">
        <v>5</v>
      </c>
    </row>
    <row r="4" spans="4:10" x14ac:dyDescent="0.2">
      <c r="D4" s="9" t="s">
        <v>248</v>
      </c>
      <c r="E4" s="24">
        <f>-Inversión_Inicial!L29</f>
        <v>-9037</v>
      </c>
      <c r="F4" s="9"/>
      <c r="G4" s="24">
        <f>-Inversión_Inicial!L14</f>
        <v>-357</v>
      </c>
      <c r="H4" s="9"/>
      <c r="I4" s="24">
        <f>G4</f>
        <v>-357</v>
      </c>
      <c r="J4" s="9"/>
    </row>
    <row r="5" spans="4:10" x14ac:dyDescent="0.2">
      <c r="D5" s="9" t="s">
        <v>249</v>
      </c>
      <c r="E5" s="24">
        <f>-Inversión_Inicial!L34</f>
        <v>-1455</v>
      </c>
      <c r="F5" s="9"/>
      <c r="G5" s="9"/>
      <c r="H5" s="9"/>
      <c r="I5" s="9"/>
      <c r="J5" s="9"/>
    </row>
    <row r="6" spans="4:10" x14ac:dyDescent="0.2">
      <c r="D6" s="9" t="s">
        <v>250</v>
      </c>
      <c r="E6" s="51">
        <f>-Inversión_Inicial!L45</f>
        <v>-10205</v>
      </c>
      <c r="F6" s="9"/>
      <c r="G6" s="9"/>
      <c r="H6" s="9"/>
      <c r="I6" s="9"/>
      <c r="J6" s="9"/>
    </row>
    <row r="7" spans="4:10" x14ac:dyDescent="0.2">
      <c r="D7" s="9" t="s">
        <v>251</v>
      </c>
      <c r="E7" s="9"/>
      <c r="F7" s="9"/>
      <c r="G7" s="9"/>
      <c r="H7" s="9"/>
      <c r="I7" s="9"/>
      <c r="J7" s="51">
        <f>-E6</f>
        <v>10205</v>
      </c>
    </row>
    <row r="8" spans="4:10" x14ac:dyDescent="0.2">
      <c r="D8" s="9" t="s">
        <v>252</v>
      </c>
      <c r="E8" s="9"/>
      <c r="F8" s="9"/>
      <c r="G8" s="9"/>
      <c r="H8" s="9"/>
      <c r="I8" s="9"/>
      <c r="J8" s="24">
        <f>Depreciación_VR!H9</f>
        <v>3678.5</v>
      </c>
    </row>
    <row r="9" spans="4:10" x14ac:dyDescent="0.2">
      <c r="D9" s="282" t="s">
        <v>253</v>
      </c>
      <c r="E9" s="283">
        <f t="shared" ref="E9:J9" si="0">SUM(E4:E8)</f>
        <v>-20697</v>
      </c>
      <c r="F9" s="283">
        <f t="shared" si="0"/>
        <v>0</v>
      </c>
      <c r="G9" s="283">
        <f t="shared" si="0"/>
        <v>-357</v>
      </c>
      <c r="H9" s="283">
        <f t="shared" si="0"/>
        <v>0</v>
      </c>
      <c r="I9" s="283">
        <f t="shared" si="0"/>
        <v>-357</v>
      </c>
      <c r="J9" s="283">
        <f t="shared" si="0"/>
        <v>13883.5</v>
      </c>
    </row>
    <row r="10" spans="4:10" x14ac:dyDescent="0.2">
      <c r="D10" s="9" t="s">
        <v>254</v>
      </c>
      <c r="E10" s="9"/>
      <c r="F10" s="51">
        <f>'Estado de Resultados'!D6</f>
        <v>87600</v>
      </c>
      <c r="G10" s="51">
        <f>'Estado de Resultados'!E6</f>
        <v>144000</v>
      </c>
      <c r="H10" s="51">
        <f>'Estado de Resultados'!F6</f>
        <v>144000</v>
      </c>
      <c r="I10" s="51">
        <f>'Estado de Resultados'!G6</f>
        <v>144000</v>
      </c>
      <c r="J10" s="51">
        <f>'Estado de Resultados'!H6</f>
        <v>144000</v>
      </c>
    </row>
    <row r="11" spans="4:10" x14ac:dyDescent="0.2">
      <c r="D11" s="9" t="s">
        <v>255</v>
      </c>
      <c r="E11" s="9"/>
      <c r="F11" s="9">
        <f>-'Estado de Resultados'!D8</f>
        <v>-58911</v>
      </c>
      <c r="G11" s="9">
        <f>-'Estado de Resultados'!E8</f>
        <v>-96840</v>
      </c>
      <c r="H11" s="9">
        <f>-'Estado de Resultados'!F8</f>
        <v>-96840</v>
      </c>
      <c r="I11" s="9">
        <f>-'Estado de Resultados'!G8</f>
        <v>-96840</v>
      </c>
      <c r="J11" s="9">
        <f>-'Estado de Resultados'!H8</f>
        <v>-96840</v>
      </c>
    </row>
    <row r="12" spans="4:10" x14ac:dyDescent="0.2">
      <c r="D12" s="9" t="s">
        <v>256</v>
      </c>
      <c r="E12" s="9"/>
      <c r="F12" s="9">
        <f>-'Estado de Resultados'!D12</f>
        <v>-13680</v>
      </c>
      <c r="G12" s="9">
        <f>-'Estado de Resultados'!E12</f>
        <v>-13680</v>
      </c>
      <c r="H12" s="9">
        <f>-'Estado de Resultados'!F12</f>
        <v>-13680</v>
      </c>
      <c r="I12" s="9">
        <f>-'Estado de Resultados'!G12</f>
        <v>-13680</v>
      </c>
      <c r="J12" s="9">
        <f>-'Estado de Resultados'!H12</f>
        <v>-13680</v>
      </c>
    </row>
    <row r="13" spans="4:10" x14ac:dyDescent="0.2">
      <c r="D13" s="9" t="s">
        <v>65</v>
      </c>
      <c r="E13" s="9"/>
      <c r="F13" s="9">
        <f>-'Estado de Resultados'!D13</f>
        <v>-11940</v>
      </c>
      <c r="G13" s="9">
        <f>-'Estado de Resultados'!E13</f>
        <v>-11940</v>
      </c>
      <c r="H13" s="9">
        <f>-'Estado de Resultados'!F13</f>
        <v>-11940</v>
      </c>
      <c r="I13" s="9">
        <f>-'Estado de Resultados'!G13</f>
        <v>-11940</v>
      </c>
      <c r="J13" s="9">
        <f>-'Estado de Resultados'!H13</f>
        <v>-11940</v>
      </c>
    </row>
    <row r="14" spans="4:10" x14ac:dyDescent="0.2">
      <c r="D14" s="294" t="s">
        <v>266</v>
      </c>
      <c r="E14" s="9"/>
      <c r="F14" s="51">
        <f>-'Estado de Resultados'!J15</f>
        <v>-10215.18</v>
      </c>
      <c r="G14" s="51">
        <f>-'Estado de Resultados'!K15</f>
        <v>-17042.400000000001</v>
      </c>
      <c r="H14" s="51">
        <f>-'Estado de Resultados'!L15</f>
        <v>-17042.400000000001</v>
      </c>
      <c r="I14" s="51">
        <f>-'Estado de Resultados'!M15</f>
        <v>-17042.400000000001</v>
      </c>
      <c r="J14" s="51">
        <f>-'Estado de Resultados'!N15</f>
        <v>-17042.400000000001</v>
      </c>
    </row>
    <row r="15" spans="4:10" x14ac:dyDescent="0.2">
      <c r="D15" s="9" t="s">
        <v>257</v>
      </c>
      <c r="E15" s="9"/>
      <c r="F15" s="51">
        <f>-'Estado de Resultados'!D16</f>
        <v>-156.35000000000002</v>
      </c>
      <c r="G15" s="51">
        <f>-'Estado de Resultados'!E16</f>
        <v>-2003.45</v>
      </c>
      <c r="H15" s="51">
        <f>-'Estado de Resultados'!F16</f>
        <v>-2003.45</v>
      </c>
      <c r="I15" s="51">
        <f>-'Estado de Resultados'!G16</f>
        <v>-2003.45</v>
      </c>
      <c r="J15" s="51">
        <f>-'Estado de Resultados'!H16</f>
        <v>-2003.45</v>
      </c>
    </row>
    <row r="16" spans="4:10" ht="13.5" thickBot="1" x14ac:dyDescent="0.25">
      <c r="D16" s="284" t="s">
        <v>258</v>
      </c>
      <c r="E16" s="284">
        <f t="shared" ref="E16:J16" si="1">SUM(E10:E15)</f>
        <v>0</v>
      </c>
      <c r="F16" s="284">
        <f t="shared" si="1"/>
        <v>-7302.5300000000007</v>
      </c>
      <c r="G16" s="284">
        <f t="shared" si="1"/>
        <v>2494.1499999999987</v>
      </c>
      <c r="H16" s="284">
        <f t="shared" si="1"/>
        <v>2494.1499999999987</v>
      </c>
      <c r="I16" s="284">
        <f t="shared" si="1"/>
        <v>2494.1499999999987</v>
      </c>
      <c r="J16" s="284">
        <f t="shared" si="1"/>
        <v>2494.1499999999987</v>
      </c>
    </row>
    <row r="17" spans="4:10" ht="13.5" thickBot="1" x14ac:dyDescent="0.25">
      <c r="D17" s="285" t="s">
        <v>259</v>
      </c>
      <c r="E17" s="155">
        <f t="shared" ref="E17:J17" si="2">E9+E16</f>
        <v>-20697</v>
      </c>
      <c r="F17" s="155">
        <f t="shared" si="2"/>
        <v>-7302.5300000000007</v>
      </c>
      <c r="G17" s="155">
        <f t="shared" si="2"/>
        <v>2137.1499999999987</v>
      </c>
      <c r="H17" s="155">
        <f t="shared" si="2"/>
        <v>2494.1499999999987</v>
      </c>
      <c r="I17" s="155">
        <f t="shared" si="2"/>
        <v>2137.1499999999987</v>
      </c>
      <c r="J17" s="155">
        <f t="shared" si="2"/>
        <v>16377.649999999998</v>
      </c>
    </row>
    <row r="18" spans="4:10" x14ac:dyDescent="0.2">
      <c r="D18" s="61" t="s">
        <v>260</v>
      </c>
      <c r="E18" s="292">
        <f>Flujo_Deuda!E3</f>
        <v>8278.8000000000011</v>
      </c>
      <c r="F18" s="52"/>
      <c r="G18" s="52"/>
      <c r="H18" s="52"/>
      <c r="I18" s="52"/>
      <c r="J18" s="52"/>
    </row>
    <row r="19" spans="4:10" x14ac:dyDescent="0.2">
      <c r="D19" s="30" t="s">
        <v>261</v>
      </c>
      <c r="E19" s="9"/>
      <c r="F19" s="9">
        <f>-Flujo_Deuda!F13</f>
        <v>-4139.3999999999996</v>
      </c>
      <c r="G19" s="9">
        <f>-Flujo_Deuda!F38</f>
        <v>-4139.3999999999996</v>
      </c>
      <c r="H19" s="9"/>
      <c r="I19" s="9"/>
      <c r="J19" s="9"/>
    </row>
    <row r="20" spans="4:10" x14ac:dyDescent="0.2">
      <c r="D20" s="30" t="s">
        <v>262</v>
      </c>
      <c r="E20" s="9"/>
      <c r="F20" s="51">
        <f>-Flujo_Deuda!E13</f>
        <v>-1044.181580316384</v>
      </c>
      <c r="G20" s="51">
        <f>-Flujo_Deuda!E38</f>
        <v>-366.87460930035161</v>
      </c>
      <c r="H20" s="9"/>
      <c r="I20" s="9"/>
      <c r="J20" s="9"/>
    </row>
    <row r="21" spans="4:10" ht="13.5" thickBot="1" x14ac:dyDescent="0.25">
      <c r="D21" s="77" t="s">
        <v>263</v>
      </c>
      <c r="E21" s="53"/>
      <c r="F21" s="286">
        <f>-F20*Resumen!$H$11</f>
        <v>104.41815803163841</v>
      </c>
      <c r="G21" s="286">
        <f>-G20*Resumen!$H$11</f>
        <v>36.687460930035165</v>
      </c>
      <c r="H21" s="53"/>
      <c r="I21" s="53"/>
      <c r="J21" s="53"/>
    </row>
    <row r="22" spans="4:10" ht="13.5" thickBot="1" x14ac:dyDescent="0.25">
      <c r="D22" s="285" t="s">
        <v>264</v>
      </c>
      <c r="E22" s="293">
        <f t="shared" ref="E22:J22" si="3">SUM(E18:E21)</f>
        <v>8278.8000000000011</v>
      </c>
      <c r="F22" s="293">
        <f t="shared" si="3"/>
        <v>-5079.163422284746</v>
      </c>
      <c r="G22" s="293">
        <f t="shared" si="3"/>
        <v>-4469.5871483703168</v>
      </c>
      <c r="H22" s="293">
        <f t="shared" si="3"/>
        <v>0</v>
      </c>
      <c r="I22" s="293">
        <f t="shared" si="3"/>
        <v>0</v>
      </c>
      <c r="J22" s="293">
        <f t="shared" si="3"/>
        <v>0</v>
      </c>
    </row>
    <row r="23" spans="4:10" ht="13.5" thickBot="1" x14ac:dyDescent="0.25">
      <c r="D23" s="285" t="s">
        <v>265</v>
      </c>
      <c r="E23" s="155">
        <f t="shared" ref="E23:J23" si="4">E17+E22</f>
        <v>-12418.199999999999</v>
      </c>
      <c r="F23" s="155">
        <f t="shared" si="4"/>
        <v>-12381.693422284747</v>
      </c>
      <c r="G23" s="155">
        <f t="shared" si="4"/>
        <v>-2332.437148370318</v>
      </c>
      <c r="H23" s="155">
        <f t="shared" si="4"/>
        <v>2494.1499999999987</v>
      </c>
      <c r="I23" s="155">
        <f t="shared" si="4"/>
        <v>2137.1499999999987</v>
      </c>
      <c r="J23" s="155">
        <f t="shared" si="4"/>
        <v>16377.649999999998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2"/>
  <sheetViews>
    <sheetView topLeftCell="A4" zoomScale="214" zoomScaleNormal="214" workbookViewId="0">
      <selection activeCell="C12" sqref="C12"/>
    </sheetView>
  </sheetViews>
  <sheetFormatPr baseColWidth="10" defaultRowHeight="12.75" x14ac:dyDescent="0.2"/>
  <sheetData>
    <row r="4" spans="2:4" ht="18.75" x14ac:dyDescent="0.2">
      <c r="B4" s="260" t="s">
        <v>204</v>
      </c>
    </row>
    <row r="6" spans="2:4" x14ac:dyDescent="0.2">
      <c r="B6" s="11" t="s">
        <v>205</v>
      </c>
    </row>
    <row r="7" spans="2:4" x14ac:dyDescent="0.2">
      <c r="B7" s="29" t="s">
        <v>206</v>
      </c>
      <c r="C7" s="263">
        <v>4.9500000000000002E-2</v>
      </c>
      <c r="D7" s="29" t="s">
        <v>220</v>
      </c>
    </row>
    <row r="8" spans="2:4" x14ac:dyDescent="0.2">
      <c r="B8" s="261" t="s">
        <v>207</v>
      </c>
      <c r="C8">
        <v>3.28</v>
      </c>
      <c r="D8" s="29" t="s">
        <v>235</v>
      </c>
    </row>
    <row r="9" spans="2:4" x14ac:dyDescent="0.2">
      <c r="B9" s="29" t="s">
        <v>208</v>
      </c>
      <c r="C9" s="263">
        <v>4.6399999999999997E-2</v>
      </c>
      <c r="D9" s="29" t="s">
        <v>220</v>
      </c>
    </row>
    <row r="10" spans="2:4" x14ac:dyDescent="0.2">
      <c r="B10" s="29" t="s">
        <v>209</v>
      </c>
      <c r="C10" s="263">
        <v>1.7399999999999999E-2</v>
      </c>
      <c r="D10" s="29" t="s">
        <v>210</v>
      </c>
    </row>
    <row r="12" spans="2:4" x14ac:dyDescent="0.2">
      <c r="B12" s="274" t="s">
        <v>212</v>
      </c>
      <c r="C12" s="273">
        <f>C7+C8*C9+C10</f>
        <v>0.21909199999999998</v>
      </c>
      <c r="D12" s="29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tabSelected="1" topLeftCell="D4" zoomScale="196" zoomScaleNormal="196" workbookViewId="0">
      <selection activeCell="A14" sqref="A14"/>
    </sheetView>
  </sheetViews>
  <sheetFormatPr baseColWidth="10" defaultRowHeight="12.75" x14ac:dyDescent="0.2"/>
  <cols>
    <col min="2" max="2" width="14.7109375" customWidth="1"/>
  </cols>
  <sheetData>
    <row r="1" spans="2:11" ht="13.5" thickBot="1" x14ac:dyDescent="0.25"/>
    <row r="2" spans="2:11" ht="13.5" thickBot="1" x14ac:dyDescent="0.25">
      <c r="B2" s="319" t="s">
        <v>225</v>
      </c>
      <c r="C2" s="320"/>
      <c r="D2" s="320"/>
      <c r="E2" s="321"/>
      <c r="G2" s="325" t="s">
        <v>226</v>
      </c>
      <c r="H2" s="326"/>
      <c r="I2" s="326"/>
      <c r="J2" s="326"/>
      <c r="K2" s="327"/>
    </row>
    <row r="4" spans="2:11" ht="15.75" x14ac:dyDescent="0.25">
      <c r="B4" s="264" t="s">
        <v>213</v>
      </c>
      <c r="G4" s="267" t="s">
        <v>237</v>
      </c>
    </row>
    <row r="6" spans="2:11" ht="15.75" x14ac:dyDescent="0.2">
      <c r="B6" s="260" t="s">
        <v>214</v>
      </c>
      <c r="G6" s="260" t="s">
        <v>223</v>
      </c>
    </row>
    <row r="7" spans="2:11" ht="15.75" x14ac:dyDescent="0.2">
      <c r="B7" s="260" t="s">
        <v>215</v>
      </c>
      <c r="C7" s="262">
        <v>4.9500000000000002E-2</v>
      </c>
      <c r="G7" s="267" t="s">
        <v>230</v>
      </c>
      <c r="H7">
        <f>0.6</f>
        <v>0.6</v>
      </c>
    </row>
    <row r="8" spans="2:11" ht="15.75" x14ac:dyDescent="0.2">
      <c r="B8" s="265" t="s">
        <v>216</v>
      </c>
      <c r="C8" s="268">
        <f>C22</f>
        <v>3.3893333333333326</v>
      </c>
      <c r="G8" s="267" t="s">
        <v>222</v>
      </c>
      <c r="H8" s="269">
        <f>C12</f>
        <v>0.22416506666666661</v>
      </c>
    </row>
    <row r="9" spans="2:11" ht="15.75" x14ac:dyDescent="0.2">
      <c r="B9" s="260" t="s">
        <v>217</v>
      </c>
      <c r="C9" s="262">
        <v>4.6399999999999997E-2</v>
      </c>
      <c r="G9" s="267" t="s">
        <v>231</v>
      </c>
      <c r="H9">
        <f>1-H7</f>
        <v>0.4</v>
      </c>
    </row>
    <row r="10" spans="2:11" ht="15.75" x14ac:dyDescent="0.2">
      <c r="B10" s="260" t="s">
        <v>218</v>
      </c>
      <c r="C10" s="269">
        <f>Ku!C10</f>
        <v>1.7399999999999999E-2</v>
      </c>
      <c r="G10" s="267" t="s">
        <v>232</v>
      </c>
      <c r="H10" s="60">
        <f>Resumen!H10</f>
        <v>0.2</v>
      </c>
    </row>
    <row r="11" spans="2:11" ht="15.75" x14ac:dyDescent="0.2">
      <c r="B11" s="260"/>
      <c r="C11" s="269"/>
      <c r="G11" s="267" t="s">
        <v>233</v>
      </c>
      <c r="H11" s="60">
        <f>Resumen!H11</f>
        <v>0.1</v>
      </c>
    </row>
    <row r="12" spans="2:11" ht="15.75" x14ac:dyDescent="0.2">
      <c r="B12" s="270" t="s">
        <v>222</v>
      </c>
      <c r="C12" s="271">
        <f>C7+C8*(C9)+C10</f>
        <v>0.22416506666666661</v>
      </c>
      <c r="G12" s="267"/>
    </row>
    <row r="13" spans="2:11" ht="16.5" thickBot="1" x14ac:dyDescent="0.25">
      <c r="B13" s="260"/>
      <c r="C13" s="269"/>
      <c r="G13" s="270" t="s">
        <v>234</v>
      </c>
      <c r="H13" s="273">
        <f>H7*H8+H9*H10*(1-H11)</f>
        <v>0.20649903999999997</v>
      </c>
    </row>
    <row r="14" spans="2:11" ht="16.5" thickBot="1" x14ac:dyDescent="0.25">
      <c r="B14" s="322" t="s">
        <v>219</v>
      </c>
      <c r="C14" s="323"/>
      <c r="D14" s="323"/>
      <c r="E14" s="324"/>
      <c r="G14" s="266"/>
    </row>
    <row r="15" spans="2:11" ht="18.75" x14ac:dyDescent="0.2">
      <c r="B15" s="266" t="s">
        <v>236</v>
      </c>
    </row>
    <row r="16" spans="2:11" ht="15.75" x14ac:dyDescent="0.2">
      <c r="B16" s="260" t="s">
        <v>224</v>
      </c>
    </row>
    <row r="17" spans="2:4" ht="15.75" x14ac:dyDescent="0.2">
      <c r="B17" s="265"/>
    </row>
    <row r="18" spans="2:4" ht="19.5" x14ac:dyDescent="0.2">
      <c r="B18" s="265" t="s">
        <v>227</v>
      </c>
      <c r="C18">
        <v>3.28</v>
      </c>
    </row>
    <row r="19" spans="2:4" ht="18.75" x14ac:dyDescent="0.2">
      <c r="B19" s="260" t="s">
        <v>228</v>
      </c>
      <c r="C19">
        <f>0.4/0.6</f>
        <v>0.66666666666666674</v>
      </c>
    </row>
    <row r="20" spans="2:4" ht="15.75" x14ac:dyDescent="0.2">
      <c r="B20" s="260" t="s">
        <v>229</v>
      </c>
      <c r="C20">
        <v>0.1</v>
      </c>
      <c r="D20" s="272"/>
    </row>
    <row r="22" spans="2:4" ht="15.75" x14ac:dyDescent="0.2">
      <c r="B22" s="260" t="s">
        <v>221</v>
      </c>
      <c r="C22" s="268">
        <f>C18*(1+ C20*(1-C19))</f>
        <v>3.3893333333333326</v>
      </c>
    </row>
  </sheetData>
  <mergeCells count="3">
    <mergeCell ref="B2:E2"/>
    <mergeCell ref="B14:E14"/>
    <mergeCell ref="G2:K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O11"/>
  <sheetViews>
    <sheetView zoomScale="154" zoomScaleNormal="154" workbookViewId="0">
      <selection activeCell="M7" sqref="M7"/>
    </sheetView>
  </sheetViews>
  <sheetFormatPr baseColWidth="10" defaultRowHeight="12.75" x14ac:dyDescent="0.2"/>
  <cols>
    <col min="1" max="1" width="6.28515625" customWidth="1"/>
    <col min="2" max="2" width="5.7109375" customWidth="1"/>
    <col min="3" max="3" width="6.5703125" style="3" customWidth="1"/>
    <col min="4" max="4" width="8" style="3" customWidth="1"/>
    <col min="5" max="5" width="7.5703125" style="3" customWidth="1"/>
    <col min="6" max="6" width="8" style="3" customWidth="1"/>
    <col min="7" max="7" width="7.85546875" style="3" customWidth="1"/>
    <col min="8" max="8" width="7.5703125" style="3" customWidth="1"/>
    <col min="9" max="9" width="8" style="3" customWidth="1"/>
    <col min="10" max="10" width="8.85546875" style="3" customWidth="1"/>
    <col min="11" max="12" width="8.140625" style="3" customWidth="1"/>
    <col min="13" max="13" width="7.42578125" style="3" customWidth="1"/>
    <col min="14" max="14" width="8.28515625" style="3" customWidth="1"/>
    <col min="15" max="15" width="8.42578125" style="3" customWidth="1"/>
    <col min="16" max="16" width="8.5703125" customWidth="1"/>
  </cols>
  <sheetData>
    <row r="4" spans="2:15" x14ac:dyDescent="0.2">
      <c r="B4" s="11" t="s">
        <v>13</v>
      </c>
    </row>
    <row r="5" spans="2:15" ht="13.5" thickBot="1" x14ac:dyDescent="0.25"/>
    <row r="6" spans="2:15" s="1" customFormat="1" ht="24.95" customHeight="1" thickBot="1" x14ac:dyDescent="0.25">
      <c r="B6" s="135" t="s">
        <v>70</v>
      </c>
      <c r="C6" s="136" t="s">
        <v>0</v>
      </c>
      <c r="D6" s="136" t="s">
        <v>1</v>
      </c>
      <c r="E6" s="136" t="s">
        <v>2</v>
      </c>
      <c r="F6" s="136" t="s">
        <v>3</v>
      </c>
      <c r="G6" s="136" t="s">
        <v>4</v>
      </c>
      <c r="H6" s="136" t="s">
        <v>5</v>
      </c>
      <c r="I6" s="136" t="s">
        <v>6</v>
      </c>
      <c r="J6" s="136" t="s">
        <v>7</v>
      </c>
      <c r="K6" s="136" t="s">
        <v>8</v>
      </c>
      <c r="L6" s="136" t="s">
        <v>9</v>
      </c>
      <c r="M6" s="136" t="s">
        <v>10</v>
      </c>
      <c r="N6" s="136" t="s">
        <v>11</v>
      </c>
      <c r="O6" s="137" t="s">
        <v>12</v>
      </c>
    </row>
    <row r="7" spans="2:15" s="1" customFormat="1" ht="15" customHeight="1" x14ac:dyDescent="0.2">
      <c r="B7" s="182">
        <v>1</v>
      </c>
      <c r="C7" s="277">
        <v>100</v>
      </c>
      <c r="D7" s="4">
        <v>200</v>
      </c>
      <c r="E7" s="4">
        <v>300</v>
      </c>
      <c r="F7" s="4">
        <v>400</v>
      </c>
      <c r="G7" s="4">
        <v>500</v>
      </c>
      <c r="H7" s="4">
        <v>600</v>
      </c>
      <c r="I7" s="4">
        <v>700</v>
      </c>
      <c r="J7" s="4">
        <v>800</v>
      </c>
      <c r="K7" s="4">
        <v>800</v>
      </c>
      <c r="L7" s="4">
        <v>900</v>
      </c>
      <c r="M7" s="4">
        <v>1000</v>
      </c>
      <c r="N7" s="4">
        <v>1000</v>
      </c>
      <c r="O7" s="5">
        <f>SUM(C7:N7)</f>
        <v>7300</v>
      </c>
    </row>
    <row r="8" spans="2:15" s="1" customFormat="1" ht="18.75" customHeight="1" x14ac:dyDescent="0.2">
      <c r="B8" s="89">
        <v>2</v>
      </c>
      <c r="C8" s="28">
        <v>1000</v>
      </c>
      <c r="D8" s="28">
        <v>1000</v>
      </c>
      <c r="E8" s="28">
        <v>1000</v>
      </c>
      <c r="F8" s="28">
        <v>1000</v>
      </c>
      <c r="G8" s="28">
        <v>1000</v>
      </c>
      <c r="H8" s="28">
        <v>1000</v>
      </c>
      <c r="I8" s="28">
        <v>1000</v>
      </c>
      <c r="J8" s="28">
        <v>1000</v>
      </c>
      <c r="K8" s="28">
        <v>1000</v>
      </c>
      <c r="L8" s="28">
        <v>1000</v>
      </c>
      <c r="M8" s="28">
        <v>1000</v>
      </c>
      <c r="N8" s="28">
        <v>1000</v>
      </c>
      <c r="O8" s="171">
        <f>SUM(C8:N8)</f>
        <v>12000</v>
      </c>
    </row>
    <row r="9" spans="2:15" x14ac:dyDescent="0.2">
      <c r="B9" s="89">
        <v>3</v>
      </c>
      <c r="C9" s="28">
        <v>1000</v>
      </c>
      <c r="D9" s="28">
        <v>1000</v>
      </c>
      <c r="E9" s="28">
        <v>1000</v>
      </c>
      <c r="F9" s="28">
        <v>1000</v>
      </c>
      <c r="G9" s="28">
        <v>1000</v>
      </c>
      <c r="H9" s="28">
        <v>1000</v>
      </c>
      <c r="I9" s="28">
        <v>1000</v>
      </c>
      <c r="J9" s="28">
        <v>1000</v>
      </c>
      <c r="K9" s="28">
        <v>1000</v>
      </c>
      <c r="L9" s="28">
        <v>1000</v>
      </c>
      <c r="M9" s="28">
        <v>1000</v>
      </c>
      <c r="N9" s="28">
        <v>1000</v>
      </c>
      <c r="O9" s="171">
        <f>SUM(C9:N9)</f>
        <v>12000</v>
      </c>
    </row>
    <row r="10" spans="2:15" x14ac:dyDescent="0.2">
      <c r="B10" s="89">
        <v>4</v>
      </c>
      <c r="C10" s="28">
        <v>1000</v>
      </c>
      <c r="D10" s="28">
        <v>1000</v>
      </c>
      <c r="E10" s="28">
        <v>1000</v>
      </c>
      <c r="F10" s="28">
        <v>1000</v>
      </c>
      <c r="G10" s="28">
        <v>1000</v>
      </c>
      <c r="H10" s="28">
        <v>1000</v>
      </c>
      <c r="I10" s="28">
        <v>1000</v>
      </c>
      <c r="J10" s="28">
        <v>1000</v>
      </c>
      <c r="K10" s="28">
        <v>1000</v>
      </c>
      <c r="L10" s="28">
        <v>1000</v>
      </c>
      <c r="M10" s="28">
        <v>1000</v>
      </c>
      <c r="N10" s="28">
        <v>1000</v>
      </c>
      <c r="O10" s="171">
        <f>SUM(C10:N10)</f>
        <v>12000</v>
      </c>
    </row>
    <row r="11" spans="2:15" ht="13.5" thickBot="1" x14ac:dyDescent="0.25">
      <c r="B11" s="183">
        <v>5</v>
      </c>
      <c r="C11" s="172">
        <v>1000</v>
      </c>
      <c r="D11" s="172">
        <v>1000</v>
      </c>
      <c r="E11" s="172">
        <v>1000</v>
      </c>
      <c r="F11" s="172">
        <v>1000</v>
      </c>
      <c r="G11" s="172">
        <v>1000</v>
      </c>
      <c r="H11" s="172">
        <v>1000</v>
      </c>
      <c r="I11" s="172">
        <v>1000</v>
      </c>
      <c r="J11" s="172">
        <v>1000</v>
      </c>
      <c r="K11" s="172">
        <v>1000</v>
      </c>
      <c r="L11" s="172">
        <v>1000</v>
      </c>
      <c r="M11" s="172">
        <v>1000</v>
      </c>
      <c r="N11" s="172">
        <v>1000</v>
      </c>
      <c r="O11" s="173">
        <f>SUM(C11:N11)</f>
        <v>12000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P13"/>
  <sheetViews>
    <sheetView topLeftCell="B7" workbookViewId="0">
      <selection activeCell="C12" sqref="C12"/>
    </sheetView>
  </sheetViews>
  <sheetFormatPr baseColWidth="10" defaultRowHeight="12.75" x14ac:dyDescent="0.2"/>
  <cols>
    <col min="1" max="1" width="6.28515625" customWidth="1"/>
    <col min="2" max="2" width="5.7109375" customWidth="1"/>
    <col min="3" max="3" width="6.5703125" style="3" customWidth="1"/>
    <col min="4" max="4" width="8" style="3" customWidth="1"/>
    <col min="5" max="5" width="7.5703125" style="3" customWidth="1"/>
    <col min="6" max="6" width="8" style="3" customWidth="1"/>
    <col min="7" max="7" width="7.85546875" style="3" customWidth="1"/>
    <col min="8" max="8" width="7.5703125" style="3" customWidth="1"/>
    <col min="9" max="9" width="8" style="3" customWidth="1"/>
    <col min="10" max="10" width="8.85546875" style="3" customWidth="1"/>
    <col min="11" max="12" width="8.140625" style="3" customWidth="1"/>
    <col min="13" max="13" width="7.42578125" style="3" customWidth="1"/>
    <col min="14" max="14" width="8.28515625" style="3" customWidth="1"/>
    <col min="15" max="15" width="8.42578125" style="3" customWidth="1"/>
    <col min="16" max="16" width="8.5703125" customWidth="1"/>
  </cols>
  <sheetData>
    <row r="5" spans="1:16" x14ac:dyDescent="0.2">
      <c r="B5" s="304" t="s">
        <v>239</v>
      </c>
      <c r="C5" s="304"/>
      <c r="D5" s="304"/>
      <c r="E5" s="304"/>
      <c r="F5" s="304"/>
      <c r="G5" s="304"/>
      <c r="H5" s="304"/>
      <c r="I5" s="304"/>
      <c r="J5" s="304"/>
      <c r="K5" s="304"/>
      <c r="L5" s="304"/>
      <c r="M5" s="304"/>
      <c r="N5" s="304"/>
      <c r="O5" s="304"/>
      <c r="P5" s="304"/>
    </row>
    <row r="6" spans="1:16" ht="13.5" thickBot="1" x14ac:dyDescent="0.25"/>
    <row r="7" spans="1:16" ht="24.95" customHeight="1" thickBot="1" x14ac:dyDescent="0.25">
      <c r="A7" s="29"/>
      <c r="B7" s="135" t="s">
        <v>70</v>
      </c>
      <c r="C7" s="136" t="s">
        <v>238</v>
      </c>
      <c r="D7" s="136" t="s">
        <v>0</v>
      </c>
      <c r="E7" s="136" t="s">
        <v>1</v>
      </c>
      <c r="F7" s="136" t="s">
        <v>2</v>
      </c>
      <c r="G7" s="136" t="s">
        <v>3</v>
      </c>
      <c r="H7" s="136" t="s">
        <v>4</v>
      </c>
      <c r="I7" s="136" t="s">
        <v>5</v>
      </c>
      <c r="J7" s="136" t="s">
        <v>6</v>
      </c>
      <c r="K7" s="136" t="s">
        <v>7</v>
      </c>
      <c r="L7" s="136" t="s">
        <v>8</v>
      </c>
      <c r="M7" s="136" t="s">
        <v>9</v>
      </c>
      <c r="N7" s="136" t="s">
        <v>10</v>
      </c>
      <c r="O7" s="136" t="s">
        <v>11</v>
      </c>
      <c r="P7" s="137" t="s">
        <v>12</v>
      </c>
    </row>
    <row r="8" spans="1:16" ht="15" customHeight="1" thickBot="1" x14ac:dyDescent="0.25">
      <c r="A8" s="3"/>
      <c r="B8" s="166">
        <v>1</v>
      </c>
      <c r="C8" s="167">
        <f>Resumen!$H$13</f>
        <v>12</v>
      </c>
      <c r="D8" s="167">
        <f>Ventas_Unidades!C7*$C$8</f>
        <v>1200</v>
      </c>
      <c r="E8" s="167">
        <f>Ventas_Unidades!D7*$C$8</f>
        <v>2400</v>
      </c>
      <c r="F8" s="167">
        <f>Ventas_Unidades!E7*$C$8</f>
        <v>3600</v>
      </c>
      <c r="G8" s="167">
        <f>Ventas_Unidades!F7*$C$8</f>
        <v>4800</v>
      </c>
      <c r="H8" s="167">
        <f>Ventas_Unidades!G7*$C$8</f>
        <v>6000</v>
      </c>
      <c r="I8" s="167">
        <f>Ventas_Unidades!H7*$C$8</f>
        <v>7200</v>
      </c>
      <c r="J8" s="167">
        <f>Ventas_Unidades!I7*$C$8</f>
        <v>8400</v>
      </c>
      <c r="K8" s="167">
        <f>Ventas_Unidades!J7*$C$8</f>
        <v>9600</v>
      </c>
      <c r="L8" s="167">
        <f>Ventas_Unidades!K7*$C$8</f>
        <v>9600</v>
      </c>
      <c r="M8" s="167">
        <f>Ventas_Unidades!L7*$C$8</f>
        <v>10800</v>
      </c>
      <c r="N8" s="167">
        <f>Ventas_Unidades!M7*$C$8</f>
        <v>12000</v>
      </c>
      <c r="O8" s="167">
        <f>Ventas_Unidades!N7*$C$8</f>
        <v>12000</v>
      </c>
      <c r="P8" s="168">
        <f>SUM(D8:O8)</f>
        <v>87600</v>
      </c>
    </row>
    <row r="9" spans="1:16" ht="15" customHeight="1" thickBot="1" x14ac:dyDescent="0.25">
      <c r="A9" s="3"/>
      <c r="B9" s="89">
        <v>2</v>
      </c>
      <c r="C9" s="167">
        <f>Resumen!$H$13</f>
        <v>12</v>
      </c>
      <c r="D9" s="48">
        <f>Ventas_Unidades!C8*$C$9</f>
        <v>12000</v>
      </c>
      <c r="E9" s="48">
        <f>Ventas_Unidades!D8*$C$9</f>
        <v>12000</v>
      </c>
      <c r="F9" s="48">
        <f>Ventas_Unidades!E8*$C$9</f>
        <v>12000</v>
      </c>
      <c r="G9" s="48">
        <f>Ventas_Unidades!F8*$C$9</f>
        <v>12000</v>
      </c>
      <c r="H9" s="48">
        <f>Ventas_Unidades!G8*$C$9</f>
        <v>12000</v>
      </c>
      <c r="I9" s="48">
        <f>Ventas_Unidades!H8*$C$9</f>
        <v>12000</v>
      </c>
      <c r="J9" s="48">
        <f>Ventas_Unidades!I8*$C$9</f>
        <v>12000</v>
      </c>
      <c r="K9" s="48">
        <f>Ventas_Unidades!J8*$C$9</f>
        <v>12000</v>
      </c>
      <c r="L9" s="48">
        <f>Ventas_Unidades!K8*$C$9</f>
        <v>12000</v>
      </c>
      <c r="M9" s="48">
        <f>Ventas_Unidades!L8*$C$9</f>
        <v>12000</v>
      </c>
      <c r="N9" s="48">
        <f>Ventas_Unidades!M8*$C$9</f>
        <v>12000</v>
      </c>
      <c r="O9" s="48">
        <f>Ventas_Unidades!N8*$C$9</f>
        <v>12000</v>
      </c>
      <c r="P9" s="88">
        <f>SUM(D9:O9)</f>
        <v>144000</v>
      </c>
    </row>
    <row r="10" spans="1:16" ht="15.75" customHeight="1" thickBot="1" x14ac:dyDescent="0.25">
      <c r="B10" s="89">
        <v>3</v>
      </c>
      <c r="C10" s="167">
        <f>Resumen!$H$13</f>
        <v>12</v>
      </c>
      <c r="D10" s="48">
        <f>Ventas_Unidades!C9*$C$10</f>
        <v>12000</v>
      </c>
      <c r="E10" s="48">
        <f>Ventas_Unidades!D9*$C$10</f>
        <v>12000</v>
      </c>
      <c r="F10" s="48">
        <f>Ventas_Unidades!E9*$C$10</f>
        <v>12000</v>
      </c>
      <c r="G10" s="48">
        <f>Ventas_Unidades!F9*$C$10</f>
        <v>12000</v>
      </c>
      <c r="H10" s="48">
        <f>Ventas_Unidades!G9*$C$10</f>
        <v>12000</v>
      </c>
      <c r="I10" s="48">
        <f>Ventas_Unidades!H9*$C$10</f>
        <v>12000</v>
      </c>
      <c r="J10" s="48">
        <f>Ventas_Unidades!I9*$C$10</f>
        <v>12000</v>
      </c>
      <c r="K10" s="48">
        <f>Ventas_Unidades!J9*$C$10</f>
        <v>12000</v>
      </c>
      <c r="L10" s="48">
        <f>Ventas_Unidades!K9*$C$10</f>
        <v>12000</v>
      </c>
      <c r="M10" s="48">
        <f>Ventas_Unidades!L9*$C$10</f>
        <v>12000</v>
      </c>
      <c r="N10" s="48">
        <f>Ventas_Unidades!M9*$C$10</f>
        <v>12000</v>
      </c>
      <c r="O10" s="48">
        <f>Ventas_Unidades!N9*$C$10</f>
        <v>12000</v>
      </c>
      <c r="P10" s="88">
        <f>SUM(D10:O10)</f>
        <v>144000</v>
      </c>
    </row>
    <row r="11" spans="1:16" ht="13.5" thickBot="1" x14ac:dyDescent="0.25">
      <c r="B11" s="169">
        <v>4</v>
      </c>
      <c r="C11" s="167">
        <f>Resumen!$H$13</f>
        <v>12</v>
      </c>
      <c r="D11" s="48">
        <f>Ventas_Unidades!C10*$C$11</f>
        <v>12000</v>
      </c>
      <c r="E11" s="48">
        <f>Ventas_Unidades!D10*$C$11</f>
        <v>12000</v>
      </c>
      <c r="F11" s="48">
        <f>Ventas_Unidades!E10*$C$11</f>
        <v>12000</v>
      </c>
      <c r="G11" s="48">
        <f>Ventas_Unidades!F10*$C$11</f>
        <v>12000</v>
      </c>
      <c r="H11" s="48">
        <f>Ventas_Unidades!G10*$C$11</f>
        <v>12000</v>
      </c>
      <c r="I11" s="48">
        <f>Ventas_Unidades!H10*$C$11</f>
        <v>12000</v>
      </c>
      <c r="J11" s="48">
        <f>Ventas_Unidades!I10*$C$11</f>
        <v>12000</v>
      </c>
      <c r="K11" s="48">
        <f>Ventas_Unidades!J10*$C$11</f>
        <v>12000</v>
      </c>
      <c r="L11" s="48">
        <f>Ventas_Unidades!K10*$C$11</f>
        <v>12000</v>
      </c>
      <c r="M11" s="48">
        <f>Ventas_Unidades!L10*$C$11</f>
        <v>12000</v>
      </c>
      <c r="N11" s="48">
        <f>Ventas_Unidades!M10*$C$11</f>
        <v>12000</v>
      </c>
      <c r="O11" s="48">
        <f>Ventas_Unidades!N10*$C$11</f>
        <v>12000</v>
      </c>
      <c r="P11" s="88">
        <f>SUM(D11:O11)</f>
        <v>144000</v>
      </c>
    </row>
    <row r="12" spans="1:16" ht="13.5" thickBot="1" x14ac:dyDescent="0.25">
      <c r="B12" s="170">
        <v>5</v>
      </c>
      <c r="C12" s="167">
        <f>Resumen!$H$13</f>
        <v>12</v>
      </c>
      <c r="D12" s="48">
        <f>Ventas_Unidades!C11*$C$12</f>
        <v>12000</v>
      </c>
      <c r="E12" s="48">
        <f>Ventas_Unidades!D11*$C$12</f>
        <v>12000</v>
      </c>
      <c r="F12" s="48">
        <f>Ventas_Unidades!E11*$C$12</f>
        <v>12000</v>
      </c>
      <c r="G12" s="48">
        <f>Ventas_Unidades!F11*$C$12</f>
        <v>12000</v>
      </c>
      <c r="H12" s="48">
        <f>Ventas_Unidades!G11*$C$12</f>
        <v>12000</v>
      </c>
      <c r="I12" s="48">
        <f>Ventas_Unidades!H11*$C$12</f>
        <v>12000</v>
      </c>
      <c r="J12" s="48">
        <f>Ventas_Unidades!I11*$C$12</f>
        <v>12000</v>
      </c>
      <c r="K12" s="48">
        <f>Ventas_Unidades!J11*$C$12</f>
        <v>12000</v>
      </c>
      <c r="L12" s="48">
        <f>Ventas_Unidades!K11*$C$12</f>
        <v>12000</v>
      </c>
      <c r="M12" s="48">
        <f>Ventas_Unidades!L11*$C$12</f>
        <v>12000</v>
      </c>
      <c r="N12" s="48">
        <f>Ventas_Unidades!M11*$C$12</f>
        <v>12000</v>
      </c>
      <c r="O12" s="48">
        <f>Ventas_Unidades!N11*$C$12</f>
        <v>12000</v>
      </c>
      <c r="P12" s="88">
        <f>SUM(D12:O12)</f>
        <v>144000</v>
      </c>
    </row>
    <row r="13" spans="1:16" x14ac:dyDescent="0.2">
      <c r="B13" t="s">
        <v>240</v>
      </c>
    </row>
  </sheetData>
  <mergeCells count="1">
    <mergeCell ref="B5:P5"/>
  </mergeCells>
  <phoneticPr fontId="3" type="noConversion"/>
  <pageMargins left="0.75" right="0.75" top="1" bottom="1" header="0" footer="0"/>
  <pageSetup paperSize="9" orientation="portrait" horizontalDpi="4294967295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6"/>
  <sheetViews>
    <sheetView topLeftCell="B12" zoomScale="130" zoomScaleNormal="130" workbookViewId="0">
      <selection activeCell="L36" sqref="L36"/>
    </sheetView>
  </sheetViews>
  <sheetFormatPr baseColWidth="10" defaultRowHeight="12.75" x14ac:dyDescent="0.2"/>
  <cols>
    <col min="1" max="1" width="4.5703125" customWidth="1"/>
    <col min="2" max="2" width="27.42578125" customWidth="1"/>
    <col min="3" max="3" width="9" style="22" customWidth="1"/>
    <col min="6" max="6" width="8.28515625" customWidth="1"/>
    <col min="7" max="7" width="5.85546875" customWidth="1"/>
    <col min="8" max="8" width="27.7109375" customWidth="1"/>
    <col min="9" max="9" width="9.7109375" customWidth="1"/>
    <col min="10" max="11" width="10.28515625" customWidth="1"/>
  </cols>
  <sheetData>
    <row r="1" spans="2:12" x14ac:dyDescent="0.2">
      <c r="B1" s="305" t="s">
        <v>169</v>
      </c>
      <c r="C1" s="305"/>
      <c r="D1" s="305"/>
      <c r="E1" s="305"/>
      <c r="F1" s="305"/>
      <c r="G1" s="6"/>
      <c r="H1" s="305" t="s">
        <v>169</v>
      </c>
      <c r="I1" s="305"/>
      <c r="J1" s="305"/>
      <c r="K1" s="305"/>
      <c r="L1" s="305"/>
    </row>
    <row r="2" spans="2:12" ht="13.5" thickBot="1" x14ac:dyDescent="0.25">
      <c r="B2" s="6"/>
      <c r="C2" s="16"/>
      <c r="D2" s="6"/>
      <c r="E2" s="6"/>
      <c r="F2" s="6"/>
      <c r="G2" s="6"/>
      <c r="H2" s="6"/>
      <c r="I2" s="16"/>
      <c r="J2" s="6"/>
      <c r="K2" s="6"/>
      <c r="L2" s="6"/>
    </row>
    <row r="3" spans="2:12" s="2" customFormat="1" ht="25.5" customHeight="1" thickBot="1" x14ac:dyDescent="0.25">
      <c r="B3" s="122" t="s">
        <v>14</v>
      </c>
      <c r="C3" s="123" t="s">
        <v>15</v>
      </c>
      <c r="D3" s="123" t="s">
        <v>16</v>
      </c>
      <c r="E3" s="123" t="s">
        <v>120</v>
      </c>
      <c r="F3" s="124" t="s">
        <v>17</v>
      </c>
      <c r="G3" s="7"/>
      <c r="H3" s="122" t="s">
        <v>14</v>
      </c>
      <c r="I3" s="123" t="s">
        <v>15</v>
      </c>
      <c r="J3" s="123" t="s">
        <v>16</v>
      </c>
      <c r="K3" s="123" t="s">
        <v>120</v>
      </c>
      <c r="L3" s="124" t="s">
        <v>17</v>
      </c>
    </row>
    <row r="4" spans="2:12" s="2" customFormat="1" ht="12.75" hidden="1" customHeight="1" thickBot="1" x14ac:dyDescent="0.25">
      <c r="B4" s="41" t="s">
        <v>77</v>
      </c>
      <c r="C4" s="45"/>
      <c r="D4" s="46"/>
      <c r="E4" s="46"/>
      <c r="F4" s="47">
        <f>F29+F34</f>
        <v>10492</v>
      </c>
      <c r="G4" s="7"/>
      <c r="H4" s="41" t="s">
        <v>77</v>
      </c>
      <c r="I4" s="45"/>
      <c r="J4" s="46"/>
      <c r="K4" s="46"/>
      <c r="L4" s="47">
        <f>L29+L34</f>
        <v>10492</v>
      </c>
    </row>
    <row r="5" spans="2:12" ht="12.75" hidden="1" customHeight="1" thickBot="1" x14ac:dyDescent="0.25">
      <c r="B5" s="99" t="s">
        <v>78</v>
      </c>
      <c r="C5" s="100"/>
      <c r="D5" s="101"/>
      <c r="E5" s="101"/>
      <c r="F5" s="102"/>
      <c r="H5" s="99" t="s">
        <v>78</v>
      </c>
      <c r="I5" s="100"/>
      <c r="J5" s="101"/>
      <c r="K5" s="101"/>
      <c r="L5" s="102"/>
    </row>
    <row r="6" spans="2:12" ht="13.5" customHeight="1" thickBot="1" x14ac:dyDescent="0.25">
      <c r="B6" s="107" t="s">
        <v>33</v>
      </c>
      <c r="C6" s="108"/>
      <c r="D6" s="109"/>
      <c r="E6" s="118"/>
      <c r="F6" s="120">
        <f>SUM(F7:F9)</f>
        <v>7000</v>
      </c>
      <c r="H6" s="107" t="s">
        <v>33</v>
      </c>
      <c r="I6" s="108"/>
      <c r="J6" s="109"/>
      <c r="K6" s="118"/>
      <c r="L6" s="120">
        <f>SUM(L7:L9)</f>
        <v>7000</v>
      </c>
    </row>
    <row r="7" spans="2:12" ht="11.25" customHeight="1" x14ac:dyDescent="0.2">
      <c r="B7" s="110" t="s">
        <v>34</v>
      </c>
      <c r="C7" s="87">
        <v>5000</v>
      </c>
      <c r="D7" s="86">
        <v>1</v>
      </c>
      <c r="E7" s="86" t="s">
        <v>121</v>
      </c>
      <c r="F7" s="119">
        <f>C7*D7</f>
        <v>5000</v>
      </c>
      <c r="H7" s="110" t="s">
        <v>34</v>
      </c>
      <c r="I7" s="87">
        <v>5000</v>
      </c>
      <c r="J7" s="86">
        <v>1</v>
      </c>
      <c r="K7" s="86" t="s">
        <v>121</v>
      </c>
      <c r="L7" s="119">
        <f>I7*J7</f>
        <v>5000</v>
      </c>
    </row>
    <row r="8" spans="2:12" ht="11.25" customHeight="1" x14ac:dyDescent="0.2">
      <c r="B8" s="110" t="s">
        <v>35</v>
      </c>
      <c r="C8" s="87">
        <v>1000</v>
      </c>
      <c r="D8" s="86">
        <v>1</v>
      </c>
      <c r="E8" s="86" t="s">
        <v>26</v>
      </c>
      <c r="F8" s="111">
        <f>C8*D8</f>
        <v>1000</v>
      </c>
      <c r="H8" s="110" t="s">
        <v>35</v>
      </c>
      <c r="I8" s="87">
        <v>1000</v>
      </c>
      <c r="J8" s="86">
        <v>1</v>
      </c>
      <c r="K8" s="86" t="s">
        <v>26</v>
      </c>
      <c r="L8" s="111">
        <f>I8*J8</f>
        <v>1000</v>
      </c>
    </row>
    <row r="9" spans="2:12" ht="10.5" customHeight="1" x14ac:dyDescent="0.2">
      <c r="B9" s="110" t="s">
        <v>36</v>
      </c>
      <c r="C9" s="87">
        <v>1000</v>
      </c>
      <c r="D9" s="86">
        <v>1</v>
      </c>
      <c r="E9" s="86" t="s">
        <v>26</v>
      </c>
      <c r="F9" s="111">
        <f>C9*D9</f>
        <v>1000</v>
      </c>
      <c r="H9" s="110" t="s">
        <v>36</v>
      </c>
      <c r="I9" s="87">
        <v>1000</v>
      </c>
      <c r="J9" s="86">
        <v>1</v>
      </c>
      <c r="K9" s="86" t="s">
        <v>26</v>
      </c>
      <c r="L9" s="111">
        <f>I9*J9</f>
        <v>1000</v>
      </c>
    </row>
    <row r="10" spans="2:12" ht="12.75" customHeight="1" x14ac:dyDescent="0.2">
      <c r="B10" s="112" t="s">
        <v>18</v>
      </c>
      <c r="C10" s="87"/>
      <c r="D10" s="86"/>
      <c r="E10" s="86"/>
      <c r="F10" s="121">
        <f>SUM(F11:F13)</f>
        <v>590</v>
      </c>
      <c r="H10" s="112" t="s">
        <v>18</v>
      </c>
      <c r="I10" s="87"/>
      <c r="J10" s="86"/>
      <c r="K10" s="86"/>
      <c r="L10" s="121">
        <f>SUM(L11:L13)</f>
        <v>590</v>
      </c>
    </row>
    <row r="11" spans="2:12" ht="12" customHeight="1" x14ac:dyDescent="0.2">
      <c r="B11" s="110" t="s">
        <v>27</v>
      </c>
      <c r="C11" s="87">
        <v>50</v>
      </c>
      <c r="D11" s="86">
        <v>1</v>
      </c>
      <c r="E11" s="86" t="s">
        <v>26</v>
      </c>
      <c r="F11" s="111">
        <f>C11*D11</f>
        <v>50</v>
      </c>
      <c r="H11" s="110" t="s">
        <v>27</v>
      </c>
      <c r="I11" s="87">
        <v>50</v>
      </c>
      <c r="J11" s="86">
        <v>1</v>
      </c>
      <c r="K11" s="86" t="s">
        <v>26</v>
      </c>
      <c r="L11" s="111">
        <f>I11*J11</f>
        <v>50</v>
      </c>
    </row>
    <row r="12" spans="2:12" ht="13.5" customHeight="1" x14ac:dyDescent="0.2">
      <c r="B12" s="110" t="s">
        <v>37</v>
      </c>
      <c r="C12" s="87">
        <v>40</v>
      </c>
      <c r="D12" s="86">
        <v>1</v>
      </c>
      <c r="E12" s="86" t="s">
        <v>26</v>
      </c>
      <c r="F12" s="111">
        <f>C12*D12</f>
        <v>40</v>
      </c>
      <c r="H12" s="110" t="s">
        <v>37</v>
      </c>
      <c r="I12" s="87">
        <v>40</v>
      </c>
      <c r="J12" s="86">
        <v>1</v>
      </c>
      <c r="K12" s="86" t="s">
        <v>26</v>
      </c>
      <c r="L12" s="111">
        <f>I12*J12</f>
        <v>40</v>
      </c>
    </row>
    <row r="13" spans="2:12" ht="11.25" customHeight="1" x14ac:dyDescent="0.2">
      <c r="B13" s="110" t="s">
        <v>38</v>
      </c>
      <c r="C13" s="87">
        <v>500</v>
      </c>
      <c r="D13" s="86">
        <v>1</v>
      </c>
      <c r="E13" s="86" t="s">
        <v>26</v>
      </c>
      <c r="F13" s="111">
        <f>C13*D13</f>
        <v>500</v>
      </c>
      <c r="H13" s="110" t="s">
        <v>38</v>
      </c>
      <c r="I13" s="87">
        <v>500</v>
      </c>
      <c r="J13" s="86">
        <v>1</v>
      </c>
      <c r="K13" s="86" t="s">
        <v>26</v>
      </c>
      <c r="L13" s="111">
        <f>I13*J13</f>
        <v>500</v>
      </c>
    </row>
    <row r="14" spans="2:12" ht="12" customHeight="1" x14ac:dyDescent="0.2">
      <c r="B14" s="112" t="s">
        <v>156</v>
      </c>
      <c r="C14" s="87"/>
      <c r="D14" s="86"/>
      <c r="E14" s="86"/>
      <c r="F14" s="121">
        <f>SUM(F15:F23)</f>
        <v>357</v>
      </c>
      <c r="H14" s="112" t="s">
        <v>156</v>
      </c>
      <c r="I14" s="87"/>
      <c r="J14" s="86"/>
      <c r="K14" s="86"/>
      <c r="L14" s="121">
        <f>SUM(L15:L23)</f>
        <v>357</v>
      </c>
    </row>
    <row r="15" spans="2:12" ht="12" customHeight="1" x14ac:dyDescent="0.2">
      <c r="B15" s="110" t="s">
        <v>39</v>
      </c>
      <c r="C15" s="87">
        <v>15</v>
      </c>
      <c r="D15" s="86">
        <v>2</v>
      </c>
      <c r="E15" s="86" t="s">
        <v>26</v>
      </c>
      <c r="F15" s="111">
        <f t="shared" ref="F15:F23" si="0">C15*D15</f>
        <v>30</v>
      </c>
      <c r="H15" s="110" t="s">
        <v>39</v>
      </c>
      <c r="I15" s="87">
        <v>15</v>
      </c>
      <c r="J15" s="86">
        <v>2</v>
      </c>
      <c r="K15" s="86" t="s">
        <v>26</v>
      </c>
      <c r="L15" s="111">
        <f t="shared" ref="L15:L23" si="1">I15*J15</f>
        <v>30</v>
      </c>
    </row>
    <row r="16" spans="2:12" ht="13.5" customHeight="1" x14ac:dyDescent="0.2">
      <c r="B16" s="110" t="s">
        <v>40</v>
      </c>
      <c r="C16" s="87">
        <v>10</v>
      </c>
      <c r="D16" s="86">
        <v>2</v>
      </c>
      <c r="E16" s="86" t="s">
        <v>26</v>
      </c>
      <c r="F16" s="111">
        <f t="shared" si="0"/>
        <v>20</v>
      </c>
      <c r="H16" s="110" t="s">
        <v>40</v>
      </c>
      <c r="I16" s="87">
        <v>10</v>
      </c>
      <c r="J16" s="86">
        <v>2</v>
      </c>
      <c r="K16" s="86" t="s">
        <v>26</v>
      </c>
      <c r="L16" s="111">
        <f t="shared" si="1"/>
        <v>20</v>
      </c>
    </row>
    <row r="17" spans="2:12" ht="11.25" customHeight="1" x14ac:dyDescent="0.2">
      <c r="B17" s="110" t="s">
        <v>41</v>
      </c>
      <c r="C17" s="87">
        <v>5</v>
      </c>
      <c r="D17" s="86">
        <v>3</v>
      </c>
      <c r="E17" s="86" t="s">
        <v>26</v>
      </c>
      <c r="F17" s="111">
        <f t="shared" si="0"/>
        <v>15</v>
      </c>
      <c r="H17" s="110" t="s">
        <v>41</v>
      </c>
      <c r="I17" s="87">
        <v>5</v>
      </c>
      <c r="J17" s="86">
        <v>3</v>
      </c>
      <c r="K17" s="86" t="s">
        <v>26</v>
      </c>
      <c r="L17" s="111">
        <f t="shared" si="1"/>
        <v>15</v>
      </c>
    </row>
    <row r="18" spans="2:12" ht="10.5" customHeight="1" x14ac:dyDescent="0.2">
      <c r="B18" s="110" t="s">
        <v>42</v>
      </c>
      <c r="C18" s="87">
        <v>10</v>
      </c>
      <c r="D18" s="86">
        <v>2</v>
      </c>
      <c r="E18" s="86" t="s">
        <v>26</v>
      </c>
      <c r="F18" s="111">
        <f t="shared" si="0"/>
        <v>20</v>
      </c>
      <c r="H18" s="110" t="s">
        <v>42</v>
      </c>
      <c r="I18" s="87">
        <v>10</v>
      </c>
      <c r="J18" s="86">
        <v>2</v>
      </c>
      <c r="K18" s="86" t="s">
        <v>26</v>
      </c>
      <c r="L18" s="111">
        <f t="shared" si="1"/>
        <v>20</v>
      </c>
    </row>
    <row r="19" spans="2:12" ht="13.5" customHeight="1" x14ac:dyDescent="0.2">
      <c r="B19" s="110" t="s">
        <v>43</v>
      </c>
      <c r="C19" s="87">
        <v>50</v>
      </c>
      <c r="D19" s="86">
        <v>4</v>
      </c>
      <c r="E19" s="86" t="s">
        <v>26</v>
      </c>
      <c r="F19" s="111">
        <f t="shared" si="0"/>
        <v>200</v>
      </c>
      <c r="H19" s="110" t="s">
        <v>43</v>
      </c>
      <c r="I19" s="87">
        <v>50</v>
      </c>
      <c r="J19" s="86">
        <v>4</v>
      </c>
      <c r="K19" s="86" t="s">
        <v>26</v>
      </c>
      <c r="L19" s="111">
        <f t="shared" si="1"/>
        <v>200</v>
      </c>
    </row>
    <row r="20" spans="2:12" ht="11.25" customHeight="1" x14ac:dyDescent="0.2">
      <c r="B20" s="110" t="s">
        <v>44</v>
      </c>
      <c r="C20" s="87">
        <v>15</v>
      </c>
      <c r="D20" s="86">
        <v>1</v>
      </c>
      <c r="E20" s="86" t="s">
        <v>26</v>
      </c>
      <c r="F20" s="111">
        <f t="shared" si="0"/>
        <v>15</v>
      </c>
      <c r="H20" s="110" t="s">
        <v>44</v>
      </c>
      <c r="I20" s="87">
        <v>15</v>
      </c>
      <c r="J20" s="86">
        <v>1</v>
      </c>
      <c r="K20" s="86" t="s">
        <v>26</v>
      </c>
      <c r="L20" s="111">
        <f t="shared" si="1"/>
        <v>15</v>
      </c>
    </row>
    <row r="21" spans="2:12" ht="12.75" customHeight="1" x14ac:dyDescent="0.2">
      <c r="B21" s="110" t="s">
        <v>45</v>
      </c>
      <c r="C21" s="87">
        <v>2</v>
      </c>
      <c r="D21" s="86">
        <v>3</v>
      </c>
      <c r="E21" s="86" t="s">
        <v>26</v>
      </c>
      <c r="F21" s="111">
        <f t="shared" si="0"/>
        <v>6</v>
      </c>
      <c r="H21" s="110" t="s">
        <v>45</v>
      </c>
      <c r="I21" s="87">
        <v>2</v>
      </c>
      <c r="J21" s="86">
        <v>3</v>
      </c>
      <c r="K21" s="86" t="s">
        <v>26</v>
      </c>
      <c r="L21" s="111">
        <f t="shared" si="1"/>
        <v>6</v>
      </c>
    </row>
    <row r="22" spans="2:12" ht="11.25" customHeight="1" x14ac:dyDescent="0.2">
      <c r="B22" s="110" t="s">
        <v>46</v>
      </c>
      <c r="C22" s="87">
        <v>12</v>
      </c>
      <c r="D22" s="86">
        <v>3</v>
      </c>
      <c r="E22" s="86" t="s">
        <v>26</v>
      </c>
      <c r="F22" s="111">
        <f t="shared" si="0"/>
        <v>36</v>
      </c>
      <c r="H22" s="110" t="s">
        <v>46</v>
      </c>
      <c r="I22" s="87">
        <v>12</v>
      </c>
      <c r="J22" s="86">
        <v>3</v>
      </c>
      <c r="K22" s="86" t="s">
        <v>26</v>
      </c>
      <c r="L22" s="111">
        <f t="shared" si="1"/>
        <v>36</v>
      </c>
    </row>
    <row r="23" spans="2:12" ht="10.5" customHeight="1" x14ac:dyDescent="0.2">
      <c r="B23" s="110" t="s">
        <v>47</v>
      </c>
      <c r="C23" s="87">
        <v>5</v>
      </c>
      <c r="D23" s="86">
        <v>3</v>
      </c>
      <c r="E23" s="86" t="s">
        <v>26</v>
      </c>
      <c r="F23" s="111">
        <f t="shared" si="0"/>
        <v>15</v>
      </c>
      <c r="H23" s="110" t="s">
        <v>47</v>
      </c>
      <c r="I23" s="87">
        <v>5</v>
      </c>
      <c r="J23" s="86">
        <v>3</v>
      </c>
      <c r="K23" s="86" t="s">
        <v>26</v>
      </c>
      <c r="L23" s="111">
        <f t="shared" si="1"/>
        <v>15</v>
      </c>
    </row>
    <row r="24" spans="2:12" x14ac:dyDescent="0.2">
      <c r="B24" s="112" t="s">
        <v>20</v>
      </c>
      <c r="C24" s="87"/>
      <c r="D24" s="86"/>
      <c r="E24" s="86"/>
      <c r="F24" s="121">
        <f>SUM(F25:F28)</f>
        <v>1090</v>
      </c>
      <c r="H24" s="112" t="s">
        <v>20</v>
      </c>
      <c r="I24" s="87"/>
      <c r="J24" s="86"/>
      <c r="K24" s="86"/>
      <c r="L24" s="121">
        <f>SUM(L25:L28)</f>
        <v>1090</v>
      </c>
    </row>
    <row r="25" spans="2:12" ht="11.25" customHeight="1" x14ac:dyDescent="0.2">
      <c r="B25" s="35" t="s">
        <v>21</v>
      </c>
      <c r="C25" s="21">
        <v>70</v>
      </c>
      <c r="D25" s="10">
        <v>1</v>
      </c>
      <c r="E25" s="26" t="s">
        <v>26</v>
      </c>
      <c r="F25" s="36">
        <f>C25*D25</f>
        <v>70</v>
      </c>
      <c r="H25" s="35" t="s">
        <v>21</v>
      </c>
      <c r="I25" s="21">
        <v>70</v>
      </c>
      <c r="J25" s="10">
        <v>1</v>
      </c>
      <c r="K25" s="26" t="s">
        <v>26</v>
      </c>
      <c r="L25" s="36">
        <f>I25*J25</f>
        <v>70</v>
      </c>
    </row>
    <row r="26" spans="2:12" ht="13.5" customHeight="1" x14ac:dyDescent="0.2">
      <c r="B26" s="35" t="s">
        <v>48</v>
      </c>
      <c r="C26" s="21">
        <v>20</v>
      </c>
      <c r="D26" s="10">
        <v>6</v>
      </c>
      <c r="E26" s="26" t="s">
        <v>26</v>
      </c>
      <c r="F26" s="36">
        <f>C26*D26</f>
        <v>120</v>
      </c>
      <c r="H26" s="35" t="s">
        <v>48</v>
      </c>
      <c r="I26" s="21">
        <v>20</v>
      </c>
      <c r="J26" s="10">
        <v>6</v>
      </c>
      <c r="K26" s="26" t="s">
        <v>26</v>
      </c>
      <c r="L26" s="36">
        <f>I26*J26</f>
        <v>120</v>
      </c>
    </row>
    <row r="27" spans="2:12" ht="12" customHeight="1" x14ac:dyDescent="0.2">
      <c r="B27" s="37" t="s">
        <v>22</v>
      </c>
      <c r="C27" s="21">
        <v>250</v>
      </c>
      <c r="D27" s="10">
        <v>2</v>
      </c>
      <c r="E27" s="26" t="s">
        <v>26</v>
      </c>
      <c r="F27" s="36">
        <f>C27*D27</f>
        <v>500</v>
      </c>
      <c r="H27" s="37" t="s">
        <v>22</v>
      </c>
      <c r="I27" s="21">
        <v>250</v>
      </c>
      <c r="J27" s="10">
        <v>2</v>
      </c>
      <c r="K27" s="26" t="s">
        <v>26</v>
      </c>
      <c r="L27" s="36">
        <f>I27*J27</f>
        <v>500</v>
      </c>
    </row>
    <row r="28" spans="2:12" ht="15.75" customHeight="1" thickBot="1" x14ac:dyDescent="0.25">
      <c r="B28" s="113" t="s">
        <v>28</v>
      </c>
      <c r="C28" s="114">
        <v>200</v>
      </c>
      <c r="D28" s="115">
        <v>2</v>
      </c>
      <c r="E28" s="116" t="s">
        <v>26</v>
      </c>
      <c r="F28" s="117">
        <f>C28*D28</f>
        <v>400</v>
      </c>
      <c r="H28" s="113" t="s">
        <v>28</v>
      </c>
      <c r="I28" s="114">
        <v>200</v>
      </c>
      <c r="J28" s="115">
        <v>2</v>
      </c>
      <c r="K28" s="116" t="s">
        <v>26</v>
      </c>
      <c r="L28" s="117">
        <f>I28*J28</f>
        <v>400</v>
      </c>
    </row>
    <row r="29" spans="2:12" ht="18" customHeight="1" x14ac:dyDescent="0.2">
      <c r="B29" s="103" t="s">
        <v>84</v>
      </c>
      <c r="C29" s="104"/>
      <c r="D29" s="105"/>
      <c r="E29" s="105"/>
      <c r="F29" s="106">
        <f>+F24+F14+F10+F6</f>
        <v>9037</v>
      </c>
      <c r="H29" s="103" t="s">
        <v>84</v>
      </c>
      <c r="I29" s="104"/>
      <c r="J29" s="105"/>
      <c r="K29" s="105"/>
      <c r="L29" s="106">
        <f>+L24+L14+L10+L6</f>
        <v>9037</v>
      </c>
    </row>
    <row r="30" spans="2:12" ht="16.5" customHeight="1" x14ac:dyDescent="0.2">
      <c r="B30" s="32" t="s">
        <v>149</v>
      </c>
      <c r="C30" s="19"/>
      <c r="D30" s="14"/>
      <c r="E30" s="14"/>
      <c r="F30" s="38"/>
      <c r="H30" s="32" t="s">
        <v>149</v>
      </c>
      <c r="I30" s="19"/>
      <c r="J30" s="14"/>
      <c r="K30" s="14"/>
      <c r="L30" s="38"/>
    </row>
    <row r="31" spans="2:12" x14ac:dyDescent="0.2">
      <c r="B31" s="39" t="s">
        <v>86</v>
      </c>
      <c r="C31" s="20">
        <v>420</v>
      </c>
      <c r="D31" s="13">
        <v>1</v>
      </c>
      <c r="E31" s="25" t="s">
        <v>122</v>
      </c>
      <c r="F31" s="40">
        <f>C31*D31</f>
        <v>420</v>
      </c>
      <c r="H31" s="39" t="s">
        <v>86</v>
      </c>
      <c r="I31" s="20">
        <v>420</v>
      </c>
      <c r="J31" s="13">
        <v>1</v>
      </c>
      <c r="K31" s="25" t="s">
        <v>122</v>
      </c>
      <c r="L31" s="40">
        <f>I31*J31</f>
        <v>420</v>
      </c>
    </row>
    <row r="32" spans="2:12" x14ac:dyDescent="0.2">
      <c r="B32" s="35" t="s">
        <v>29</v>
      </c>
      <c r="C32" s="18">
        <v>15</v>
      </c>
      <c r="D32" s="10">
        <v>1</v>
      </c>
      <c r="E32" s="26" t="s">
        <v>122</v>
      </c>
      <c r="F32" s="40">
        <f>C32*D32</f>
        <v>15</v>
      </c>
      <c r="H32" s="35" t="s">
        <v>29</v>
      </c>
      <c r="I32" s="18">
        <v>15</v>
      </c>
      <c r="J32" s="10">
        <v>1</v>
      </c>
      <c r="K32" s="26" t="s">
        <v>122</v>
      </c>
      <c r="L32" s="40">
        <f>I32*J32</f>
        <v>15</v>
      </c>
    </row>
    <row r="33" spans="2:12" ht="15" customHeight="1" thickBot="1" x14ac:dyDescent="0.25">
      <c r="B33" s="113" t="s">
        <v>85</v>
      </c>
      <c r="C33" s="133">
        <v>1020</v>
      </c>
      <c r="D33" s="115">
        <v>1</v>
      </c>
      <c r="E33" s="116" t="s">
        <v>122</v>
      </c>
      <c r="F33" s="134">
        <f>C33*D33</f>
        <v>1020</v>
      </c>
      <c r="H33" s="113" t="s">
        <v>85</v>
      </c>
      <c r="I33" s="133">
        <v>1020</v>
      </c>
      <c r="J33" s="115">
        <v>1</v>
      </c>
      <c r="K33" s="116" t="s">
        <v>122</v>
      </c>
      <c r="L33" s="134">
        <f>I33*J33</f>
        <v>1020</v>
      </c>
    </row>
    <row r="34" spans="2:12" ht="15" customHeight="1" x14ac:dyDescent="0.2">
      <c r="B34" s="129" t="s">
        <v>76</v>
      </c>
      <c r="C34" s="130"/>
      <c r="D34" s="131"/>
      <c r="E34" s="131"/>
      <c r="F34" s="132">
        <f>SUM(F31:F33)</f>
        <v>1455</v>
      </c>
      <c r="H34" s="129" t="s">
        <v>76</v>
      </c>
      <c r="I34" s="130"/>
      <c r="J34" s="131"/>
      <c r="K34" s="131"/>
      <c r="L34" s="132">
        <f>SUM(L31:L33)</f>
        <v>1455</v>
      </c>
    </row>
    <row r="35" spans="2:12" ht="15.75" customHeight="1" x14ac:dyDescent="0.2">
      <c r="B35" s="33" t="s">
        <v>87</v>
      </c>
      <c r="C35" s="17"/>
      <c r="D35" s="12"/>
      <c r="E35" s="12"/>
      <c r="F35" s="34"/>
      <c r="H35" s="33" t="s">
        <v>174</v>
      </c>
      <c r="I35" s="17"/>
      <c r="J35" s="12"/>
      <c r="K35" s="12"/>
      <c r="L35" s="34"/>
    </row>
    <row r="36" spans="2:12" x14ac:dyDescent="0.2">
      <c r="B36" s="41" t="s">
        <v>25</v>
      </c>
      <c r="C36" s="23"/>
      <c r="D36" s="15"/>
      <c r="E36" s="15"/>
      <c r="F36" s="42">
        <f>F37+F38+F39+F40</f>
        <v>207</v>
      </c>
      <c r="H36" s="41" t="s">
        <v>196</v>
      </c>
      <c r="I36" s="23"/>
      <c r="J36" s="15"/>
      <c r="K36" s="15"/>
      <c r="L36" s="42">
        <f>'KW_Año 1'!P14</f>
        <v>10205</v>
      </c>
    </row>
    <row r="37" spans="2:12" ht="10.5" customHeight="1" x14ac:dyDescent="0.2">
      <c r="B37" s="85" t="s">
        <v>49</v>
      </c>
      <c r="C37" s="23">
        <v>3.5</v>
      </c>
      <c r="D37" s="15">
        <v>30</v>
      </c>
      <c r="E37" s="84" t="s">
        <v>123</v>
      </c>
      <c r="F37" s="36">
        <f t="shared" ref="F37:F44" si="2">C37*D37</f>
        <v>105</v>
      </c>
      <c r="H37" s="85"/>
      <c r="I37" s="23"/>
      <c r="J37" s="15"/>
      <c r="K37" s="84"/>
      <c r="L37" s="36"/>
    </row>
    <row r="38" spans="2:12" ht="11.25" customHeight="1" x14ac:dyDescent="0.2">
      <c r="B38" s="35" t="s">
        <v>50</v>
      </c>
      <c r="C38" s="21">
        <v>12</v>
      </c>
      <c r="D38" s="10">
        <v>0.5</v>
      </c>
      <c r="E38" s="26" t="s">
        <v>123</v>
      </c>
      <c r="F38" s="36">
        <f t="shared" si="2"/>
        <v>6</v>
      </c>
      <c r="H38" s="35"/>
      <c r="I38" s="21"/>
      <c r="J38" s="10"/>
      <c r="K38" s="26"/>
      <c r="L38" s="36"/>
    </row>
    <row r="39" spans="2:12" ht="11.25" customHeight="1" x14ac:dyDescent="0.2">
      <c r="B39" s="35" t="s">
        <v>51</v>
      </c>
      <c r="C39" s="21">
        <v>2.2999999999999998</v>
      </c>
      <c r="D39" s="10">
        <v>20</v>
      </c>
      <c r="E39" s="26" t="s">
        <v>123</v>
      </c>
      <c r="F39" s="36">
        <f t="shared" si="2"/>
        <v>46</v>
      </c>
      <c r="H39" s="35"/>
      <c r="I39" s="21"/>
      <c r="J39" s="10"/>
      <c r="K39" s="26"/>
      <c r="L39" s="36"/>
    </row>
    <row r="40" spans="2:12" ht="11.25" customHeight="1" x14ac:dyDescent="0.2">
      <c r="B40" s="35" t="s">
        <v>52</v>
      </c>
      <c r="C40" s="21">
        <v>0.5</v>
      </c>
      <c r="D40" s="10">
        <v>100</v>
      </c>
      <c r="E40" s="26" t="s">
        <v>26</v>
      </c>
      <c r="F40" s="36">
        <f t="shared" si="2"/>
        <v>50</v>
      </c>
      <c r="H40" s="35"/>
      <c r="I40" s="21"/>
      <c r="J40" s="10"/>
      <c r="K40" s="26"/>
      <c r="L40" s="36"/>
    </row>
    <row r="41" spans="2:12" ht="11.25" customHeight="1" x14ac:dyDescent="0.2">
      <c r="B41" s="43" t="s">
        <v>23</v>
      </c>
      <c r="C41" s="21"/>
      <c r="D41" s="10"/>
      <c r="E41" s="10"/>
      <c r="F41" s="44">
        <f>F42</f>
        <v>500</v>
      </c>
      <c r="H41" s="43"/>
      <c r="I41" s="21"/>
      <c r="J41" s="10"/>
      <c r="K41" s="10"/>
      <c r="L41" s="44"/>
    </row>
    <row r="42" spans="2:12" ht="10.5" customHeight="1" x14ac:dyDescent="0.2">
      <c r="B42" s="35" t="s">
        <v>53</v>
      </c>
      <c r="C42" s="21">
        <f>Resumen!H14</f>
        <v>5</v>
      </c>
      <c r="D42" s="10">
        <v>100</v>
      </c>
      <c r="E42" s="26" t="s">
        <v>26</v>
      </c>
      <c r="F42" s="36">
        <f t="shared" si="2"/>
        <v>500</v>
      </c>
      <c r="H42" s="35"/>
      <c r="I42" s="21"/>
      <c r="J42" s="10"/>
      <c r="K42" s="26"/>
      <c r="L42" s="36"/>
    </row>
    <row r="43" spans="2:12" ht="11.25" customHeight="1" x14ac:dyDescent="0.2">
      <c r="B43" s="43" t="s">
        <v>79</v>
      </c>
      <c r="C43" s="21"/>
      <c r="D43" s="10"/>
      <c r="E43" s="10"/>
      <c r="F43" s="44">
        <f>F44</f>
        <v>100</v>
      </c>
      <c r="H43" s="43"/>
      <c r="I43" s="21"/>
      <c r="J43" s="10"/>
      <c r="K43" s="10"/>
      <c r="L43" s="44"/>
    </row>
    <row r="44" spans="2:12" ht="12" customHeight="1" thickBot="1" x14ac:dyDescent="0.25">
      <c r="B44" s="113" t="s">
        <v>30</v>
      </c>
      <c r="C44" s="114">
        <v>100</v>
      </c>
      <c r="D44" s="115">
        <v>1</v>
      </c>
      <c r="E44" s="115" t="s">
        <v>80</v>
      </c>
      <c r="F44" s="117">
        <f t="shared" si="2"/>
        <v>100</v>
      </c>
      <c r="H44" s="113"/>
      <c r="I44" s="114"/>
      <c r="J44" s="115"/>
      <c r="K44" s="115"/>
      <c r="L44" s="117"/>
    </row>
    <row r="45" spans="2:12" ht="13.5" thickBot="1" x14ac:dyDescent="0.25">
      <c r="B45" s="125" t="s">
        <v>81</v>
      </c>
      <c r="C45" s="126"/>
      <c r="D45" s="127"/>
      <c r="E45" s="127"/>
      <c r="F45" s="128">
        <f>F36+F41+F43</f>
        <v>807</v>
      </c>
      <c r="H45" s="125" t="s">
        <v>81</v>
      </c>
      <c r="I45" s="126"/>
      <c r="J45" s="127"/>
      <c r="K45" s="127"/>
      <c r="L45" s="128">
        <f>L36+L41+L43</f>
        <v>10205</v>
      </c>
    </row>
    <row r="46" spans="2:12" ht="13.5" thickBot="1" x14ac:dyDescent="0.25">
      <c r="B46" s="159" t="s">
        <v>82</v>
      </c>
      <c r="C46" s="160"/>
      <c r="D46" s="161"/>
      <c r="E46" s="161"/>
      <c r="F46" s="162">
        <f>F4+F45</f>
        <v>11299</v>
      </c>
      <c r="H46" s="159" t="s">
        <v>82</v>
      </c>
      <c r="I46" s="160"/>
      <c r="J46" s="161"/>
      <c r="K46" s="161"/>
      <c r="L46" s="162">
        <f>L4+L45</f>
        <v>20697</v>
      </c>
    </row>
    <row r="47" spans="2:12" x14ac:dyDescent="0.2">
      <c r="B47" s="27"/>
    </row>
    <row r="48" spans="2:12" x14ac:dyDescent="0.2">
      <c r="B48" s="27"/>
    </row>
    <row r="53" spans="2:2" x14ac:dyDescent="0.2">
      <c r="B53" s="8"/>
    </row>
    <row r="54" spans="2:2" x14ac:dyDescent="0.2">
      <c r="B54" s="8"/>
    </row>
    <row r="55" spans="2:2" x14ac:dyDescent="0.2">
      <c r="B55" s="8"/>
    </row>
    <row r="56" spans="2:2" x14ac:dyDescent="0.2">
      <c r="B56" s="8"/>
    </row>
    <row r="57" spans="2:2" x14ac:dyDescent="0.2">
      <c r="B57" s="8"/>
    </row>
    <row r="58" spans="2:2" x14ac:dyDescent="0.2">
      <c r="B58" s="8"/>
    </row>
    <row r="59" spans="2:2" x14ac:dyDescent="0.2">
      <c r="B59" s="8"/>
    </row>
    <row r="60" spans="2:2" x14ac:dyDescent="0.2">
      <c r="B60" s="8"/>
    </row>
    <row r="61" spans="2:2" x14ac:dyDescent="0.2">
      <c r="B61" s="8"/>
    </row>
    <row r="62" spans="2:2" x14ac:dyDescent="0.2">
      <c r="B62" s="8"/>
    </row>
    <row r="63" spans="2:2" x14ac:dyDescent="0.2">
      <c r="B63" s="8"/>
    </row>
    <row r="64" spans="2:2" x14ac:dyDescent="0.2">
      <c r="B64" s="8"/>
    </row>
    <row r="65" spans="2:2" x14ac:dyDescent="0.2">
      <c r="B65" s="8"/>
    </row>
    <row r="66" spans="2:2" x14ac:dyDescent="0.2">
      <c r="B66" s="8"/>
    </row>
  </sheetData>
  <mergeCells count="2">
    <mergeCell ref="B1:F1"/>
    <mergeCell ref="H1:L1"/>
  </mergeCells>
  <phoneticPr fontId="3" type="noConversion"/>
  <pageMargins left="0.75" right="0.75" top="1" bottom="1" header="0" footer="0"/>
  <pageSetup paperSize="9" orientation="portrait" horizontalDpi="4294967295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0"/>
  <sheetViews>
    <sheetView workbookViewId="0">
      <selection activeCell="Z7" sqref="Z7"/>
    </sheetView>
  </sheetViews>
  <sheetFormatPr baseColWidth="10" defaultRowHeight="12.75" x14ac:dyDescent="0.2"/>
  <cols>
    <col min="2" max="2" width="20" customWidth="1"/>
    <col min="3" max="3" width="10.7109375" customWidth="1"/>
    <col min="4" max="4" width="9.7109375" customWidth="1"/>
    <col min="5" max="5" width="10" customWidth="1"/>
    <col min="6" max="6" width="12.85546875" customWidth="1"/>
    <col min="7" max="7" width="13" customWidth="1"/>
    <col min="8" max="8" width="9.5703125" customWidth="1"/>
  </cols>
  <sheetData>
    <row r="3" spans="2:8" ht="22.5" customHeight="1" thickBot="1" x14ac:dyDescent="0.25">
      <c r="B3" s="306" t="s">
        <v>170</v>
      </c>
      <c r="C3" s="306"/>
      <c r="D3" s="306"/>
      <c r="E3" s="306"/>
      <c r="F3" s="306"/>
      <c r="G3" s="306"/>
      <c r="H3" s="306"/>
    </row>
    <row r="4" spans="2:8" s="11" customFormat="1" ht="39" thickBot="1" x14ac:dyDescent="0.25">
      <c r="B4" s="79" t="s">
        <v>55</v>
      </c>
      <c r="C4" s="49" t="s">
        <v>56</v>
      </c>
      <c r="D4" s="49" t="s">
        <v>59</v>
      </c>
      <c r="E4" s="49" t="s">
        <v>92</v>
      </c>
      <c r="F4" s="49" t="s">
        <v>60</v>
      </c>
      <c r="G4" s="49" t="s">
        <v>61</v>
      </c>
      <c r="H4" s="50" t="s">
        <v>155</v>
      </c>
    </row>
    <row r="5" spans="2:8" x14ac:dyDescent="0.2">
      <c r="B5" s="157" t="s">
        <v>33</v>
      </c>
      <c r="C5" s="73">
        <f>+Inversión_Inicial!F6</f>
        <v>7000</v>
      </c>
      <c r="D5" s="52">
        <v>10</v>
      </c>
      <c r="E5" s="61">
        <f>1/D5</f>
        <v>0.1</v>
      </c>
      <c r="F5" s="74">
        <f>+E5*C5</f>
        <v>700</v>
      </c>
      <c r="G5" s="73">
        <f>+F5*Resumen!$H$9</f>
        <v>3500</v>
      </c>
      <c r="H5" s="75">
        <f>+C5-G5</f>
        <v>3500</v>
      </c>
    </row>
    <row r="6" spans="2:8" ht="13.5" customHeight="1" x14ac:dyDescent="0.2">
      <c r="B6" s="138" t="s">
        <v>57</v>
      </c>
      <c r="C6" s="21">
        <f>+Inversión_Inicial!F10</f>
        <v>590</v>
      </c>
      <c r="D6" s="9">
        <v>5</v>
      </c>
      <c r="E6" s="30">
        <f>1/D6</f>
        <v>0.2</v>
      </c>
      <c r="F6" s="24">
        <f>+E6*C6</f>
        <v>118</v>
      </c>
      <c r="G6" s="73">
        <f>+F6*Resumen!$H$9</f>
        <v>590</v>
      </c>
      <c r="H6" s="72">
        <f>+C6-G6</f>
        <v>0</v>
      </c>
    </row>
    <row r="7" spans="2:8" ht="13.5" customHeight="1" x14ac:dyDescent="0.2">
      <c r="B7" s="138" t="s">
        <v>19</v>
      </c>
      <c r="C7" s="21">
        <f>Inversión_Inicial!F14</f>
        <v>357</v>
      </c>
      <c r="D7" s="9">
        <v>2</v>
      </c>
      <c r="E7" s="30">
        <f>1/D7</f>
        <v>0.5</v>
      </c>
      <c r="F7" s="24">
        <f>+E7*C7</f>
        <v>178.5</v>
      </c>
      <c r="G7" s="73">
        <f>F7</f>
        <v>178.5</v>
      </c>
      <c r="H7" s="72">
        <f>+C7-G7</f>
        <v>178.5</v>
      </c>
    </row>
    <row r="8" spans="2:8" ht="13.5" thickBot="1" x14ac:dyDescent="0.25">
      <c r="B8" s="158" t="s">
        <v>20</v>
      </c>
      <c r="C8" s="76">
        <f>+Inversión_Inicial!F24</f>
        <v>1090</v>
      </c>
      <c r="D8" s="53">
        <v>5</v>
      </c>
      <c r="E8" s="77">
        <f>1/D8</f>
        <v>0.2</v>
      </c>
      <c r="F8" s="76">
        <f>+E8*C8</f>
        <v>218</v>
      </c>
      <c r="G8" s="73">
        <f>+F8*Resumen!$H$9</f>
        <v>1090</v>
      </c>
      <c r="H8" s="78">
        <f>+C8-G8</f>
        <v>0</v>
      </c>
    </row>
    <row r="9" spans="2:8" ht="13.5" thickBot="1" x14ac:dyDescent="0.25">
      <c r="B9" s="135" t="s">
        <v>58</v>
      </c>
      <c r="C9" s="155">
        <f>SUM(C5:C8)</f>
        <v>9037</v>
      </c>
      <c r="D9" s="156"/>
      <c r="E9" s="156"/>
      <c r="F9" s="275">
        <f>SUM(F5:F8)</f>
        <v>1214.5</v>
      </c>
      <c r="G9" s="156"/>
      <c r="H9" s="276">
        <f>SUM(H5:H8)</f>
        <v>3678.5</v>
      </c>
    </row>
    <row r="10" spans="2:8" x14ac:dyDescent="0.2">
      <c r="B10" s="71"/>
    </row>
  </sheetData>
  <mergeCells count="1">
    <mergeCell ref="B3:H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2"/>
  <sheetViews>
    <sheetView workbookViewId="0">
      <selection activeCell="H12" sqref="H12"/>
    </sheetView>
  </sheetViews>
  <sheetFormatPr baseColWidth="10" defaultRowHeight="12.75" x14ac:dyDescent="0.2"/>
  <cols>
    <col min="2" max="2" width="13" customWidth="1"/>
    <col min="4" max="4" width="7.85546875" customWidth="1"/>
    <col min="5" max="5" width="13.85546875" customWidth="1"/>
    <col min="6" max="6" width="8.42578125" customWidth="1"/>
    <col min="8" max="8" width="11.5703125" customWidth="1"/>
  </cols>
  <sheetData>
    <row r="2" spans="2:12" x14ac:dyDescent="0.2">
      <c r="B2" s="304" t="s">
        <v>179</v>
      </c>
      <c r="C2" s="304"/>
      <c r="D2" s="304"/>
      <c r="E2" s="304"/>
      <c r="F2" s="304"/>
      <c r="G2" s="304"/>
      <c r="H2" s="304"/>
      <c r="I2" s="304"/>
    </row>
    <row r="4" spans="2:12" x14ac:dyDescent="0.2">
      <c r="B4" s="220" t="s">
        <v>157</v>
      </c>
      <c r="C4" s="220" t="s">
        <v>166</v>
      </c>
      <c r="D4" s="220" t="s">
        <v>165</v>
      </c>
      <c r="E4" s="220" t="s">
        <v>163</v>
      </c>
      <c r="F4" s="220" t="s">
        <v>164</v>
      </c>
      <c r="G4" s="220" t="s">
        <v>162</v>
      </c>
      <c r="H4" s="220" t="s">
        <v>181</v>
      </c>
      <c r="I4" s="222" t="s">
        <v>12</v>
      </c>
    </row>
    <row r="5" spans="2:12" x14ac:dyDescent="0.2">
      <c r="B5" s="9" t="s">
        <v>160</v>
      </c>
      <c r="C5" s="9">
        <v>930</v>
      </c>
      <c r="D5" s="9">
        <f>C5*12</f>
        <v>11160</v>
      </c>
      <c r="E5" s="9">
        <v>0</v>
      </c>
      <c r="F5" s="9">
        <v>0</v>
      </c>
      <c r="G5" s="9">
        <f>D5+E5+F5</f>
        <v>11160</v>
      </c>
      <c r="H5" s="10">
        <f>15*12</f>
        <v>180</v>
      </c>
      <c r="I5" s="83">
        <f>G5+H5</f>
        <v>11340</v>
      </c>
    </row>
    <row r="6" spans="2:12" x14ac:dyDescent="0.2">
      <c r="B6" s="9" t="s">
        <v>161</v>
      </c>
      <c r="C6" s="9">
        <v>930</v>
      </c>
      <c r="D6" s="9">
        <f>C6*12</f>
        <v>11160</v>
      </c>
      <c r="E6" s="9">
        <v>0</v>
      </c>
      <c r="F6" s="9">
        <v>0</v>
      </c>
      <c r="G6" s="9">
        <f>D6+E6+F6</f>
        <v>11160</v>
      </c>
      <c r="H6" s="10">
        <f>15*12</f>
        <v>180</v>
      </c>
      <c r="I6" s="83">
        <f>G6+H6</f>
        <v>11340</v>
      </c>
    </row>
    <row r="7" spans="2:12" x14ac:dyDescent="0.2">
      <c r="B7" s="223" t="s">
        <v>12</v>
      </c>
      <c r="C7" s="223"/>
      <c r="D7" s="223"/>
      <c r="E7" s="223"/>
      <c r="F7" s="223"/>
      <c r="G7" s="223"/>
      <c r="H7" s="224">
        <f>H5+H6</f>
        <v>360</v>
      </c>
      <c r="I7" s="224">
        <f>I5+I6</f>
        <v>22680</v>
      </c>
    </row>
    <row r="8" spans="2:12" x14ac:dyDescent="0.2">
      <c r="B8" t="s">
        <v>183</v>
      </c>
    </row>
    <row r="9" spans="2:12" x14ac:dyDescent="0.2">
      <c r="B9" t="s">
        <v>184</v>
      </c>
    </row>
    <row r="10" spans="2:12" x14ac:dyDescent="0.2">
      <c r="B10" t="s">
        <v>182</v>
      </c>
      <c r="K10">
        <v>150</v>
      </c>
      <c r="L10" s="29" t="s">
        <v>194</v>
      </c>
    </row>
    <row r="11" spans="2:12" x14ac:dyDescent="0.2">
      <c r="K11">
        <v>4400</v>
      </c>
    </row>
    <row r="12" spans="2:12" x14ac:dyDescent="0.2">
      <c r="K12">
        <f>K10*K11</f>
        <v>660000</v>
      </c>
      <c r="L12" s="29" t="s">
        <v>195</v>
      </c>
    </row>
  </sheetData>
  <mergeCells count="1">
    <mergeCell ref="B2:I2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5"/>
  <sheetViews>
    <sheetView workbookViewId="0">
      <selection activeCell="B3" sqref="B3:F3"/>
    </sheetView>
  </sheetViews>
  <sheetFormatPr baseColWidth="10" defaultRowHeight="12.75" x14ac:dyDescent="0.2"/>
  <cols>
    <col min="2" max="2" width="26.42578125" customWidth="1"/>
    <col min="3" max="3" width="10.42578125" customWidth="1"/>
    <col min="4" max="4" width="8.42578125" customWidth="1"/>
    <col min="5" max="5" width="11" customWidth="1"/>
  </cols>
  <sheetData>
    <row r="3" spans="2:6" x14ac:dyDescent="0.2">
      <c r="B3" s="304" t="s">
        <v>191</v>
      </c>
      <c r="C3" s="304"/>
      <c r="D3" s="304"/>
      <c r="E3" s="304"/>
      <c r="F3" s="304"/>
    </row>
    <row r="4" spans="2:6" ht="13.5" thickBot="1" x14ac:dyDescent="0.25"/>
    <row r="5" spans="2:6" ht="33.75" customHeight="1" thickBot="1" x14ac:dyDescent="0.25">
      <c r="B5" s="251" t="s">
        <v>14</v>
      </c>
      <c r="C5" s="252" t="s">
        <v>190</v>
      </c>
      <c r="D5" s="252" t="s">
        <v>188</v>
      </c>
      <c r="E5" s="252" t="s">
        <v>189</v>
      </c>
      <c r="F5" s="253" t="s">
        <v>12</v>
      </c>
    </row>
    <row r="6" spans="2:6" ht="19.5" customHeight="1" x14ac:dyDescent="0.25">
      <c r="B6" s="236" t="s">
        <v>186</v>
      </c>
      <c r="C6" s="237"/>
      <c r="D6" s="238"/>
      <c r="E6" s="237"/>
      <c r="F6" s="239">
        <f>F7+F8+F9+F10</f>
        <v>207</v>
      </c>
    </row>
    <row r="7" spans="2:6" ht="14.25" x14ac:dyDescent="0.2">
      <c r="B7" s="240" t="s">
        <v>49</v>
      </c>
      <c r="C7" s="237" t="s">
        <v>123</v>
      </c>
      <c r="D7" s="238">
        <v>3.5</v>
      </c>
      <c r="E7" s="237">
        <v>30</v>
      </c>
      <c r="F7" s="241">
        <f t="shared" ref="F7:F14" si="0">D7*E7</f>
        <v>105</v>
      </c>
    </row>
    <row r="8" spans="2:6" ht="14.25" x14ac:dyDescent="0.2">
      <c r="B8" s="242" t="s">
        <v>50</v>
      </c>
      <c r="C8" s="243" t="s">
        <v>123</v>
      </c>
      <c r="D8" s="244">
        <v>12</v>
      </c>
      <c r="E8" s="243">
        <v>0.5</v>
      </c>
      <c r="F8" s="241">
        <f t="shared" si="0"/>
        <v>6</v>
      </c>
    </row>
    <row r="9" spans="2:6" ht="14.25" x14ac:dyDescent="0.2">
      <c r="B9" s="242" t="s">
        <v>51</v>
      </c>
      <c r="C9" s="243" t="s">
        <v>123</v>
      </c>
      <c r="D9" s="244">
        <v>2.2999999999999998</v>
      </c>
      <c r="E9" s="243">
        <v>20</v>
      </c>
      <c r="F9" s="241">
        <f t="shared" si="0"/>
        <v>46</v>
      </c>
    </row>
    <row r="10" spans="2:6" ht="14.25" x14ac:dyDescent="0.2">
      <c r="B10" s="242" t="s">
        <v>52</v>
      </c>
      <c r="C10" s="243" t="s">
        <v>26</v>
      </c>
      <c r="D10" s="244">
        <v>0.5</v>
      </c>
      <c r="E10" s="243">
        <v>100</v>
      </c>
      <c r="F10" s="241">
        <f t="shared" si="0"/>
        <v>50</v>
      </c>
    </row>
    <row r="11" spans="2:6" ht="18.75" customHeight="1" x14ac:dyDescent="0.25">
      <c r="B11" s="245" t="s">
        <v>187</v>
      </c>
      <c r="C11" s="243"/>
      <c r="D11" s="244"/>
      <c r="E11" s="243"/>
      <c r="F11" s="246">
        <f>F12</f>
        <v>500</v>
      </c>
    </row>
    <row r="12" spans="2:6" ht="14.25" x14ac:dyDescent="0.2">
      <c r="B12" s="242" t="s">
        <v>53</v>
      </c>
      <c r="C12" s="243" t="s">
        <v>26</v>
      </c>
      <c r="D12" s="244">
        <v>5</v>
      </c>
      <c r="E12" s="243">
        <v>100</v>
      </c>
      <c r="F12" s="241">
        <f t="shared" si="0"/>
        <v>500</v>
      </c>
    </row>
    <row r="13" spans="2:6" ht="30" x14ac:dyDescent="0.25">
      <c r="B13" s="245" t="s">
        <v>185</v>
      </c>
      <c r="C13" s="243"/>
      <c r="D13" s="244"/>
      <c r="E13" s="243"/>
      <c r="F13" s="246">
        <f>F14</f>
        <v>100</v>
      </c>
    </row>
    <row r="14" spans="2:6" ht="15" thickBot="1" x14ac:dyDescent="0.25">
      <c r="B14" s="247" t="s">
        <v>30</v>
      </c>
      <c r="C14" s="248" t="s">
        <v>80</v>
      </c>
      <c r="D14" s="249">
        <v>100</v>
      </c>
      <c r="E14" s="248">
        <v>1</v>
      </c>
      <c r="F14" s="250">
        <f t="shared" si="0"/>
        <v>100</v>
      </c>
    </row>
    <row r="15" spans="2:6" ht="30.75" thickBot="1" x14ac:dyDescent="0.3">
      <c r="B15" s="254" t="s">
        <v>81</v>
      </c>
      <c r="C15" s="255"/>
      <c r="D15" s="256"/>
      <c r="E15" s="255"/>
      <c r="F15" s="257">
        <f>F6+F11+F13</f>
        <v>807</v>
      </c>
    </row>
  </sheetData>
  <mergeCells count="1">
    <mergeCell ref="B3:F3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selection activeCell="H15" sqref="H15"/>
    </sheetView>
  </sheetViews>
  <sheetFormatPr baseColWidth="10" defaultRowHeight="12.75" x14ac:dyDescent="0.2"/>
  <cols>
    <col min="2" max="2" width="23" customWidth="1"/>
    <col min="3" max="3" width="10.42578125" style="22" customWidth="1"/>
    <col min="6" max="6" width="9.140625" customWidth="1"/>
    <col min="7" max="7" width="0" hidden="1" customWidth="1"/>
  </cols>
  <sheetData>
    <row r="1" spans="2:8" x14ac:dyDescent="0.2">
      <c r="B1" s="307" t="s">
        <v>192</v>
      </c>
      <c r="C1" s="308"/>
      <c r="D1" s="308"/>
      <c r="E1" s="308"/>
      <c r="F1" s="308"/>
      <c r="G1" s="6"/>
    </row>
    <row r="2" spans="2:8" ht="13.5" thickBot="1" x14ac:dyDescent="0.25">
      <c r="B2" s="6"/>
      <c r="C2" s="16"/>
      <c r="D2" s="6"/>
      <c r="E2" s="6"/>
      <c r="F2" s="6"/>
      <c r="G2" s="6"/>
    </row>
    <row r="3" spans="2:8" s="2" customFormat="1" ht="32.1" customHeight="1" thickBot="1" x14ac:dyDescent="0.25">
      <c r="B3" s="135" t="s">
        <v>14</v>
      </c>
      <c r="C3" s="136" t="s">
        <v>15</v>
      </c>
      <c r="D3" s="136" t="s">
        <v>16</v>
      </c>
      <c r="E3" s="136" t="s">
        <v>120</v>
      </c>
      <c r="F3" s="137" t="s">
        <v>17</v>
      </c>
      <c r="G3" s="7"/>
    </row>
    <row r="4" spans="2:8" x14ac:dyDescent="0.2">
      <c r="B4" s="148" t="s">
        <v>24</v>
      </c>
      <c r="C4" s="139"/>
      <c r="D4" s="140"/>
      <c r="E4" s="140"/>
      <c r="F4" s="141">
        <f>SUM(F5:F10)</f>
        <v>1140</v>
      </c>
    </row>
    <row r="5" spans="2:8" x14ac:dyDescent="0.2">
      <c r="B5" s="288" t="s">
        <v>158</v>
      </c>
      <c r="C5" s="142">
        <v>930</v>
      </c>
      <c r="D5" s="143">
        <v>1</v>
      </c>
      <c r="E5" s="150" t="s">
        <v>124</v>
      </c>
      <c r="F5" s="144">
        <f t="shared" ref="F5:F10" si="0">C5*D5</f>
        <v>930</v>
      </c>
    </row>
    <row r="6" spans="2:8" x14ac:dyDescent="0.2">
      <c r="B6" s="288" t="s">
        <v>180</v>
      </c>
      <c r="C6" s="142">
        <v>15</v>
      </c>
      <c r="D6" s="143">
        <v>2</v>
      </c>
      <c r="E6" s="150" t="s">
        <v>124</v>
      </c>
      <c r="F6" s="144">
        <f t="shared" si="0"/>
        <v>30</v>
      </c>
    </row>
    <row r="7" spans="2:8" x14ac:dyDescent="0.2">
      <c r="B7" s="149" t="s">
        <v>88</v>
      </c>
      <c r="C7" s="142">
        <v>110</v>
      </c>
      <c r="D7" s="143">
        <v>1</v>
      </c>
      <c r="E7" s="150" t="s">
        <v>121</v>
      </c>
      <c r="F7" s="144">
        <f t="shared" si="0"/>
        <v>110</v>
      </c>
    </row>
    <row r="8" spans="2:8" x14ac:dyDescent="0.2">
      <c r="B8" s="149" t="s">
        <v>32</v>
      </c>
      <c r="C8" s="142">
        <v>50</v>
      </c>
      <c r="D8" s="143">
        <v>1</v>
      </c>
      <c r="E8" s="150" t="s">
        <v>121</v>
      </c>
      <c r="F8" s="144">
        <f t="shared" si="0"/>
        <v>50</v>
      </c>
    </row>
    <row r="9" spans="2:8" x14ac:dyDescent="0.2">
      <c r="B9" s="149" t="s">
        <v>31</v>
      </c>
      <c r="C9" s="142">
        <v>10</v>
      </c>
      <c r="D9" s="143">
        <v>1</v>
      </c>
      <c r="E9" s="150" t="s">
        <v>121</v>
      </c>
      <c r="F9" s="144">
        <f t="shared" si="0"/>
        <v>10</v>
      </c>
    </row>
    <row r="10" spans="2:8" x14ac:dyDescent="0.2">
      <c r="B10" s="149" t="s">
        <v>54</v>
      </c>
      <c r="C10" s="142">
        <v>10</v>
      </c>
      <c r="D10" s="143">
        <v>1</v>
      </c>
      <c r="E10" s="150" t="s">
        <v>121</v>
      </c>
      <c r="F10" s="144">
        <f t="shared" si="0"/>
        <v>10</v>
      </c>
    </row>
    <row r="11" spans="2:8" x14ac:dyDescent="0.2">
      <c r="B11" s="148" t="s">
        <v>65</v>
      </c>
      <c r="C11" s="139"/>
      <c r="D11" s="140"/>
      <c r="E11" s="140"/>
      <c r="F11" s="141">
        <f>SUM(F12:F14)</f>
        <v>995</v>
      </c>
    </row>
    <row r="12" spans="2:8" x14ac:dyDescent="0.2">
      <c r="B12" s="288" t="s">
        <v>159</v>
      </c>
      <c r="C12" s="142">
        <v>930</v>
      </c>
      <c r="D12" s="143">
        <v>1</v>
      </c>
      <c r="E12" s="143" t="s">
        <v>124</v>
      </c>
      <c r="F12" s="144">
        <f>C12*D12</f>
        <v>930</v>
      </c>
    </row>
    <row r="13" spans="2:8" x14ac:dyDescent="0.2">
      <c r="B13" s="149" t="s">
        <v>89</v>
      </c>
      <c r="C13" s="142">
        <v>15</v>
      </c>
      <c r="D13" s="143">
        <v>1</v>
      </c>
      <c r="E13" s="143" t="s">
        <v>125</v>
      </c>
      <c r="F13" s="144">
        <f>C13*D13</f>
        <v>15</v>
      </c>
    </row>
    <row r="14" spans="2:8" ht="13.5" thickBot="1" x14ac:dyDescent="0.25">
      <c r="B14" s="151" t="s">
        <v>90</v>
      </c>
      <c r="C14" s="145">
        <v>1</v>
      </c>
      <c r="D14" s="146">
        <v>50</v>
      </c>
      <c r="E14" s="146" t="s">
        <v>26</v>
      </c>
      <c r="F14" s="147">
        <f>C14*D14</f>
        <v>50</v>
      </c>
    </row>
    <row r="15" spans="2:8" ht="26.25" thickBot="1" x14ac:dyDescent="0.25">
      <c r="B15" s="152" t="s">
        <v>91</v>
      </c>
      <c r="C15" s="153"/>
      <c r="D15" s="153"/>
      <c r="E15" s="153"/>
      <c r="F15" s="154">
        <f>+F4+F11</f>
        <v>2135</v>
      </c>
      <c r="H15" s="278">
        <f>F15-F11-F6-F5</f>
        <v>180</v>
      </c>
    </row>
    <row r="16" spans="2:8" x14ac:dyDescent="0.2">
      <c r="B16" s="27"/>
    </row>
    <row r="17" spans="2:2" x14ac:dyDescent="0.2">
      <c r="B17" s="27"/>
    </row>
    <row r="22" spans="2:2" x14ac:dyDescent="0.2">
      <c r="B22" s="8"/>
    </row>
    <row r="23" spans="2:2" x14ac:dyDescent="0.2">
      <c r="B23" s="8"/>
    </row>
    <row r="24" spans="2:2" x14ac:dyDescent="0.2">
      <c r="B24" s="8"/>
    </row>
    <row r="25" spans="2:2" x14ac:dyDescent="0.2">
      <c r="B25" s="8"/>
    </row>
    <row r="26" spans="2:2" x14ac:dyDescent="0.2">
      <c r="B26" s="8"/>
    </row>
    <row r="27" spans="2:2" x14ac:dyDescent="0.2">
      <c r="B27" s="8"/>
    </row>
    <row r="28" spans="2:2" x14ac:dyDescent="0.2">
      <c r="B28" s="8"/>
    </row>
    <row r="29" spans="2:2" x14ac:dyDescent="0.2">
      <c r="B29" s="8"/>
    </row>
    <row r="30" spans="2:2" x14ac:dyDescent="0.2">
      <c r="B30" s="8"/>
    </row>
    <row r="31" spans="2:2" x14ac:dyDescent="0.2">
      <c r="B31" s="8"/>
    </row>
    <row r="32" spans="2:2" x14ac:dyDescent="0.2">
      <c r="B32" s="8"/>
    </row>
    <row r="33" spans="2:2" x14ac:dyDescent="0.2">
      <c r="B33" s="8"/>
    </row>
    <row r="34" spans="2:2" x14ac:dyDescent="0.2">
      <c r="B34" s="8"/>
    </row>
    <row r="35" spans="2:2" x14ac:dyDescent="0.2">
      <c r="B35" s="8"/>
    </row>
  </sheetData>
  <mergeCells count="1">
    <mergeCell ref="B1:F1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3"/>
  <sheetViews>
    <sheetView workbookViewId="0">
      <selection activeCell="C18" sqref="C18"/>
    </sheetView>
  </sheetViews>
  <sheetFormatPr baseColWidth="10" defaultRowHeight="12.75" x14ac:dyDescent="0.2"/>
  <cols>
    <col min="2" max="2" width="28.140625" customWidth="1"/>
    <col min="3" max="3" width="10.7109375" customWidth="1"/>
  </cols>
  <sheetData>
    <row r="2" spans="2:5" x14ac:dyDescent="0.2">
      <c r="B2" s="304" t="s">
        <v>119</v>
      </c>
      <c r="C2" s="304"/>
    </row>
    <row r="3" spans="2:5" ht="13.5" thickBot="1" x14ac:dyDescent="0.25">
      <c r="B3" s="29"/>
      <c r="C3" s="93"/>
      <c r="D3" s="29"/>
    </row>
    <row r="4" spans="2:5" x14ac:dyDescent="0.2">
      <c r="B4" s="174" t="s">
        <v>126</v>
      </c>
      <c r="C4" s="175" t="s">
        <v>113</v>
      </c>
    </row>
    <row r="5" spans="2:5" x14ac:dyDescent="0.2">
      <c r="B5" s="64" t="s">
        <v>63</v>
      </c>
      <c r="C5" s="72">
        <f>Gastos_Operativos!F4</f>
        <v>1140</v>
      </c>
    </row>
    <row r="6" spans="2:5" x14ac:dyDescent="0.2">
      <c r="B6" s="64" t="s">
        <v>139</v>
      </c>
      <c r="C6" s="72">
        <f>Depreciación_VR!F9/12</f>
        <v>101.20833333333333</v>
      </c>
    </row>
    <row r="7" spans="2:5" x14ac:dyDescent="0.2">
      <c r="B7" s="64" t="s">
        <v>64</v>
      </c>
      <c r="C7" s="258">
        <f>(Inversión_Inicial!F34/Resumen!H9)/12</f>
        <v>24.25</v>
      </c>
    </row>
    <row r="8" spans="2:5" x14ac:dyDescent="0.2">
      <c r="B8" s="64" t="s">
        <v>65</v>
      </c>
      <c r="C8" s="72">
        <f>Gastos_Operativos!F11</f>
        <v>995</v>
      </c>
    </row>
    <row r="9" spans="2:5" x14ac:dyDescent="0.2">
      <c r="B9" s="176" t="s">
        <v>93</v>
      </c>
      <c r="C9" s="177">
        <f>SUM(C5:C8)</f>
        <v>2260.458333333333</v>
      </c>
      <c r="E9" s="289">
        <f>C9-C7-C6</f>
        <v>2134.9999999999995</v>
      </c>
    </row>
    <row r="10" spans="2:5" x14ac:dyDescent="0.2">
      <c r="B10" s="178" t="s">
        <v>62</v>
      </c>
      <c r="C10" s="179" t="s">
        <v>113</v>
      </c>
    </row>
    <row r="11" spans="2:5" x14ac:dyDescent="0.2">
      <c r="B11" s="64" t="s">
        <v>66</v>
      </c>
      <c r="C11" s="72">
        <f>Inversión_Inicial!F36</f>
        <v>207</v>
      </c>
    </row>
    <row r="12" spans="2:5" x14ac:dyDescent="0.2">
      <c r="B12" s="64" t="s">
        <v>23</v>
      </c>
      <c r="C12" s="72">
        <f>Inversión_Inicial!F41</f>
        <v>500</v>
      </c>
    </row>
    <row r="13" spans="2:5" x14ac:dyDescent="0.2">
      <c r="B13" s="64" t="s">
        <v>193</v>
      </c>
      <c r="C13" s="72">
        <f>Inversión_Inicial!F43</f>
        <v>100</v>
      </c>
    </row>
    <row r="14" spans="2:5" ht="13.5" thickBot="1" x14ac:dyDescent="0.25">
      <c r="B14" s="180" t="s">
        <v>67</v>
      </c>
      <c r="C14" s="181">
        <f>C11+C12+C13</f>
        <v>807</v>
      </c>
      <c r="E14" s="278">
        <f>C14</f>
        <v>807</v>
      </c>
    </row>
    <row r="15" spans="2:5" ht="13.5" thickBot="1" x14ac:dyDescent="0.25">
      <c r="B15" s="11"/>
      <c r="C15" s="31"/>
      <c r="E15" s="278">
        <f>E9+E14</f>
        <v>2941.9999999999995</v>
      </c>
    </row>
    <row r="16" spans="2:5" x14ac:dyDescent="0.2">
      <c r="B16" s="94" t="s">
        <v>118</v>
      </c>
      <c r="C16" s="95">
        <v>100</v>
      </c>
      <c r="D16" s="29"/>
    </row>
    <row r="17" spans="2:6" x14ac:dyDescent="0.2">
      <c r="B17" s="64" t="s">
        <v>140</v>
      </c>
      <c r="C17" s="72">
        <f>C9/1000</f>
        <v>2.2604583333333332</v>
      </c>
      <c r="D17" s="29"/>
      <c r="E17" s="29">
        <f>E9/1000</f>
        <v>2.1349999999999993</v>
      </c>
      <c r="F17" s="29"/>
    </row>
    <row r="18" spans="2:6" x14ac:dyDescent="0.2">
      <c r="B18" s="64" t="s">
        <v>68</v>
      </c>
      <c r="C18" s="163">
        <f>C14/100</f>
        <v>8.07</v>
      </c>
      <c r="E18" s="290">
        <f>C18</f>
        <v>8.07</v>
      </c>
    </row>
    <row r="19" spans="2:6" ht="13.5" thickBot="1" x14ac:dyDescent="0.25">
      <c r="B19" s="80" t="s">
        <v>69</v>
      </c>
      <c r="C19" s="164">
        <f>+C18+C17</f>
        <v>10.330458333333333</v>
      </c>
      <c r="E19">
        <f>E17+E18</f>
        <v>10.205</v>
      </c>
    </row>
    <row r="21" spans="2:6" x14ac:dyDescent="0.2">
      <c r="C21" t="s">
        <v>267</v>
      </c>
      <c r="D21" s="278">
        <f>C19</f>
        <v>10.330458333333333</v>
      </c>
    </row>
    <row r="22" spans="2:6" x14ac:dyDescent="0.2">
      <c r="C22" t="s">
        <v>269</v>
      </c>
      <c r="D22" s="278">
        <f>D23-D21</f>
        <v>1.6695416666666674</v>
      </c>
    </row>
    <row r="23" spans="2:6" x14ac:dyDescent="0.2">
      <c r="C23" t="s">
        <v>268</v>
      </c>
      <c r="D23">
        <v>12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2</vt:i4>
      </vt:variant>
    </vt:vector>
  </HeadingPairs>
  <TitlesOfParts>
    <vt:vector size="18" baseType="lpstr">
      <vt:lpstr>Resumen</vt:lpstr>
      <vt:lpstr>Ventas_Unidades</vt:lpstr>
      <vt:lpstr>Presupuesto_Ventas</vt:lpstr>
      <vt:lpstr>Inversión_Inicial</vt:lpstr>
      <vt:lpstr>Depreciación_VR</vt:lpstr>
      <vt:lpstr>Sueldos</vt:lpstr>
      <vt:lpstr>Costos_Producción</vt:lpstr>
      <vt:lpstr>Gastos_Operativos</vt:lpstr>
      <vt:lpstr>Costos_Unitarios</vt:lpstr>
      <vt:lpstr>KW_Año 1</vt:lpstr>
      <vt:lpstr>Punto de equilibrio</vt:lpstr>
      <vt:lpstr>Estado de Resultados</vt:lpstr>
      <vt:lpstr>Flujo_Deuda</vt:lpstr>
      <vt:lpstr>flujos de caja</vt:lpstr>
      <vt:lpstr>Ku</vt:lpstr>
      <vt:lpstr>Ke y Kwacc</vt:lpstr>
      <vt:lpstr>'Ke y Kwacc'!_Hlk37002392</vt:lpstr>
      <vt:lpstr>'Ke y Kwacc'!_Hlk38462990</vt:lpstr>
    </vt:vector>
  </TitlesOfParts>
  <Company>gestion aplicada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maSVER</dc:creator>
  <cp:lastModifiedBy>EDISON ACHALMA</cp:lastModifiedBy>
  <cp:lastPrinted>2008-10-28T16:11:43Z</cp:lastPrinted>
  <dcterms:created xsi:type="dcterms:W3CDTF">2008-10-28T16:04:50Z</dcterms:created>
  <dcterms:modified xsi:type="dcterms:W3CDTF">2021-08-04T00:25:33Z</dcterms:modified>
</cp:coreProperties>
</file>