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drawings/drawing12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3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14.xml" ContentType="application/vnd.openxmlformats-officedocument.drawing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https://d.docs.live.net/b1ecd61295a042a9/Documentos/Classroom/Private Project Evaluation/08. Collaboration Space/8.01. Group Project 01.0/"/>
    </mc:Choice>
  </mc:AlternateContent>
  <xr:revisionPtr revIDLastSave="121" documentId="13_ncr:20001_{4A604A91-E40A-4849-B39B-845DD92C3B1D}" xr6:coauthVersionLast="47" xr6:coauthVersionMax="47" xr10:uidLastSave="{C753F4D8-58DD-4956-860B-F8E29F31CF9F}"/>
  <bookViews>
    <workbookView xWindow="-120" yWindow="-16320" windowWidth="29040" windowHeight="15720" tabRatio="821" firstSheet="18" activeTab="21" xr2:uid="{00000000-000D-0000-FFFF-FFFF00000000}"/>
  </bookViews>
  <sheets>
    <sheet name="Portada" sheetId="1" r:id="rId1"/>
    <sheet name="Resumen" sheetId="2" r:id="rId2"/>
    <sheet name="Estudio ADEK" sheetId="3" r:id="rId3"/>
    <sheet name="Venta_Unidades" sheetId="4" r:id="rId4"/>
    <sheet name="Presupuesto_Ventas" sheetId="5" r:id="rId5"/>
    <sheet name="Inversión_Inicial" sheetId="6" r:id="rId6"/>
    <sheet name="Depreciación_VR" sheetId="7" r:id="rId7"/>
    <sheet name="Costos_Producción" sheetId="8" r:id="rId8"/>
    <sheet name="Planilla" sheetId="9" r:id="rId9"/>
    <sheet name="Gastos_Operativos" sheetId="10" r:id="rId10"/>
    <sheet name="Costos_Totales" sheetId="11" r:id="rId11"/>
    <sheet name="Costos_Unitarios" sheetId="12" r:id="rId12"/>
    <sheet name="KW_Año 1" sheetId="13" r:id="rId13"/>
    <sheet name="Punto de Equilibrio" sheetId="14" r:id="rId14"/>
    <sheet name="Estado de Resultados" sheetId="15" r:id="rId15"/>
    <sheet name="Flujo_Deuda Frances 1" sheetId="16" state="hidden" r:id="rId16"/>
    <sheet name="Flujo_Deuda Frances 2" sheetId="17" r:id="rId17"/>
    <sheet name="Flujo_Deuda Alemán" sheetId="18" r:id="rId18"/>
    <sheet name="Pago IGV" sheetId="19" r:id="rId19"/>
    <sheet name="Flujo de Caja Económico A" sheetId="20" r:id="rId20"/>
    <sheet name="Flujo de Caja Económico B" sheetId="21" r:id="rId21"/>
    <sheet name="VANE , TIRE -VAN, TIRF" sheetId="22" r:id="rId22"/>
    <sheet name="Flujo de Caja de la Deuda" sheetId="23" r:id="rId23"/>
    <sheet name="Flujo de Caja Financiero" sheetId="24" r:id="rId24"/>
    <sheet name="Rp" sheetId="25" r:id="rId25"/>
    <sheet name="Ku" sheetId="26" r:id="rId26"/>
    <sheet name="Ke y Kwacc" sheetId="27" r:id="rId27"/>
    <sheet name="Taller 4" sheetId="28" r:id="rId28"/>
    <sheet name="Análisis de Sensibilidad 1" sheetId="29" r:id="rId29"/>
    <sheet name="Resumen del escenario" sheetId="30" r:id="rId30"/>
    <sheet name="Estados Financieros" sheetId="31" r:id="rId31"/>
    <sheet name="VPN y TIR" sheetId="32" r:id="rId32"/>
    <sheet name="Relación Costo Beneficio" sheetId="33" r:id="rId33"/>
    <sheet name="Análisis de Sensibilidad 2" sheetId="34" state="hidden" r:id="rId34"/>
  </sheets>
  <definedNames>
    <definedName name="Tasa">'Análisis de Sensibilidad 1'!$D$36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7" i="22" l="1"/>
  <c r="C19" i="22"/>
  <c r="C9" i="22"/>
  <c r="C38" i="22"/>
  <c r="D10" i="13"/>
  <c r="C17" i="12"/>
  <c r="C16" i="12"/>
  <c r="C14" i="12"/>
  <c r="F18" i="8"/>
  <c r="E32" i="6"/>
  <c r="C15" i="4"/>
  <c r="D15" i="4"/>
  <c r="E15" i="4"/>
  <c r="H7" i="27"/>
  <c r="H13" i="27" s="1"/>
  <c r="C50" i="22" s="1"/>
  <c r="E15" i="18"/>
  <c r="C17" i="18"/>
  <c r="F15" i="18"/>
  <c r="C15" i="18"/>
  <c r="C14" i="18"/>
  <c r="D11" i="17"/>
  <c r="F16" i="17"/>
  <c r="G17" i="17"/>
  <c r="G16" i="17"/>
  <c r="F14" i="18"/>
  <c r="D10" i="18"/>
  <c r="F50" i="18"/>
  <c r="E14" i="18"/>
  <c r="D16" i="18"/>
  <c r="D15" i="18"/>
  <c r="D14" i="18"/>
  <c r="E18" i="18"/>
  <c r="E48" i="18"/>
  <c r="C16" i="18"/>
  <c r="C13" i="18"/>
  <c r="G7" i="19"/>
  <c r="F7" i="19"/>
  <c r="E7" i="19"/>
  <c r="D7" i="19"/>
  <c r="C7" i="19"/>
  <c r="M8" i="15"/>
  <c r="L8" i="15"/>
  <c r="K8" i="15"/>
  <c r="J8" i="15"/>
  <c r="J7" i="15"/>
  <c r="D8" i="15"/>
  <c r="E8" i="15"/>
  <c r="F8" i="15"/>
  <c r="G8" i="15"/>
  <c r="C8" i="15"/>
  <c r="H28" i="29"/>
  <c r="D27" i="29"/>
  <c r="C36" i="29"/>
  <c r="C35" i="29"/>
  <c r="C30" i="29"/>
  <c r="D67" i="28"/>
  <c r="D68" i="28" s="1"/>
  <c r="C18" i="27"/>
  <c r="C117" i="34"/>
  <c r="C66" i="34"/>
  <c r="C65" i="34"/>
  <c r="C64" i="34"/>
  <c r="G62" i="34"/>
  <c r="C62" i="34"/>
  <c r="C63" i="34"/>
  <c r="B260" i="32"/>
  <c r="B259" i="32"/>
  <c r="B258" i="32"/>
  <c r="D247" i="32"/>
  <c r="C249" i="32"/>
  <c r="D235" i="32"/>
  <c r="C237" i="32"/>
  <c r="B144" i="32"/>
  <c r="B143" i="32"/>
  <c r="F132" i="32"/>
  <c r="D130" i="32"/>
  <c r="C132" i="32"/>
  <c r="D118" i="32"/>
  <c r="C120" i="32"/>
  <c r="D77" i="32"/>
  <c r="C54" i="32"/>
  <c r="D15" i="32"/>
  <c r="O71" i="29"/>
  <c r="I71" i="29"/>
  <c r="U65" i="29"/>
  <c r="C57" i="29"/>
  <c r="E57" i="29"/>
  <c r="E56" i="29"/>
  <c r="C56" i="29"/>
  <c r="E55" i="29"/>
  <c r="C55" i="29"/>
  <c r="C53" i="29"/>
  <c r="E53" i="29"/>
  <c r="C31" i="29"/>
  <c r="C34" i="29"/>
  <c r="C29" i="29"/>
  <c r="E27" i="29"/>
  <c r="F27" i="29"/>
  <c r="G27" i="29"/>
  <c r="H27" i="29"/>
  <c r="Q24" i="29"/>
  <c r="P24" i="29"/>
  <c r="O24" i="29"/>
  <c r="L24" i="29"/>
  <c r="O23" i="29"/>
  <c r="N23" i="29"/>
  <c r="N24" i="29"/>
  <c r="M23" i="29"/>
  <c r="M24" i="29"/>
  <c r="D23" i="29"/>
  <c r="F21" i="29"/>
  <c r="G21" i="29"/>
  <c r="H21" i="29"/>
  <c r="E21" i="29"/>
  <c r="D21" i="29"/>
  <c r="D20" i="29"/>
  <c r="C12" i="29"/>
  <c r="D53" i="28"/>
  <c r="E52" i="28"/>
  <c r="E50" i="28"/>
  <c r="D40" i="28"/>
  <c r="D34" i="28"/>
  <c r="D22" i="28"/>
  <c r="D7" i="28"/>
  <c r="D11" i="28" s="1"/>
  <c r="C20" i="27"/>
  <c r="H11" i="27"/>
  <c r="C9" i="27"/>
  <c r="C7" i="27"/>
  <c r="C19" i="26"/>
  <c r="C20" i="26"/>
  <c r="C17" i="26"/>
  <c r="C11" i="26"/>
  <c r="D121" i="25"/>
  <c r="D120" i="25"/>
  <c r="D119" i="25"/>
  <c r="D118" i="25"/>
  <c r="D117" i="25"/>
  <c r="D116" i="25"/>
  <c r="D115" i="25"/>
  <c r="D114" i="25"/>
  <c r="D113" i="25"/>
  <c r="D112" i="25"/>
  <c r="D111" i="25"/>
  <c r="D110" i="25"/>
  <c r="D109" i="25"/>
  <c r="D108" i="25"/>
  <c r="D107" i="25"/>
  <c r="D106" i="25"/>
  <c r="D105" i="25"/>
  <c r="D104" i="25"/>
  <c r="D103" i="25"/>
  <c r="D102" i="25"/>
  <c r="D101" i="25"/>
  <c r="D100" i="25"/>
  <c r="D99" i="25"/>
  <c r="D98" i="25"/>
  <c r="D97" i="25"/>
  <c r="D96" i="25"/>
  <c r="D95" i="25"/>
  <c r="D94" i="25"/>
  <c r="D93" i="25"/>
  <c r="D92" i="25"/>
  <c r="D91" i="25"/>
  <c r="D90" i="25"/>
  <c r="D89" i="25"/>
  <c r="D88" i="25"/>
  <c r="D87" i="25"/>
  <c r="D86" i="25"/>
  <c r="D85" i="25"/>
  <c r="D84" i="25"/>
  <c r="D83" i="25"/>
  <c r="D82" i="25"/>
  <c r="D81" i="25"/>
  <c r="D80" i="25"/>
  <c r="D79" i="25"/>
  <c r="D78" i="25"/>
  <c r="D77" i="25"/>
  <c r="D76" i="25"/>
  <c r="D75" i="25"/>
  <c r="D74" i="25"/>
  <c r="D73" i="25"/>
  <c r="D72" i="25"/>
  <c r="D71" i="25"/>
  <c r="D70" i="25"/>
  <c r="D69" i="25"/>
  <c r="D68" i="25"/>
  <c r="D67" i="25"/>
  <c r="D66" i="25"/>
  <c r="D65" i="25"/>
  <c r="D64" i="25"/>
  <c r="D63" i="25"/>
  <c r="D62" i="25"/>
  <c r="D61" i="25"/>
  <c r="D60" i="25"/>
  <c r="D59" i="25"/>
  <c r="D58" i="25"/>
  <c r="D57" i="25"/>
  <c r="D56" i="25"/>
  <c r="D55" i="25"/>
  <c r="D54" i="25"/>
  <c r="D53" i="25"/>
  <c r="D52" i="25"/>
  <c r="D51" i="25"/>
  <c r="D50" i="25"/>
  <c r="D49" i="25"/>
  <c r="D48" i="25"/>
  <c r="D47" i="25"/>
  <c r="D46" i="25"/>
  <c r="D45" i="25"/>
  <c r="D44" i="25"/>
  <c r="D43" i="25"/>
  <c r="D42" i="25"/>
  <c r="D41" i="25"/>
  <c r="D40" i="25"/>
  <c r="D39" i="25"/>
  <c r="D38" i="25"/>
  <c r="D37" i="25"/>
  <c r="D36" i="25"/>
  <c r="D35" i="25"/>
  <c r="D34" i="25"/>
  <c r="D33" i="25"/>
  <c r="D32" i="25"/>
  <c r="D31" i="25"/>
  <c r="D30" i="25"/>
  <c r="D29" i="25"/>
  <c r="D28" i="25"/>
  <c r="D27" i="25"/>
  <c r="D26" i="25"/>
  <c r="D25" i="25"/>
  <c r="D24" i="25"/>
  <c r="D23" i="25"/>
  <c r="D22" i="25"/>
  <c r="D21" i="25"/>
  <c r="D20" i="25"/>
  <c r="D19" i="25"/>
  <c r="D18" i="25"/>
  <c r="D17" i="25"/>
  <c r="D16" i="25"/>
  <c r="D15" i="25"/>
  <c r="D14" i="25"/>
  <c r="D13" i="25"/>
  <c r="D12" i="25"/>
  <c r="D11" i="25"/>
  <c r="D10" i="25"/>
  <c r="D9" i="25"/>
  <c r="D8" i="25"/>
  <c r="D7" i="25"/>
  <c r="D6" i="25"/>
  <c r="D5" i="25"/>
  <c r="G5" i="25"/>
  <c r="C32" i="26"/>
  <c r="G24" i="24"/>
  <c r="H23" i="24"/>
  <c r="G23" i="24"/>
  <c r="C23" i="24"/>
  <c r="H22" i="24"/>
  <c r="G22" i="24"/>
  <c r="C22" i="24"/>
  <c r="H21" i="24"/>
  <c r="G21" i="24"/>
  <c r="C21" i="24"/>
  <c r="H20" i="24"/>
  <c r="G20" i="24"/>
  <c r="F20" i="24"/>
  <c r="E20" i="24"/>
  <c r="D20" i="24"/>
  <c r="C17" i="24"/>
  <c r="C16" i="24"/>
  <c r="B16" i="24"/>
  <c r="C15" i="24"/>
  <c r="B15" i="24"/>
  <c r="C14" i="24"/>
  <c r="C13" i="24"/>
  <c r="B13" i="24"/>
  <c r="C12" i="24"/>
  <c r="B12" i="24"/>
  <c r="G10" i="24"/>
  <c r="F10" i="24"/>
  <c r="E10" i="24"/>
  <c r="D10" i="24"/>
  <c r="C10" i="24"/>
  <c r="G9" i="24"/>
  <c r="F9" i="24"/>
  <c r="E9" i="24"/>
  <c r="D9" i="24"/>
  <c r="C9" i="24"/>
  <c r="H7" i="24"/>
  <c r="G7" i="24"/>
  <c r="F7" i="24"/>
  <c r="E7" i="24"/>
  <c r="D7" i="24"/>
  <c r="H9" i="23"/>
  <c r="G9" i="23"/>
  <c r="G34" i="22"/>
  <c r="B5" i="22"/>
  <c r="B21" i="21"/>
  <c r="K20" i="21"/>
  <c r="C19" i="21"/>
  <c r="C15" i="21"/>
  <c r="C14" i="21"/>
  <c r="C16" i="21"/>
  <c r="E6" i="21"/>
  <c r="F6" i="21"/>
  <c r="G6" i="21"/>
  <c r="H6" i="21"/>
  <c r="C19" i="20"/>
  <c r="B15" i="20"/>
  <c r="B14" i="24"/>
  <c r="D7" i="18"/>
  <c r="D6" i="18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16" i="17"/>
  <c r="C17" i="17"/>
  <c r="D9" i="17"/>
  <c r="D6" i="17"/>
  <c r="D7" i="17"/>
  <c r="D10" i="17"/>
  <c r="D4" i="17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56" i="16"/>
  <c r="K45" i="16"/>
  <c r="N36" i="16"/>
  <c r="P37" i="16"/>
  <c r="N34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15" i="16"/>
  <c r="B14" i="16"/>
  <c r="J10" i="16"/>
  <c r="E6" i="16"/>
  <c r="E7" i="16"/>
  <c r="E8" i="16"/>
  <c r="I8" i="16"/>
  <c r="E5" i="16"/>
  <c r="I5" i="16"/>
  <c r="H40" i="15"/>
  <c r="H42" i="15"/>
  <c r="G38" i="15"/>
  <c r="C38" i="15"/>
  <c r="H41" i="15"/>
  <c r="F37" i="15"/>
  <c r="F39" i="15"/>
  <c r="C35" i="15"/>
  <c r="D34" i="15"/>
  <c r="C37" i="15"/>
  <c r="C39" i="15"/>
  <c r="C34" i="15"/>
  <c r="E33" i="15"/>
  <c r="E32" i="15"/>
  <c r="G30" i="15"/>
  <c r="E30" i="15"/>
  <c r="E29" i="15"/>
  <c r="E28" i="15"/>
  <c r="E34" i="15"/>
  <c r="E35" i="15"/>
  <c r="E27" i="15"/>
  <c r="E26" i="15"/>
  <c r="E24" i="15"/>
  <c r="D24" i="15"/>
  <c r="C24" i="15"/>
  <c r="F38" i="15"/>
  <c r="B8" i="14"/>
  <c r="B7" i="14"/>
  <c r="B6" i="14"/>
  <c r="B5" i="14"/>
  <c r="O20" i="13"/>
  <c r="M20" i="13"/>
  <c r="G20" i="13"/>
  <c r="O7" i="13"/>
  <c r="N7" i="13"/>
  <c r="N20" i="13"/>
  <c r="M7" i="13"/>
  <c r="L7" i="13"/>
  <c r="L20" i="13"/>
  <c r="K7" i="13"/>
  <c r="J7" i="13"/>
  <c r="I7" i="13"/>
  <c r="I20" i="13"/>
  <c r="H7" i="13"/>
  <c r="G7" i="13"/>
  <c r="F7" i="13"/>
  <c r="F20" i="13"/>
  <c r="E7" i="13"/>
  <c r="E20" i="13"/>
  <c r="D7" i="13"/>
  <c r="D20" i="13"/>
  <c r="C15" i="12"/>
  <c r="C12" i="12"/>
  <c r="F29" i="11"/>
  <c r="H29" i="11"/>
  <c r="E29" i="11"/>
  <c r="D29" i="11"/>
  <c r="B29" i="11"/>
  <c r="B16" i="10"/>
  <c r="E28" i="11"/>
  <c r="D28" i="11"/>
  <c r="B28" i="11"/>
  <c r="B15" i="10"/>
  <c r="E27" i="11"/>
  <c r="D27" i="11"/>
  <c r="B27" i="11"/>
  <c r="H26" i="11"/>
  <c r="F26" i="11"/>
  <c r="G25" i="11"/>
  <c r="B24" i="11"/>
  <c r="B23" i="11"/>
  <c r="H22" i="11"/>
  <c r="E22" i="11"/>
  <c r="D10" i="10"/>
  <c r="D22" i="11"/>
  <c r="F22" i="11"/>
  <c r="B22" i="11"/>
  <c r="H21" i="11"/>
  <c r="E21" i="11"/>
  <c r="D21" i="11"/>
  <c r="F21" i="11"/>
  <c r="B21" i="11"/>
  <c r="F20" i="11"/>
  <c r="H20" i="11"/>
  <c r="E20" i="11"/>
  <c r="D20" i="11"/>
  <c r="B20" i="11"/>
  <c r="F19" i="11"/>
  <c r="H19" i="11"/>
  <c r="D19" i="11"/>
  <c r="B19" i="11"/>
  <c r="B7" i="10"/>
  <c r="D18" i="11"/>
  <c r="F18" i="11"/>
  <c r="B18" i="11"/>
  <c r="G17" i="11"/>
  <c r="G15" i="11"/>
  <c r="H14" i="11"/>
  <c r="D14" i="11"/>
  <c r="G14" i="11"/>
  <c r="H13" i="11"/>
  <c r="H12" i="11"/>
  <c r="D13" i="11"/>
  <c r="G13" i="11"/>
  <c r="G12" i="11"/>
  <c r="F12" i="11"/>
  <c r="B11" i="11"/>
  <c r="B10" i="11"/>
  <c r="E9" i="11"/>
  <c r="B9" i="11"/>
  <c r="B8" i="11"/>
  <c r="B7" i="11"/>
  <c r="D6" i="11"/>
  <c r="B6" i="11"/>
  <c r="F5" i="11"/>
  <c r="C18" i="10"/>
  <c r="D16" i="10"/>
  <c r="C16" i="10"/>
  <c r="F16" i="10"/>
  <c r="F15" i="10"/>
  <c r="E15" i="10"/>
  <c r="C15" i="10"/>
  <c r="F14" i="10"/>
  <c r="C14" i="10"/>
  <c r="B14" i="10"/>
  <c r="E13" i="10"/>
  <c r="D13" i="10"/>
  <c r="B13" i="10"/>
  <c r="E10" i="10"/>
  <c r="B10" i="10"/>
  <c r="E9" i="10"/>
  <c r="D9" i="10"/>
  <c r="B9" i="10"/>
  <c r="E8" i="10"/>
  <c r="D8" i="10"/>
  <c r="B8" i="10"/>
  <c r="E7" i="10"/>
  <c r="D7" i="10"/>
  <c r="E6" i="10"/>
  <c r="D6" i="10"/>
  <c r="B6" i="10"/>
  <c r="B19" i="9"/>
  <c r="I11" i="9"/>
  <c r="D11" i="9"/>
  <c r="H11" i="9"/>
  <c r="J11" i="9"/>
  <c r="C11" i="9"/>
  <c r="J10" i="9"/>
  <c r="I10" i="9"/>
  <c r="D10" i="9"/>
  <c r="H10" i="9"/>
  <c r="C10" i="9"/>
  <c r="J9" i="9"/>
  <c r="C13" i="10"/>
  <c r="F13" i="10"/>
  <c r="F17" i="10"/>
  <c r="C13" i="15"/>
  <c r="I9" i="9"/>
  <c r="D9" i="9"/>
  <c r="H9" i="9"/>
  <c r="I7" i="9"/>
  <c r="C7" i="9"/>
  <c r="D7" i="9"/>
  <c r="H7" i="9"/>
  <c r="J7" i="9"/>
  <c r="C7" i="10"/>
  <c r="F7" i="10"/>
  <c r="B7" i="9"/>
  <c r="I6" i="9"/>
  <c r="C6" i="9"/>
  <c r="D6" i="9"/>
  <c r="H6" i="9"/>
  <c r="J6" i="9"/>
  <c r="B6" i="9"/>
  <c r="D23" i="8"/>
  <c r="E23" i="8"/>
  <c r="D22" i="8"/>
  <c r="E22" i="8"/>
  <c r="G17" i="8"/>
  <c r="H16" i="8"/>
  <c r="G16" i="8"/>
  <c r="H15" i="8"/>
  <c r="G15" i="8"/>
  <c r="G14" i="8"/>
  <c r="F14" i="8"/>
  <c r="D14" i="8"/>
  <c r="B13" i="8"/>
  <c r="B12" i="8"/>
  <c r="B11" i="8"/>
  <c r="B10" i="8"/>
  <c r="B9" i="8"/>
  <c r="D8" i="8"/>
  <c r="B8" i="8"/>
  <c r="F7" i="8"/>
  <c r="E32" i="7"/>
  <c r="B32" i="7"/>
  <c r="E31" i="7"/>
  <c r="B31" i="7"/>
  <c r="E30" i="7"/>
  <c r="B30" i="7"/>
  <c r="E29" i="7"/>
  <c r="B29" i="7"/>
  <c r="E19" i="7"/>
  <c r="D19" i="7"/>
  <c r="E18" i="7"/>
  <c r="D18" i="7"/>
  <c r="E8" i="7"/>
  <c r="D8" i="7"/>
  <c r="E7" i="7"/>
  <c r="D7" i="7"/>
  <c r="J37" i="6"/>
  <c r="M36" i="6"/>
  <c r="J36" i="6"/>
  <c r="J29" i="6"/>
  <c r="L28" i="6"/>
  <c r="K28" i="6"/>
  <c r="J28" i="6"/>
  <c r="E28" i="6"/>
  <c r="L27" i="6"/>
  <c r="K27" i="6"/>
  <c r="J27" i="6"/>
  <c r="F27" i="6"/>
  <c r="N27" i="6"/>
  <c r="E27" i="6"/>
  <c r="M27" i="6"/>
  <c r="L26" i="6"/>
  <c r="K26" i="6"/>
  <c r="J26" i="6"/>
  <c r="E26" i="6"/>
  <c r="M25" i="6"/>
  <c r="L25" i="6"/>
  <c r="K25" i="6"/>
  <c r="J25" i="6"/>
  <c r="E25" i="6"/>
  <c r="F25" i="6"/>
  <c r="J24" i="6"/>
  <c r="K23" i="6"/>
  <c r="J23" i="6"/>
  <c r="E23" i="6"/>
  <c r="M23" i="6"/>
  <c r="D23" i="6"/>
  <c r="L23" i="6"/>
  <c r="J22" i="6"/>
  <c r="M21" i="6"/>
  <c r="K21" i="6"/>
  <c r="J21" i="6"/>
  <c r="E21" i="6"/>
  <c r="D21" i="6"/>
  <c r="L21" i="6"/>
  <c r="M20" i="6"/>
  <c r="L20" i="6"/>
  <c r="K20" i="6"/>
  <c r="J20" i="6"/>
  <c r="E20" i="6"/>
  <c r="D20" i="6"/>
  <c r="J19" i="6"/>
  <c r="M18" i="6"/>
  <c r="K18" i="6"/>
  <c r="J18" i="6"/>
  <c r="E18" i="6"/>
  <c r="D18" i="6"/>
  <c r="L18" i="6"/>
  <c r="M17" i="6"/>
  <c r="K17" i="6"/>
  <c r="J17" i="6"/>
  <c r="E17" i="6"/>
  <c r="D17" i="6"/>
  <c r="L17" i="6"/>
  <c r="M16" i="6"/>
  <c r="K16" i="6"/>
  <c r="J16" i="6"/>
  <c r="E16" i="6"/>
  <c r="D16" i="6"/>
  <c r="L16" i="6"/>
  <c r="M15" i="6"/>
  <c r="K15" i="6"/>
  <c r="J15" i="6"/>
  <c r="E15" i="6"/>
  <c r="D15" i="6"/>
  <c r="L15" i="6"/>
  <c r="M14" i="6"/>
  <c r="K14" i="6"/>
  <c r="J14" i="6"/>
  <c r="E14" i="6"/>
  <c r="D14" i="6"/>
  <c r="L14" i="6"/>
  <c r="M13" i="6"/>
  <c r="K13" i="6"/>
  <c r="J13" i="6"/>
  <c r="E13" i="6"/>
  <c r="D13" i="6"/>
  <c r="L13" i="6"/>
  <c r="M12" i="6"/>
  <c r="K12" i="6"/>
  <c r="J12" i="6"/>
  <c r="E12" i="6"/>
  <c r="D12" i="6"/>
  <c r="L12" i="6"/>
  <c r="J11" i="6"/>
  <c r="M10" i="6"/>
  <c r="L10" i="6"/>
  <c r="K10" i="6"/>
  <c r="J10" i="6"/>
  <c r="E10" i="6"/>
  <c r="D10" i="6"/>
  <c r="M9" i="6"/>
  <c r="L9" i="6"/>
  <c r="K9" i="6"/>
  <c r="J9" i="6"/>
  <c r="E9" i="6"/>
  <c r="D9" i="6"/>
  <c r="M8" i="6"/>
  <c r="J8" i="6"/>
  <c r="J7" i="6"/>
  <c r="P6" i="6"/>
  <c r="O6" i="6"/>
  <c r="N6" i="6"/>
  <c r="M6" i="6"/>
  <c r="L6" i="6"/>
  <c r="K6" i="6"/>
  <c r="O5" i="6"/>
  <c r="K5" i="6"/>
  <c r="J5" i="6"/>
  <c r="N15" i="4"/>
  <c r="M15" i="4"/>
  <c r="L15" i="4"/>
  <c r="K15" i="4"/>
  <c r="J15" i="4"/>
  <c r="I15" i="4"/>
  <c r="H15" i="4"/>
  <c r="G15" i="4"/>
  <c r="F15" i="4"/>
  <c r="O6" i="4"/>
  <c r="H679" i="3"/>
  <c r="C522" i="3"/>
  <c r="D476" i="3"/>
  <c r="L366" i="3"/>
  <c r="L351" i="3"/>
  <c r="D285" i="3"/>
  <c r="F303" i="3"/>
  <c r="E283" i="3"/>
  <c r="E278" i="3"/>
  <c r="D278" i="3"/>
  <c r="C278" i="3"/>
  <c r="F270" i="3"/>
  <c r="C254" i="3"/>
  <c r="E244" i="3"/>
  <c r="D244" i="3"/>
  <c r="B231" i="3"/>
  <c r="B21" i="14"/>
  <c r="B230" i="3"/>
  <c r="B20" i="14"/>
  <c r="B229" i="3"/>
  <c r="B19" i="14"/>
  <c r="B228" i="3"/>
  <c r="B18" i="14"/>
  <c r="B227" i="3"/>
  <c r="B17" i="14"/>
  <c r="B226" i="3"/>
  <c r="B16" i="14"/>
  <c r="B225" i="3"/>
  <c r="B15" i="14"/>
  <c r="B224" i="3"/>
  <c r="B14" i="14"/>
  <c r="B223" i="3"/>
  <c r="B13" i="14"/>
  <c r="B222" i="3"/>
  <c r="B12" i="14"/>
  <c r="B221" i="3"/>
  <c r="B11" i="14"/>
  <c r="B220" i="3"/>
  <c r="B10" i="14"/>
  <c r="C207" i="3"/>
  <c r="B206" i="3"/>
  <c r="F174" i="3"/>
  <c r="C476" i="3"/>
  <c r="F173" i="3"/>
  <c r="F172" i="3"/>
  <c r="F153" i="3"/>
  <c r="C10" i="10"/>
  <c r="F10" i="10"/>
  <c r="F152" i="3"/>
  <c r="C9" i="10"/>
  <c r="F9" i="10"/>
  <c r="F151" i="3"/>
  <c r="C8" i="10"/>
  <c r="F8" i="10"/>
  <c r="C146" i="3"/>
  <c r="D145" i="3"/>
  <c r="F144" i="3"/>
  <c r="D144" i="3"/>
  <c r="D146" i="3"/>
  <c r="D143" i="3"/>
  <c r="F143" i="3"/>
  <c r="K137" i="3"/>
  <c r="K136" i="3"/>
  <c r="D135" i="3"/>
  <c r="G135" i="3"/>
  <c r="C135" i="3"/>
  <c r="D21" i="7"/>
  <c r="E21" i="7"/>
  <c r="B135" i="3"/>
  <c r="B21" i="7"/>
  <c r="C134" i="3"/>
  <c r="D16" i="7"/>
  <c r="E16" i="7"/>
  <c r="B134" i="3"/>
  <c r="B16" i="7"/>
  <c r="C133" i="3"/>
  <c r="D15" i="7"/>
  <c r="E15" i="7"/>
  <c r="B133" i="3"/>
  <c r="B15" i="7"/>
  <c r="C132" i="3"/>
  <c r="D14" i="7"/>
  <c r="E14" i="7"/>
  <c r="B132" i="3"/>
  <c r="B14" i="7"/>
  <c r="D131" i="3"/>
  <c r="G131" i="3"/>
  <c r="C131" i="3"/>
  <c r="D13" i="7"/>
  <c r="E13" i="7"/>
  <c r="B131" i="3"/>
  <c r="B13" i="7"/>
  <c r="D130" i="3"/>
  <c r="C130" i="3"/>
  <c r="D12" i="7"/>
  <c r="E12" i="7"/>
  <c r="B130" i="3"/>
  <c r="B12" i="7"/>
  <c r="D129" i="3"/>
  <c r="G129" i="3"/>
  <c r="C129" i="3"/>
  <c r="D11" i="7"/>
  <c r="E11" i="7"/>
  <c r="B129" i="3"/>
  <c r="B11" i="7"/>
  <c r="D128" i="3"/>
  <c r="C128" i="3"/>
  <c r="D10" i="7"/>
  <c r="E10" i="7"/>
  <c r="B128" i="3"/>
  <c r="B10" i="7"/>
  <c r="M120" i="3"/>
  <c r="B120" i="3"/>
  <c r="B8" i="7"/>
  <c r="M119" i="3"/>
  <c r="B119" i="3"/>
  <c r="B7" i="7"/>
  <c r="M118" i="3"/>
  <c r="B118" i="3"/>
  <c r="B19" i="7"/>
  <c r="M117" i="3"/>
  <c r="D117" i="3"/>
  <c r="B117" i="3"/>
  <c r="B18" i="7"/>
  <c r="F109" i="3"/>
  <c r="F108" i="3"/>
  <c r="F107" i="3"/>
  <c r="F111" i="3"/>
  <c r="C186" i="3"/>
  <c r="C456" i="3"/>
  <c r="F100" i="3"/>
  <c r="F99" i="3"/>
  <c r="F101" i="3"/>
  <c r="F98" i="3"/>
  <c r="F97" i="3"/>
  <c r="E93" i="3"/>
  <c r="D93" i="3"/>
  <c r="F93" i="3"/>
  <c r="E92" i="3"/>
  <c r="D92" i="3"/>
  <c r="E12" i="8"/>
  <c r="F91" i="3"/>
  <c r="E91" i="3"/>
  <c r="D91" i="3"/>
  <c r="E11" i="8"/>
  <c r="E90" i="3"/>
  <c r="D90" i="3"/>
  <c r="F90" i="3"/>
  <c r="F89" i="3"/>
  <c r="E89" i="3"/>
  <c r="D89" i="3"/>
  <c r="D88" i="3"/>
  <c r="B82" i="3"/>
  <c r="F68" i="3"/>
  <c r="G323" i="3"/>
  <c r="F32" i="6"/>
  <c r="C11" i="12" s="1"/>
  <c r="C13" i="12" s="1"/>
  <c r="E68" i="3"/>
  <c r="D68" i="3"/>
  <c r="F67" i="3"/>
  <c r="D67" i="3"/>
  <c r="F66" i="3"/>
  <c r="D66" i="3"/>
  <c r="E61" i="3"/>
  <c r="E48" i="3"/>
  <c r="E47" i="3"/>
  <c r="E46" i="3"/>
  <c r="E45" i="3"/>
  <c r="E44" i="3"/>
  <c r="E43" i="3"/>
  <c r="E42" i="3"/>
  <c r="E41" i="3"/>
  <c r="E35" i="3"/>
  <c r="E34" i="3"/>
  <c r="E33" i="3"/>
  <c r="E36" i="3"/>
  <c r="E32" i="3"/>
  <c r="E25" i="3"/>
  <c r="E24" i="3"/>
  <c r="E23" i="3"/>
  <c r="E22" i="3"/>
  <c r="E16" i="3"/>
  <c r="E17" i="3"/>
  <c r="E15" i="3"/>
  <c r="E14" i="3"/>
  <c r="E13" i="3"/>
  <c r="E12" i="3"/>
  <c r="E11" i="3"/>
  <c r="D4" i="3"/>
  <c r="C4" i="3"/>
  <c r="H5" i="2"/>
  <c r="D456" i="3"/>
  <c r="C22" i="31"/>
  <c r="D509" i="3"/>
  <c r="C673" i="3"/>
  <c r="C315" i="3"/>
  <c r="C411" i="3"/>
  <c r="D165" i="3"/>
  <c r="D184" i="3"/>
  <c r="C454" i="3"/>
  <c r="F16" i="6"/>
  <c r="N16" i="6"/>
  <c r="C14" i="7"/>
  <c r="C15" i="32"/>
  <c r="E17" i="32"/>
  <c r="F17" i="32"/>
  <c r="C543" i="3"/>
  <c r="C345" i="3"/>
  <c r="E128" i="3"/>
  <c r="C18" i="7"/>
  <c r="F18" i="7"/>
  <c r="F20" i="6"/>
  <c r="C16" i="7"/>
  <c r="F18" i="6"/>
  <c r="N18" i="6"/>
  <c r="C23" i="31"/>
  <c r="D508" i="3"/>
  <c r="C414" i="3"/>
  <c r="E117" i="3"/>
  <c r="C19" i="7"/>
  <c r="F21" i="6"/>
  <c r="N21" i="6"/>
  <c r="D11" i="11"/>
  <c r="D13" i="8"/>
  <c r="D118" i="3"/>
  <c r="G128" i="3"/>
  <c r="E129" i="3"/>
  <c r="K129" i="3"/>
  <c r="E131" i="3"/>
  <c r="K131" i="3"/>
  <c r="E135" i="3"/>
  <c r="K135" i="3"/>
  <c r="C316" i="3"/>
  <c r="G9" i="11"/>
  <c r="H9" i="11"/>
  <c r="C199" i="3"/>
  <c r="C7" i="7"/>
  <c r="F9" i="6"/>
  <c r="F12" i="6"/>
  <c r="C10" i="7"/>
  <c r="F10" i="7"/>
  <c r="E51" i="3"/>
  <c r="E6" i="11"/>
  <c r="G6" i="11"/>
  <c r="E8" i="8"/>
  <c r="G8" i="8"/>
  <c r="H128" i="3"/>
  <c r="F129" i="3"/>
  <c r="G130" i="3"/>
  <c r="F131" i="3"/>
  <c r="F135" i="3"/>
  <c r="F476" i="3"/>
  <c r="E476" i="3"/>
  <c r="G476" i="3"/>
  <c r="J12" i="9"/>
  <c r="C6" i="10"/>
  <c r="F6" i="10"/>
  <c r="F11" i="10"/>
  <c r="C21" i="7"/>
  <c r="F23" i="6"/>
  <c r="F130" i="3"/>
  <c r="F10" i="6"/>
  <c r="N10" i="6"/>
  <c r="C8" i="7"/>
  <c r="F13" i="6"/>
  <c r="N13" i="6"/>
  <c r="C11" i="7"/>
  <c r="F88" i="3"/>
  <c r="D9" i="11"/>
  <c r="D11" i="8"/>
  <c r="G11" i="8"/>
  <c r="H11" i="8"/>
  <c r="D119" i="3"/>
  <c r="I128" i="3"/>
  <c r="H129" i="3"/>
  <c r="H130" i="3"/>
  <c r="J130" i="3"/>
  <c r="H131" i="3"/>
  <c r="H135" i="3"/>
  <c r="D181" i="3"/>
  <c r="E10" i="11"/>
  <c r="G10" i="11"/>
  <c r="H10" i="11"/>
  <c r="D10" i="11"/>
  <c r="D12" i="8"/>
  <c r="E10" i="8"/>
  <c r="G10" i="8"/>
  <c r="H10" i="8"/>
  <c r="E8" i="11"/>
  <c r="G8" i="11"/>
  <c r="H8" i="11"/>
  <c r="D10" i="8"/>
  <c r="D8" i="11"/>
  <c r="D65" i="28"/>
  <c r="D51" i="28"/>
  <c r="H10" i="27"/>
  <c r="D4" i="18"/>
  <c r="D5" i="18"/>
  <c r="D8" i="18"/>
  <c r="E27" i="3"/>
  <c r="I129" i="3"/>
  <c r="F11" i="7"/>
  <c r="G11" i="7"/>
  <c r="E13" i="8"/>
  <c r="G13" i="8"/>
  <c r="H13" i="8"/>
  <c r="E11" i="11"/>
  <c r="G11" i="11"/>
  <c r="H11" i="11"/>
  <c r="F14" i="6"/>
  <c r="N14" i="6"/>
  <c r="C12" i="7"/>
  <c r="E9" i="8"/>
  <c r="G9" i="8"/>
  <c r="H9" i="8"/>
  <c r="E7" i="11"/>
  <c r="G7" i="11"/>
  <c r="H7" i="11"/>
  <c r="J128" i="3"/>
  <c r="I131" i="3"/>
  <c r="I135" i="3"/>
  <c r="F15" i="6"/>
  <c r="N15" i="6"/>
  <c r="C13" i="7"/>
  <c r="D9" i="8"/>
  <c r="D7" i="8"/>
  <c r="D7" i="11"/>
  <c r="G12" i="8"/>
  <c r="H12" i="8"/>
  <c r="D120" i="3"/>
  <c r="J131" i="3"/>
  <c r="C258" i="3"/>
  <c r="E258" i="3"/>
  <c r="C257" i="3"/>
  <c r="E257" i="3"/>
  <c r="C256" i="3"/>
  <c r="E256" i="3"/>
  <c r="F278" i="3"/>
  <c r="C521" i="3"/>
  <c r="F17" i="6"/>
  <c r="N17" i="6"/>
  <c r="C15" i="7"/>
  <c r="F15" i="7"/>
  <c r="G15" i="7"/>
  <c r="F14" i="7"/>
  <c r="G14" i="7"/>
  <c r="F16" i="7"/>
  <c r="G16" i="7"/>
  <c r="D160" i="3"/>
  <c r="F92" i="3"/>
  <c r="F128" i="3"/>
  <c r="I130" i="3"/>
  <c r="E130" i="3"/>
  <c r="K130" i="3"/>
  <c r="D132" i="3"/>
  <c r="D133" i="3"/>
  <c r="D134" i="3"/>
  <c r="D138" i="3"/>
  <c r="F145" i="3"/>
  <c r="F146" i="3"/>
  <c r="E145" i="3"/>
  <c r="E146" i="3"/>
  <c r="C475" i="3"/>
  <c r="F175" i="3"/>
  <c r="C370" i="3"/>
  <c r="F13" i="7"/>
  <c r="G13" i="7"/>
  <c r="F21" i="7"/>
  <c r="F26" i="6"/>
  <c r="M26" i="6"/>
  <c r="F154" i="3"/>
  <c r="F28" i="6"/>
  <c r="M28" i="6"/>
  <c r="E50" i="31"/>
  <c r="D15" i="20"/>
  <c r="D13" i="15"/>
  <c r="C29" i="7"/>
  <c r="N25" i="6"/>
  <c r="C31" i="7"/>
  <c r="F31" i="7"/>
  <c r="F27" i="11"/>
  <c r="D14" i="10"/>
  <c r="H18" i="11"/>
  <c r="C18" i="4" a="1"/>
  <c r="I12" i="9"/>
  <c r="G37" i="15"/>
  <c r="G39" i="15"/>
  <c r="H14" i="8"/>
  <c r="H20" i="13"/>
  <c r="P7" i="13"/>
  <c r="J20" i="13"/>
  <c r="C34" i="26"/>
  <c r="C13" i="29" s="1"/>
  <c r="C10" i="27"/>
  <c r="F28" i="11"/>
  <c r="H28" i="11"/>
  <c r="D15" i="10"/>
  <c r="D5" i="21"/>
  <c r="D7" i="21"/>
  <c r="C3" i="19"/>
  <c r="M15" i="21"/>
  <c r="C6" i="15"/>
  <c r="F12" i="17"/>
  <c r="K20" i="13"/>
  <c r="D35" i="15"/>
  <c r="H34" i="22"/>
  <c r="H24" i="24"/>
  <c r="E237" i="32"/>
  <c r="D237" i="32"/>
  <c r="G237" i="32"/>
  <c r="E132" i="32"/>
  <c r="D132" i="32"/>
  <c r="G132" i="32"/>
  <c r="F237" i="32"/>
  <c r="D22" i="29"/>
  <c r="G249" i="32"/>
  <c r="F249" i="32"/>
  <c r="E249" i="32"/>
  <c r="D249" i="32"/>
  <c r="B145" i="32"/>
  <c r="G120" i="32"/>
  <c r="F120" i="32"/>
  <c r="E120" i="32"/>
  <c r="D120" i="32"/>
  <c r="H73" i="34"/>
  <c r="G18" i="7"/>
  <c r="K18" i="7"/>
  <c r="K17" i="7"/>
  <c r="G10" i="7"/>
  <c r="K10" i="7"/>
  <c r="K9" i="7"/>
  <c r="C464" i="3"/>
  <c r="K322" i="3"/>
  <c r="C191" i="3"/>
  <c r="C6" i="7"/>
  <c r="J7" i="7"/>
  <c r="C672" i="3"/>
  <c r="D507" i="3"/>
  <c r="K323" i="3"/>
  <c r="C192" i="3"/>
  <c r="C465" i="3"/>
  <c r="I134" i="3"/>
  <c r="J134" i="3"/>
  <c r="E134" i="3"/>
  <c r="K134" i="3"/>
  <c r="H134" i="3"/>
  <c r="G134" i="3"/>
  <c r="F134" i="3"/>
  <c r="F160" i="3"/>
  <c r="F161" i="3"/>
  <c r="H160" i="3"/>
  <c r="H161" i="3"/>
  <c r="E160" i="3"/>
  <c r="I160" i="3"/>
  <c r="I161" i="3"/>
  <c r="G160" i="3"/>
  <c r="G161" i="3"/>
  <c r="E259" i="3"/>
  <c r="C265" i="3"/>
  <c r="C276" i="3"/>
  <c r="F276" i="3"/>
  <c r="I138" i="3"/>
  <c r="E118" i="3"/>
  <c r="D172" i="32"/>
  <c r="C99" i="32"/>
  <c r="H456" i="3"/>
  <c r="G456" i="3"/>
  <c r="F456" i="3"/>
  <c r="E456" i="3"/>
  <c r="J8" i="7"/>
  <c r="F8" i="7"/>
  <c r="G8" i="7"/>
  <c r="H8" i="7"/>
  <c r="C558" i="3"/>
  <c r="G564" i="3"/>
  <c r="C550" i="3"/>
  <c r="G563" i="3"/>
  <c r="C549" i="3"/>
  <c r="F563" i="3"/>
  <c r="C557" i="3"/>
  <c r="F564" i="3"/>
  <c r="C9" i="19"/>
  <c r="C17" i="19"/>
  <c r="D9" i="19"/>
  <c r="D17" i="19"/>
  <c r="E9" i="19"/>
  <c r="E17" i="19"/>
  <c r="F9" i="19"/>
  <c r="F17" i="19"/>
  <c r="G9" i="19"/>
  <c r="G17" i="19"/>
  <c r="C44" i="29" a="1"/>
  <c r="C33" i="7"/>
  <c r="F29" i="7"/>
  <c r="F7" i="7"/>
  <c r="G133" i="3"/>
  <c r="I133" i="3"/>
  <c r="H133" i="3"/>
  <c r="F133" i="3"/>
  <c r="E133" i="3"/>
  <c r="K133" i="3"/>
  <c r="D276" i="3"/>
  <c r="D265" i="3"/>
  <c r="D291" i="3"/>
  <c r="D264" i="3"/>
  <c r="J12" i="7"/>
  <c r="E119" i="3"/>
  <c r="H8" i="8"/>
  <c r="G7" i="8"/>
  <c r="F6" i="20"/>
  <c r="D6" i="20"/>
  <c r="K14" i="7"/>
  <c r="J14" i="7"/>
  <c r="L14" i="7"/>
  <c r="H14" i="7"/>
  <c r="C317" i="3"/>
  <c r="I18" i="4"/>
  <c r="I7" i="4" s="1"/>
  <c r="N18" i="4"/>
  <c r="N7" i="4" s="1"/>
  <c r="F18" i="4"/>
  <c r="F7" i="4" s="1"/>
  <c r="L18" i="4"/>
  <c r="D18" i="4"/>
  <c r="D7" i="4" s="1"/>
  <c r="K18" i="4"/>
  <c r="K7" i="4" s="1"/>
  <c r="M18" i="4"/>
  <c r="M7" i="4" s="1"/>
  <c r="H18" i="4"/>
  <c r="H7" i="4" s="1"/>
  <c r="G18" i="4"/>
  <c r="G7" i="4" s="1"/>
  <c r="E18" i="4"/>
  <c r="E7" i="4" s="1"/>
  <c r="C18" i="4"/>
  <c r="C7" i="4" s="1"/>
  <c r="J18" i="4"/>
  <c r="J7" i="4" s="1"/>
  <c r="E120" i="3"/>
  <c r="G138" i="3"/>
  <c r="D9" i="21"/>
  <c r="P20" i="13"/>
  <c r="E132" i="3"/>
  <c r="K132" i="3"/>
  <c r="I132" i="3"/>
  <c r="H132" i="3"/>
  <c r="J132" i="3"/>
  <c r="G132" i="3"/>
  <c r="F132" i="3"/>
  <c r="F138" i="3"/>
  <c r="E265" i="3"/>
  <c r="E291" i="3"/>
  <c r="E264" i="3"/>
  <c r="E276" i="3"/>
  <c r="J13" i="7"/>
  <c r="K13" i="7"/>
  <c r="H13" i="7"/>
  <c r="H6" i="11"/>
  <c r="H5" i="11"/>
  <c r="G5" i="11"/>
  <c r="G4" i="11"/>
  <c r="G30" i="11"/>
  <c r="C26" i="12"/>
  <c r="C28" i="12"/>
  <c r="J16" i="7"/>
  <c r="L16" i="7"/>
  <c r="H16" i="7"/>
  <c r="K16" i="7"/>
  <c r="D171" i="32"/>
  <c r="C523" i="3"/>
  <c r="E521" i="3"/>
  <c r="F8" i="6"/>
  <c r="N9" i="6"/>
  <c r="C32" i="7"/>
  <c r="F32" i="7"/>
  <c r="N28" i="6"/>
  <c r="C16" i="31"/>
  <c r="D503" i="3"/>
  <c r="C412" i="3"/>
  <c r="C415" i="3"/>
  <c r="C310" i="3"/>
  <c r="D167" i="3"/>
  <c r="I165" i="3"/>
  <c r="I166" i="3"/>
  <c r="I167" i="3"/>
  <c r="F165" i="3"/>
  <c r="F166" i="3"/>
  <c r="E165" i="3"/>
  <c r="H165" i="3"/>
  <c r="H166" i="3"/>
  <c r="H167" i="3"/>
  <c r="G165" i="3"/>
  <c r="G166" i="3"/>
  <c r="G167" i="3"/>
  <c r="D24" i="29"/>
  <c r="E15" i="20"/>
  <c r="E13" i="15"/>
  <c r="C30" i="7"/>
  <c r="F30" i="7"/>
  <c r="N26" i="6"/>
  <c r="F24" i="6"/>
  <c r="D693" i="3"/>
  <c r="G693" i="3"/>
  <c r="H693" i="3"/>
  <c r="F693" i="3"/>
  <c r="E693" i="3"/>
  <c r="C198" i="3"/>
  <c r="C201" i="3"/>
  <c r="C325" i="3"/>
  <c r="E35" i="6"/>
  <c r="F35" i="6"/>
  <c r="F12" i="7"/>
  <c r="G12" i="7"/>
  <c r="K12" i="7"/>
  <c r="J135" i="3"/>
  <c r="C450" i="3"/>
  <c r="N23" i="6"/>
  <c r="F22" i="6"/>
  <c r="N22" i="6"/>
  <c r="C14" i="31"/>
  <c r="C312" i="3"/>
  <c r="D505" i="3"/>
  <c r="C413" i="3"/>
  <c r="N20" i="6"/>
  <c r="F19" i="6"/>
  <c r="N19" i="6"/>
  <c r="D454" i="3"/>
  <c r="C457" i="3"/>
  <c r="D24" i="31"/>
  <c r="H27" i="11"/>
  <c r="H25" i="11"/>
  <c r="F25" i="11"/>
  <c r="D25" i="29"/>
  <c r="D14" i="24"/>
  <c r="D10" i="21"/>
  <c r="G21" i="7"/>
  <c r="F20" i="7"/>
  <c r="H21" i="7"/>
  <c r="C478" i="3"/>
  <c r="C486" i="3"/>
  <c r="D486" i="3"/>
  <c r="E486" i="3"/>
  <c r="F486" i="3"/>
  <c r="G486" i="3"/>
  <c r="G475" i="3"/>
  <c r="G478" i="3"/>
  <c r="F475" i="3"/>
  <c r="F478" i="3"/>
  <c r="E475" i="3"/>
  <c r="E478" i="3"/>
  <c r="D475" i="3"/>
  <c r="D478" i="3"/>
  <c r="H15" i="7"/>
  <c r="K15" i="7"/>
  <c r="J15" i="7"/>
  <c r="F95" i="3"/>
  <c r="C20" i="7"/>
  <c r="C22" i="7"/>
  <c r="J21" i="7"/>
  <c r="J10" i="7"/>
  <c r="C9" i="7"/>
  <c r="E6" i="20"/>
  <c r="J19" i="7"/>
  <c r="J18" i="7"/>
  <c r="H18" i="7"/>
  <c r="C17" i="7"/>
  <c r="H129" i="34"/>
  <c r="H131" i="34"/>
  <c r="H75" i="34"/>
  <c r="C76" i="34"/>
  <c r="F19" i="7"/>
  <c r="G19" i="7"/>
  <c r="K19" i="7"/>
  <c r="J129" i="3"/>
  <c r="H11" i="7"/>
  <c r="K11" i="7"/>
  <c r="J11" i="7"/>
  <c r="F18" i="10"/>
  <c r="C14" i="15"/>
  <c r="N12" i="6"/>
  <c r="F11" i="6"/>
  <c r="N11" i="6"/>
  <c r="K117" i="3"/>
  <c r="I117" i="3"/>
  <c r="H117" i="3"/>
  <c r="F117" i="3"/>
  <c r="G117" i="3"/>
  <c r="E122" i="3"/>
  <c r="E138" i="3"/>
  <c r="C467" i="3"/>
  <c r="K128" i="3"/>
  <c r="J117" i="3"/>
  <c r="C421" i="3"/>
  <c r="F59" i="3"/>
  <c r="F58" i="3"/>
  <c r="F57" i="3"/>
  <c r="F56" i="3"/>
  <c r="F60" i="3"/>
  <c r="F61" i="3"/>
  <c r="D29" i="29"/>
  <c r="H19" i="7"/>
  <c r="H17" i="7"/>
  <c r="E49" i="31"/>
  <c r="E51" i="31"/>
  <c r="D26" i="29"/>
  <c r="E26" i="29"/>
  <c r="F26" i="29"/>
  <c r="G26" i="29"/>
  <c r="H26" i="29"/>
  <c r="D11" i="21"/>
  <c r="E11" i="21"/>
  <c r="F11" i="21"/>
  <c r="G11" i="21"/>
  <c r="H11" i="21"/>
  <c r="D14" i="15"/>
  <c r="D16" i="20"/>
  <c r="C6" i="12"/>
  <c r="D502" i="3"/>
  <c r="L19" i="7"/>
  <c r="L13" i="7"/>
  <c r="F17" i="7"/>
  <c r="L11" i="7"/>
  <c r="C136" i="34"/>
  <c r="C138" i="34"/>
  <c r="C135" i="34"/>
  <c r="C137" i="34"/>
  <c r="C134" i="34"/>
  <c r="E35" i="29"/>
  <c r="E20" i="21"/>
  <c r="E6" i="24"/>
  <c r="G6" i="20"/>
  <c r="L15" i="7"/>
  <c r="H20" i="7"/>
  <c r="K21" i="7"/>
  <c r="K20" i="7"/>
  <c r="D18" i="31"/>
  <c r="F15" i="20"/>
  <c r="F13" i="15"/>
  <c r="F167" i="3"/>
  <c r="G120" i="3"/>
  <c r="K120" i="3"/>
  <c r="F120" i="3"/>
  <c r="J120" i="3"/>
  <c r="I120" i="3"/>
  <c r="H120" i="3"/>
  <c r="H12" i="7"/>
  <c r="L8" i="7"/>
  <c r="G467" i="3"/>
  <c r="F467" i="3"/>
  <c r="E467" i="3"/>
  <c r="D467" i="3"/>
  <c r="J20" i="7"/>
  <c r="C7" i="20"/>
  <c r="C15" i="15"/>
  <c r="D15" i="15"/>
  <c r="E15" i="15"/>
  <c r="F15" i="15"/>
  <c r="G15" i="15"/>
  <c r="N24" i="6"/>
  <c r="I119" i="3"/>
  <c r="F119" i="3"/>
  <c r="H119" i="3"/>
  <c r="G119" i="3"/>
  <c r="K119" i="3"/>
  <c r="G465" i="3"/>
  <c r="D465" i="3"/>
  <c r="F465" i="3"/>
  <c r="E465" i="3"/>
  <c r="C79" i="34"/>
  <c r="C78" i="34"/>
  <c r="C80" i="34"/>
  <c r="C77" i="34"/>
  <c r="D183" i="3"/>
  <c r="G322" i="3"/>
  <c r="F102" i="3"/>
  <c r="E166" i="3"/>
  <c r="J165" i="3"/>
  <c r="J166" i="3"/>
  <c r="C179" i="32"/>
  <c r="E171" i="32"/>
  <c r="D225" i="32"/>
  <c r="E14" i="24"/>
  <c r="E25" i="29"/>
  <c r="E10" i="21"/>
  <c r="E277" i="3"/>
  <c r="E290" i="3"/>
  <c r="E292" i="3"/>
  <c r="E293" i="3"/>
  <c r="E266" i="3"/>
  <c r="D35" i="29"/>
  <c r="D20" i="21"/>
  <c r="D6" i="24"/>
  <c r="H6" i="20"/>
  <c r="L12" i="7"/>
  <c r="J133" i="3"/>
  <c r="J138" i="3"/>
  <c r="H430" i="3"/>
  <c r="K8" i="7"/>
  <c r="C291" i="3"/>
  <c r="F295" i="3"/>
  <c r="F268" i="3"/>
  <c r="E161" i="3"/>
  <c r="J161" i="3"/>
  <c r="J160" i="3"/>
  <c r="C577" i="3"/>
  <c r="G122" i="3"/>
  <c r="F122" i="3"/>
  <c r="I122" i="3"/>
  <c r="H122" i="3"/>
  <c r="E10" i="13"/>
  <c r="F10" i="13" s="1"/>
  <c r="G18" i="10"/>
  <c r="H10" i="7"/>
  <c r="H9" i="7"/>
  <c r="D457" i="3"/>
  <c r="H454" i="3"/>
  <c r="H457" i="3"/>
  <c r="F454" i="3"/>
  <c r="F457" i="3"/>
  <c r="E454" i="3"/>
  <c r="E457" i="3"/>
  <c r="G454" i="3"/>
  <c r="G457" i="3"/>
  <c r="C21" i="4" a="1"/>
  <c r="F35" i="29"/>
  <c r="F20" i="21"/>
  <c r="F6" i="24"/>
  <c r="D266" i="3"/>
  <c r="D277" i="3"/>
  <c r="D290" i="3"/>
  <c r="D292" i="3"/>
  <c r="D293" i="3"/>
  <c r="G636" i="3"/>
  <c r="G680" i="3"/>
  <c r="D226" i="32"/>
  <c r="E226" i="32"/>
  <c r="E172" i="32"/>
  <c r="J6" i="7"/>
  <c r="K122" i="3"/>
  <c r="J9" i="7"/>
  <c r="L10" i="7"/>
  <c r="H450" i="3"/>
  <c r="G450" i="3"/>
  <c r="F450" i="3"/>
  <c r="E450" i="3"/>
  <c r="D450" i="3"/>
  <c r="H138" i="3"/>
  <c r="G19" i="8"/>
  <c r="H7" i="8"/>
  <c r="G7" i="7"/>
  <c r="F6" i="7"/>
  <c r="G696" i="3"/>
  <c r="F607" i="3"/>
  <c r="F647" i="3"/>
  <c r="K118" i="3"/>
  <c r="H118" i="3"/>
  <c r="G118" i="3"/>
  <c r="F118" i="3"/>
  <c r="I118" i="3"/>
  <c r="D464" i="3"/>
  <c r="G464" i="3"/>
  <c r="F464" i="3"/>
  <c r="E464" i="3"/>
  <c r="K138" i="3"/>
  <c r="L18" i="7"/>
  <c r="L17" i="7"/>
  <c r="J17" i="7"/>
  <c r="C313" i="3"/>
  <c r="C318" i="3"/>
  <c r="N8" i="6"/>
  <c r="F7" i="6"/>
  <c r="F29" i="6"/>
  <c r="F33" i="7"/>
  <c r="H696" i="3"/>
  <c r="G607" i="3"/>
  <c r="G647" i="3"/>
  <c r="J118" i="3"/>
  <c r="F9" i="7"/>
  <c r="F22" i="7"/>
  <c r="H680" i="3"/>
  <c r="H636" i="3"/>
  <c r="N29" i="6"/>
  <c r="D33" i="29"/>
  <c r="E33" i="29"/>
  <c r="F33" i="29"/>
  <c r="G33" i="29"/>
  <c r="H33" i="29"/>
  <c r="D18" i="21"/>
  <c r="E18" i="21"/>
  <c r="F18" i="21"/>
  <c r="G18" i="21"/>
  <c r="H18" i="21"/>
  <c r="C10" i="15"/>
  <c r="D12" i="21"/>
  <c r="E12" i="21"/>
  <c r="F12" i="21"/>
  <c r="G12" i="21"/>
  <c r="H12" i="21"/>
  <c r="C449" i="3"/>
  <c r="D188" i="3"/>
  <c r="D203" i="3"/>
  <c r="C334" i="3"/>
  <c r="C185" i="3"/>
  <c r="C7" i="24"/>
  <c r="C21" i="21"/>
  <c r="G35" i="29"/>
  <c r="G6" i="24"/>
  <c r="G20" i="21"/>
  <c r="C593" i="3"/>
  <c r="C493" i="3"/>
  <c r="H7" i="7"/>
  <c r="H6" i="7"/>
  <c r="H22" i="7"/>
  <c r="H10" i="20"/>
  <c r="K7" i="7"/>
  <c r="E225" i="32"/>
  <c r="L21" i="7"/>
  <c r="L20" i="7"/>
  <c r="G15" i="20"/>
  <c r="G13" i="15"/>
  <c r="H15" i="20"/>
  <c r="E16" i="20"/>
  <c r="E14" i="15"/>
  <c r="G613" i="3"/>
  <c r="G577" i="3"/>
  <c r="E613" i="3"/>
  <c r="E577" i="3"/>
  <c r="D613" i="3"/>
  <c r="D577" i="3"/>
  <c r="C613" i="3"/>
  <c r="F577" i="3"/>
  <c r="F613" i="3"/>
  <c r="M10" i="15"/>
  <c r="F8" i="19"/>
  <c r="L10" i="15"/>
  <c r="E8" i="19"/>
  <c r="J10" i="15"/>
  <c r="C8" i="19"/>
  <c r="K10" i="15"/>
  <c r="D8" i="19"/>
  <c r="N10" i="15"/>
  <c r="G8" i="19"/>
  <c r="C194" i="3"/>
  <c r="K324" i="3"/>
  <c r="J167" i="3"/>
  <c r="J22" i="7"/>
  <c r="F25" i="29"/>
  <c r="F14" i="24"/>
  <c r="F10" i="21"/>
  <c r="C6" i="20"/>
  <c r="N7" i="6"/>
  <c r="C671" i="3"/>
  <c r="L9" i="7"/>
  <c r="E167" i="3"/>
  <c r="J119" i="3"/>
  <c r="J122" i="3"/>
  <c r="H429" i="3"/>
  <c r="H434" i="3"/>
  <c r="E31" i="6"/>
  <c r="F31" i="6"/>
  <c r="H35" i="29"/>
  <c r="H6" i="24"/>
  <c r="H20" i="21"/>
  <c r="H10" i="24"/>
  <c r="H23" i="21"/>
  <c r="H38" i="29"/>
  <c r="F16" i="20"/>
  <c r="F14" i="15"/>
  <c r="G578" i="3"/>
  <c r="F578" i="3"/>
  <c r="E578" i="3"/>
  <c r="D578" i="3"/>
  <c r="C578" i="3"/>
  <c r="C468" i="3"/>
  <c r="F653" i="3"/>
  <c r="E653" i="3"/>
  <c r="D653" i="3"/>
  <c r="C653" i="3"/>
  <c r="G653" i="3"/>
  <c r="D23" i="11"/>
  <c r="F23" i="11"/>
  <c r="C631" i="3"/>
  <c r="C2" i="29"/>
  <c r="C10" i="12"/>
  <c r="C20" i="21"/>
  <c r="C6" i="24"/>
  <c r="D16" i="11"/>
  <c r="F16" i="11"/>
  <c r="D18" i="8"/>
  <c r="C188" i="3"/>
  <c r="C451" i="3"/>
  <c r="C452" i="3"/>
  <c r="C458" i="3"/>
  <c r="C484" i="3"/>
  <c r="G324" i="3"/>
  <c r="C24" i="4" a="1"/>
  <c r="K325" i="3"/>
  <c r="K326" i="3"/>
  <c r="C324" i="3"/>
  <c r="E34" i="6"/>
  <c r="F34" i="6"/>
  <c r="C193" i="3"/>
  <c r="C335" i="3"/>
  <c r="H25" i="29"/>
  <c r="H10" i="21"/>
  <c r="H14" i="24"/>
  <c r="K6" i="7"/>
  <c r="K22" i="7"/>
  <c r="L7" i="7"/>
  <c r="L6" i="7"/>
  <c r="L22" i="7"/>
  <c r="H13" i="21"/>
  <c r="C210" i="3"/>
  <c r="C209" i="3"/>
  <c r="G10" i="21"/>
  <c r="G14" i="24"/>
  <c r="G25" i="29"/>
  <c r="D449" i="3"/>
  <c r="D10" i="15"/>
  <c r="G614" i="3"/>
  <c r="F614" i="3"/>
  <c r="E614" i="3"/>
  <c r="D614" i="3"/>
  <c r="C614" i="3"/>
  <c r="E47" i="31"/>
  <c r="J11" i="15"/>
  <c r="C330" i="3"/>
  <c r="J333" i="3"/>
  <c r="J336" i="3"/>
  <c r="J339" i="3"/>
  <c r="J340" i="3"/>
  <c r="C344" i="3"/>
  <c r="H16" i="11"/>
  <c r="H15" i="11"/>
  <c r="H4" i="11"/>
  <c r="F15" i="11"/>
  <c r="E468" i="3"/>
  <c r="E469" i="3"/>
  <c r="D468" i="3"/>
  <c r="D469" i="3"/>
  <c r="F468" i="3"/>
  <c r="F469" i="3"/>
  <c r="G468" i="3"/>
  <c r="G469" i="3"/>
  <c r="C469" i="3"/>
  <c r="F700" i="3"/>
  <c r="F96" i="34"/>
  <c r="F152" i="34"/>
  <c r="D700" i="3"/>
  <c r="D96" i="34"/>
  <c r="D152" i="34"/>
  <c r="E700" i="3"/>
  <c r="E96" i="34"/>
  <c r="E152" i="34"/>
  <c r="H700" i="3"/>
  <c r="H96" i="34"/>
  <c r="H152" i="34"/>
  <c r="G700" i="3"/>
  <c r="G96" i="34"/>
  <c r="G152" i="34"/>
  <c r="H449" i="3"/>
  <c r="D452" i="3"/>
  <c r="D458" i="3"/>
  <c r="F449" i="3"/>
  <c r="F452" i="3"/>
  <c r="F458" i="3"/>
  <c r="E449" i="3"/>
  <c r="G449" i="3"/>
  <c r="E33" i="6"/>
  <c r="F33" i="6"/>
  <c r="F36" i="6"/>
  <c r="G325" i="3"/>
  <c r="C323" i="3"/>
  <c r="D451" i="3"/>
  <c r="H451" i="3"/>
  <c r="G451" i="3"/>
  <c r="F451" i="3"/>
  <c r="E451" i="3"/>
  <c r="E10" i="15"/>
  <c r="D8" i="13"/>
  <c r="C27" i="14"/>
  <c r="D229" i="3"/>
  <c r="D19" i="14"/>
  <c r="D221" i="3"/>
  <c r="D11" i="14"/>
  <c r="D227" i="3"/>
  <c r="D17" i="14"/>
  <c r="D230" i="3"/>
  <c r="D20" i="14"/>
  <c r="D222" i="3"/>
  <c r="D12" i="14"/>
  <c r="D217" i="3"/>
  <c r="D7" i="14"/>
  <c r="D215" i="3"/>
  <c r="D5" i="14"/>
  <c r="D225" i="3"/>
  <c r="D15" i="14"/>
  <c r="D228" i="3"/>
  <c r="D18" i="14"/>
  <c r="D220" i="3"/>
  <c r="D10" i="14"/>
  <c r="D231" i="3"/>
  <c r="D21" i="14"/>
  <c r="D223" i="3"/>
  <c r="D13" i="14"/>
  <c r="D226" i="3"/>
  <c r="D16" i="14"/>
  <c r="D218" i="3"/>
  <c r="D8" i="14"/>
  <c r="D224" i="3"/>
  <c r="D14" i="14"/>
  <c r="D216" i="3"/>
  <c r="D6" i="14"/>
  <c r="D24" i="11"/>
  <c r="F24" i="11"/>
  <c r="H24" i="11"/>
  <c r="C195" i="3"/>
  <c r="C203" i="3"/>
  <c r="D17" i="8"/>
  <c r="H23" i="11"/>
  <c r="G16" i="20"/>
  <c r="G14" i="15"/>
  <c r="H16" i="20"/>
  <c r="F691" i="3"/>
  <c r="H691" i="3"/>
  <c r="H694" i="3"/>
  <c r="H88" i="34"/>
  <c r="D484" i="3"/>
  <c r="G691" i="3"/>
  <c r="E691" i="3"/>
  <c r="F692" i="3"/>
  <c r="D692" i="3"/>
  <c r="G692" i="3"/>
  <c r="C485" i="3"/>
  <c r="H692" i="3"/>
  <c r="E692" i="3"/>
  <c r="C654" i="3"/>
  <c r="G654" i="3"/>
  <c r="F654" i="3"/>
  <c r="E654" i="3"/>
  <c r="D654" i="3"/>
  <c r="F17" i="11"/>
  <c r="D21" i="13"/>
  <c r="D9" i="13"/>
  <c r="D11" i="13"/>
  <c r="C12" i="13" s="1"/>
  <c r="E8" i="13"/>
  <c r="H17" i="11"/>
  <c r="F10" i="15"/>
  <c r="H452" i="3"/>
  <c r="H458" i="3"/>
  <c r="C27" i="4" a="1"/>
  <c r="C7" i="12"/>
  <c r="F4" i="11"/>
  <c r="H18" i="8"/>
  <c r="F17" i="8"/>
  <c r="K7" i="15"/>
  <c r="K11" i="15"/>
  <c r="C347" i="3"/>
  <c r="C348" i="3"/>
  <c r="C365" i="3"/>
  <c r="C367" i="3"/>
  <c r="C354" i="3"/>
  <c r="C356" i="3"/>
  <c r="C226" i="3"/>
  <c r="C218" i="3"/>
  <c r="C216" i="3"/>
  <c r="C208" i="3"/>
  <c r="C224" i="3"/>
  <c r="C227" i="3"/>
  <c r="C219" i="3"/>
  <c r="C230" i="3"/>
  <c r="C222" i="3"/>
  <c r="C217" i="3"/>
  <c r="C215" i="3"/>
  <c r="C225" i="3"/>
  <c r="C228" i="3"/>
  <c r="C220" i="3"/>
  <c r="C229" i="3"/>
  <c r="C221" i="3"/>
  <c r="C231" i="3"/>
  <c r="C223" i="3"/>
  <c r="D204" i="3"/>
  <c r="L401" i="3"/>
  <c r="G452" i="3"/>
  <c r="G458" i="3"/>
  <c r="D691" i="3"/>
  <c r="D694" i="3"/>
  <c r="D88" i="34"/>
  <c r="D144" i="34"/>
  <c r="E144" i="34"/>
  <c r="C328" i="3"/>
  <c r="C333" i="3"/>
  <c r="E452" i="3"/>
  <c r="E458" i="3"/>
  <c r="C16" i="19"/>
  <c r="D354" i="3"/>
  <c r="D356" i="3"/>
  <c r="D494" i="3"/>
  <c r="G365" i="3"/>
  <c r="F365" i="3"/>
  <c r="E365" i="3"/>
  <c r="G354" i="3"/>
  <c r="G356" i="3"/>
  <c r="D365" i="3"/>
  <c r="D367" i="3"/>
  <c r="F354" i="3"/>
  <c r="F356" i="3"/>
  <c r="E354" i="3"/>
  <c r="E356" i="3"/>
  <c r="C6" i="14"/>
  <c r="E216" i="3"/>
  <c r="E6" i="14"/>
  <c r="C13" i="14"/>
  <c r="E223" i="3"/>
  <c r="E13" i="14"/>
  <c r="C7" i="14"/>
  <c r="E217" i="3"/>
  <c r="E7" i="14"/>
  <c r="C8" i="14"/>
  <c r="E218" i="3"/>
  <c r="E8" i="14"/>
  <c r="F8" i="13"/>
  <c r="E9" i="13"/>
  <c r="E11" i="13"/>
  <c r="D701" i="3"/>
  <c r="D97" i="34"/>
  <c r="D153" i="34"/>
  <c r="G701" i="3"/>
  <c r="G97" i="34"/>
  <c r="G153" i="34"/>
  <c r="H701" i="3"/>
  <c r="H97" i="34"/>
  <c r="H153" i="34"/>
  <c r="F701" i="3"/>
  <c r="F97" i="34"/>
  <c r="F153" i="34"/>
  <c r="E701" i="3"/>
  <c r="E97" i="34"/>
  <c r="E153" i="34"/>
  <c r="C21" i="14"/>
  <c r="E231" i="3"/>
  <c r="E21" i="14"/>
  <c r="C12" i="14"/>
  <c r="E222" i="3"/>
  <c r="E12" i="14"/>
  <c r="C16" i="14"/>
  <c r="E226" i="3"/>
  <c r="E16" i="14"/>
  <c r="E694" i="3"/>
  <c r="E88" i="34"/>
  <c r="E21" i="13"/>
  <c r="D22" i="13"/>
  <c r="D23" i="13"/>
  <c r="C24" i="13"/>
  <c r="G694" i="3"/>
  <c r="G88" i="34"/>
  <c r="C11" i="14"/>
  <c r="E221" i="3"/>
  <c r="E11" i="14"/>
  <c r="C19" i="14"/>
  <c r="E229" i="3"/>
  <c r="E19" i="14"/>
  <c r="C371" i="3"/>
  <c r="D379" i="3"/>
  <c r="D485" i="3"/>
  <c r="E485" i="3"/>
  <c r="F485" i="3"/>
  <c r="G485" i="3"/>
  <c r="C487" i="3"/>
  <c r="C571" i="3"/>
  <c r="C336" i="3"/>
  <c r="C339" i="3"/>
  <c r="C340" i="3"/>
  <c r="C10" i="14"/>
  <c r="E220" i="3"/>
  <c r="E10" i="14"/>
  <c r="C17" i="14"/>
  <c r="E227" i="3"/>
  <c r="E17" i="14"/>
  <c r="G144" i="34"/>
  <c r="F144" i="34"/>
  <c r="H144" i="34"/>
  <c r="C18" i="14"/>
  <c r="E228" i="3"/>
  <c r="E18" i="14"/>
  <c r="C14" i="14"/>
  <c r="E224" i="3"/>
  <c r="E14" i="14"/>
  <c r="H17" i="8"/>
  <c r="H19" i="8"/>
  <c r="F19" i="8"/>
  <c r="L7" i="15"/>
  <c r="L11" i="15"/>
  <c r="F694" i="3"/>
  <c r="F88" i="34"/>
  <c r="C5" i="14"/>
  <c r="E215" i="3"/>
  <c r="E5" i="14"/>
  <c r="C20" i="14"/>
  <c r="E230" i="3"/>
  <c r="E20" i="14"/>
  <c r="C9" i="14"/>
  <c r="D16" i="19"/>
  <c r="C5" i="12"/>
  <c r="C8" i="12"/>
  <c r="F30" i="11"/>
  <c r="D487" i="3"/>
  <c r="E484" i="3"/>
  <c r="C15" i="14"/>
  <c r="E225" i="3"/>
  <c r="E15" i="14"/>
  <c r="C28" i="14"/>
  <c r="G10" i="15"/>
  <c r="C372" i="3"/>
  <c r="E379" i="3"/>
  <c r="F21" i="13"/>
  <c r="E22" i="13"/>
  <c r="E23" i="13"/>
  <c r="D24" i="13"/>
  <c r="C604" i="3"/>
  <c r="C644" i="3"/>
  <c r="D571" i="3"/>
  <c r="F484" i="3"/>
  <c r="E487" i="3"/>
  <c r="D391" i="3"/>
  <c r="C7" i="31"/>
  <c r="D10" i="31"/>
  <c r="E26" i="31"/>
  <c r="C379" i="3"/>
  <c r="F30" i="6"/>
  <c r="F37" i="6"/>
  <c r="M7" i="15"/>
  <c r="M11" i="15"/>
  <c r="E422" i="3"/>
  <c r="G422" i="3"/>
  <c r="F422" i="3"/>
  <c r="D422" i="3"/>
  <c r="E391" i="3"/>
  <c r="C11" i="29"/>
  <c r="C45" i="29"/>
  <c r="H30" i="11"/>
  <c r="C27" i="12"/>
  <c r="C5" i="19"/>
  <c r="D5" i="19"/>
  <c r="E5" i="19"/>
  <c r="F5" i="19"/>
  <c r="G5" i="19"/>
  <c r="G8" i="13"/>
  <c r="F9" i="13"/>
  <c r="E366" i="3"/>
  <c r="E367" i="3"/>
  <c r="E16" i="19"/>
  <c r="C373" i="3"/>
  <c r="F379" i="3"/>
  <c r="E494" i="3"/>
  <c r="D496" i="3"/>
  <c r="D35" i="33"/>
  <c r="D36" i="33"/>
  <c r="G510" i="3"/>
  <c r="G511" i="3"/>
  <c r="F423" i="3"/>
  <c r="E571" i="3"/>
  <c r="D604" i="3"/>
  <c r="D644" i="3"/>
  <c r="G366" i="3"/>
  <c r="G367" i="3"/>
  <c r="F366" i="3"/>
  <c r="F367" i="3"/>
  <c r="C382" i="3"/>
  <c r="H510" i="3"/>
  <c r="H511" i="3"/>
  <c r="G423" i="3"/>
  <c r="E423" i="3"/>
  <c r="F510" i="3"/>
  <c r="F511" i="3"/>
  <c r="G16" i="19"/>
  <c r="R64" i="29"/>
  <c r="L64" i="29"/>
  <c r="F64" i="29"/>
  <c r="X64" i="29"/>
  <c r="G21" i="13"/>
  <c r="F22" i="13"/>
  <c r="F23" i="13"/>
  <c r="E24" i="13"/>
  <c r="F391" i="3"/>
  <c r="C374" i="3"/>
  <c r="G379" i="3"/>
  <c r="F494" i="3"/>
  <c r="E496" i="3"/>
  <c r="E35" i="33"/>
  <c r="E36" i="33"/>
  <c r="H8" i="13"/>
  <c r="G9" i="13"/>
  <c r="F16" i="19"/>
  <c r="C417" i="3"/>
  <c r="C391" i="3"/>
  <c r="C393" i="3"/>
  <c r="E510" i="3"/>
  <c r="E511" i="3"/>
  <c r="D423" i="3"/>
  <c r="F487" i="3"/>
  <c r="G484" i="3"/>
  <c r="G487" i="3"/>
  <c r="H21" i="13"/>
  <c r="G22" i="13"/>
  <c r="G23" i="13"/>
  <c r="F24" i="13"/>
  <c r="C386" i="3"/>
  <c r="E386" i="3"/>
  <c r="G392" i="3"/>
  <c r="G391" i="3"/>
  <c r="D510" i="3"/>
  <c r="D511" i="3"/>
  <c r="C422" i="3"/>
  <c r="H435" i="3"/>
  <c r="E604" i="3"/>
  <c r="E644" i="3"/>
  <c r="F571" i="3"/>
  <c r="C384" i="3"/>
  <c r="E384" i="3"/>
  <c r="E392" i="3"/>
  <c r="E393" i="3"/>
  <c r="C383" i="3"/>
  <c r="E383" i="3"/>
  <c r="D392" i="3"/>
  <c r="D393" i="3"/>
  <c r="G494" i="3"/>
  <c r="G496" i="3"/>
  <c r="G35" i="33"/>
  <c r="G36" i="33"/>
  <c r="F496" i="3"/>
  <c r="F35" i="33"/>
  <c r="F36" i="33"/>
  <c r="F585" i="3"/>
  <c r="E585" i="3"/>
  <c r="D585" i="3"/>
  <c r="G585" i="3"/>
  <c r="C385" i="3"/>
  <c r="E385" i="3"/>
  <c r="F392" i="3"/>
  <c r="F393" i="3"/>
  <c r="I8" i="13"/>
  <c r="H9" i="13"/>
  <c r="C518" i="3"/>
  <c r="C585" i="3"/>
  <c r="C494" i="3"/>
  <c r="C423" i="3"/>
  <c r="G393" i="3"/>
  <c r="G53" i="32"/>
  <c r="E53" i="32"/>
  <c r="G571" i="3"/>
  <c r="G604" i="3"/>
  <c r="G644" i="3"/>
  <c r="F604" i="3"/>
  <c r="F644" i="3"/>
  <c r="D53" i="32"/>
  <c r="F595" i="3"/>
  <c r="F597" i="3"/>
  <c r="D595" i="3"/>
  <c r="D597" i="3"/>
  <c r="G595" i="3"/>
  <c r="G597" i="3"/>
  <c r="E595" i="3"/>
  <c r="E597" i="3"/>
  <c r="J8" i="13"/>
  <c r="I9" i="13"/>
  <c r="F53" i="32"/>
  <c r="H622" i="3"/>
  <c r="H436" i="3"/>
  <c r="H437" i="3"/>
  <c r="H495" i="3"/>
  <c r="I21" i="13"/>
  <c r="H22" i="13"/>
  <c r="H23" i="13"/>
  <c r="G24" i="13"/>
  <c r="H683" i="3"/>
  <c r="H634" i="3"/>
  <c r="K8" i="13"/>
  <c r="J9" i="13"/>
  <c r="C53" i="32"/>
  <c r="C55" i="32"/>
  <c r="C587" i="3"/>
  <c r="D104" i="34"/>
  <c r="F633" i="3"/>
  <c r="D633" i="3"/>
  <c r="F622" i="3"/>
  <c r="E622" i="3"/>
  <c r="D622" i="3"/>
  <c r="G622" i="3"/>
  <c r="G633" i="3"/>
  <c r="G637" i="3"/>
  <c r="G662" i="3"/>
  <c r="E633" i="3"/>
  <c r="I516" i="3"/>
  <c r="J21" i="13"/>
  <c r="I22" i="13"/>
  <c r="I23" i="13"/>
  <c r="H24" i="13"/>
  <c r="C595" i="3"/>
  <c r="H494" i="3"/>
  <c r="H496" i="3"/>
  <c r="C496" i="3"/>
  <c r="C35" i="33"/>
  <c r="C36" i="33"/>
  <c r="E674" i="3"/>
  <c r="E676" i="3"/>
  <c r="E679" i="3"/>
  <c r="G674" i="3"/>
  <c r="G676" i="3"/>
  <c r="G679" i="3"/>
  <c r="G685" i="3"/>
  <c r="F674" i="3"/>
  <c r="F676" i="3"/>
  <c r="F679" i="3"/>
  <c r="D674" i="3"/>
  <c r="D676" i="3"/>
  <c r="D679" i="3"/>
  <c r="C633" i="3"/>
  <c r="H595" i="3"/>
  <c r="H597" i="3"/>
  <c r="C597" i="3"/>
  <c r="C622" i="3"/>
  <c r="C625" i="3"/>
  <c r="L8" i="13"/>
  <c r="K9" i="13"/>
  <c r="K21" i="13"/>
  <c r="J22" i="13"/>
  <c r="J23" i="13"/>
  <c r="I24" i="13"/>
  <c r="D159" i="34"/>
  <c r="D163" i="34"/>
  <c r="D108" i="34"/>
  <c r="J522" i="3"/>
  <c r="K517" i="3"/>
  <c r="I523" i="3"/>
  <c r="J525" i="3"/>
  <c r="J521" i="3"/>
  <c r="J524" i="3"/>
  <c r="D74" i="32"/>
  <c r="E77" i="32"/>
  <c r="C280" i="32"/>
  <c r="E72" i="32"/>
  <c r="C205" i="32"/>
  <c r="C92" i="32"/>
  <c r="C263" i="32"/>
  <c r="D123" i="32"/>
  <c r="D191" i="32"/>
  <c r="C289" i="32"/>
  <c r="C149" i="32"/>
  <c r="C214" i="32"/>
  <c r="D240" i="32"/>
  <c r="H35" i="33"/>
  <c r="H36" i="33"/>
  <c r="I36" i="33"/>
  <c r="H585" i="3"/>
  <c r="C120" i="34"/>
  <c r="C111" i="34"/>
  <c r="C175" i="34"/>
  <c r="C166" i="34"/>
  <c r="C674" i="3"/>
  <c r="C676" i="3"/>
  <c r="H633" i="3"/>
  <c r="J526" i="3"/>
  <c r="J517" i="3"/>
  <c r="L21" i="13"/>
  <c r="K22" i="13"/>
  <c r="K23" i="13"/>
  <c r="J24" i="13"/>
  <c r="J523" i="3"/>
  <c r="I526" i="3"/>
  <c r="I517" i="3"/>
  <c r="I518" i="3"/>
  <c r="J518" i="3"/>
  <c r="M8" i="13"/>
  <c r="L9" i="13"/>
  <c r="C314" i="32"/>
  <c r="H53" i="32"/>
  <c r="D136" i="32"/>
  <c r="H9" i="27"/>
  <c r="C517" i="3"/>
  <c r="D323" i="32"/>
  <c r="M21" i="13"/>
  <c r="L22" i="13"/>
  <c r="L23" i="13"/>
  <c r="K24" i="13"/>
  <c r="J516" i="3"/>
  <c r="N8" i="13"/>
  <c r="M9" i="13"/>
  <c r="H682" i="3"/>
  <c r="H685" i="3"/>
  <c r="H637" i="3"/>
  <c r="H662" i="3"/>
  <c r="N21" i="13"/>
  <c r="M22" i="13"/>
  <c r="M23" i="13"/>
  <c r="L24" i="13"/>
  <c r="C40" i="6"/>
  <c r="C519" i="3"/>
  <c r="O8" i="13"/>
  <c r="O9" i="13"/>
  <c r="N9" i="13"/>
  <c r="C46" i="29" a="1"/>
  <c r="D66" i="28"/>
  <c r="D52" i="28"/>
  <c r="C39" i="6"/>
  <c r="H37" i="6"/>
  <c r="P37" i="6"/>
  <c r="D3" i="18"/>
  <c r="E3" i="16"/>
  <c r="C524" i="3"/>
  <c r="O21" i="13"/>
  <c r="O22" i="13"/>
  <c r="O23" i="13"/>
  <c r="N24" i="13"/>
  <c r="P24" i="13"/>
  <c r="F25" i="13"/>
  <c r="N22" i="13"/>
  <c r="N23" i="13"/>
  <c r="M24" i="13"/>
  <c r="D64" i="28"/>
  <c r="D50" i="28"/>
  <c r="D54" i="28"/>
  <c r="G37" i="6"/>
  <c r="C171" i="32"/>
  <c r="C531" i="3"/>
  <c r="C526" i="3"/>
  <c r="D2" i="17"/>
  <c r="E10" i="16"/>
  <c r="D13" i="16"/>
  <c r="D55" i="16"/>
  <c r="H55" i="16"/>
  <c r="D56" i="16"/>
  <c r="I10" i="16"/>
  <c r="F56" i="16"/>
  <c r="C225" i="32"/>
  <c r="E14" i="16"/>
  <c r="E91" i="16"/>
  <c r="E87" i="16"/>
  <c r="E83" i="16"/>
  <c r="E79" i="16"/>
  <c r="E75" i="16"/>
  <c r="E71" i="16"/>
  <c r="E67" i="16"/>
  <c r="E63" i="16"/>
  <c r="E59" i="16"/>
  <c r="E90" i="16"/>
  <c r="E86" i="16"/>
  <c r="E82" i="16"/>
  <c r="E78" i="16"/>
  <c r="E74" i="16"/>
  <c r="E84" i="16"/>
  <c r="E65" i="16"/>
  <c r="E58" i="16"/>
  <c r="F42" i="16"/>
  <c r="F30" i="16"/>
  <c r="F19" i="16"/>
  <c r="E89" i="16"/>
  <c r="E81" i="16"/>
  <c r="F48" i="16"/>
  <c r="F45" i="16"/>
  <c r="F36" i="16"/>
  <c r="F33" i="16"/>
  <c r="F22" i="16"/>
  <c r="F14" i="16"/>
  <c r="G14" i="16"/>
  <c r="D14" i="16"/>
  <c r="E76" i="16"/>
  <c r="E68" i="16"/>
  <c r="E56" i="16"/>
  <c r="G56" i="16"/>
  <c r="F46" i="16"/>
  <c r="F43" i="16"/>
  <c r="F37" i="16"/>
  <c r="F31" i="16"/>
  <c r="F20" i="16"/>
  <c r="E85" i="16"/>
  <c r="E64" i="16"/>
  <c r="E57" i="16"/>
  <c r="F41" i="16"/>
  <c r="F29" i="16"/>
  <c r="F18" i="16"/>
  <c r="E73" i="16"/>
  <c r="E69" i="16"/>
  <c r="E62" i="16"/>
  <c r="F47" i="16"/>
  <c r="F44" i="16"/>
  <c r="F35" i="16"/>
  <c r="F32" i="16"/>
  <c r="F21" i="16"/>
  <c r="E80" i="16"/>
  <c r="F38" i="16"/>
  <c r="F26" i="16"/>
  <c r="F34" i="16"/>
  <c r="F17" i="16"/>
  <c r="E72" i="16"/>
  <c r="F49" i="16"/>
  <c r="F16" i="16"/>
  <c r="E66" i="16"/>
  <c r="E61" i="16"/>
  <c r="F15" i="16"/>
  <c r="E70" i="16"/>
  <c r="F39" i="16"/>
  <c r="F27" i="16"/>
  <c r="F23" i="16"/>
  <c r="F40" i="16"/>
  <c r="E77" i="16"/>
  <c r="E60" i="16"/>
  <c r="F24" i="16"/>
  <c r="F25" i="16"/>
  <c r="E88" i="16"/>
  <c r="F28" i="16"/>
  <c r="D19" i="27"/>
  <c r="O37" i="6"/>
  <c r="C5" i="23"/>
  <c r="D12" i="17"/>
  <c r="F40" i="18"/>
  <c r="F35" i="18"/>
  <c r="F24" i="18"/>
  <c r="F19" i="18"/>
  <c r="F45" i="18"/>
  <c r="F34" i="18"/>
  <c r="F29" i="18"/>
  <c r="F18" i="18"/>
  <c r="F49" i="18"/>
  <c r="F38" i="18"/>
  <c r="F33" i="18"/>
  <c r="F22" i="18"/>
  <c r="F17" i="18"/>
  <c r="F42" i="18"/>
  <c r="F37" i="18"/>
  <c r="F26" i="18"/>
  <c r="F21" i="18"/>
  <c r="F47" i="18"/>
  <c r="F36" i="18"/>
  <c r="F31" i="18"/>
  <c r="F20" i="18"/>
  <c r="F23" i="18"/>
  <c r="F46" i="18"/>
  <c r="F32" i="18"/>
  <c r="F43" i="18"/>
  <c r="F28" i="18"/>
  <c r="F41" i="18"/>
  <c r="F27" i="18"/>
  <c r="F48" i="18"/>
  <c r="F44" i="18"/>
  <c r="F25" i="18"/>
  <c r="F30" i="18"/>
  <c r="F16" i="18"/>
  <c r="F39" i="18"/>
  <c r="F533" i="3"/>
  <c r="F531" i="3"/>
  <c r="F532" i="3"/>
  <c r="C30" i="31"/>
  <c r="D31" i="31"/>
  <c r="C677" i="3"/>
  <c r="C679" i="3"/>
  <c r="C685" i="3"/>
  <c r="C703" i="3"/>
  <c r="D531" i="3"/>
  <c r="C546" i="3"/>
  <c r="C563" i="3"/>
  <c r="C635" i="3"/>
  <c r="C637" i="3"/>
  <c r="E15" i="16"/>
  <c r="C172" i="32"/>
  <c r="C35" i="31"/>
  <c r="D36" i="31"/>
  <c r="E38" i="31"/>
  <c r="C662" i="3"/>
  <c r="C665" i="3"/>
  <c r="E531" i="3"/>
  <c r="D15" i="17"/>
  <c r="H15" i="17"/>
  <c r="D16" i="17"/>
  <c r="H56" i="16"/>
  <c r="D57" i="16"/>
  <c r="C9" i="23"/>
  <c r="C20" i="24"/>
  <c r="G15" i="16"/>
  <c r="E53" i="31"/>
  <c r="C607" i="3"/>
  <c r="D696" i="3"/>
  <c r="C647" i="3"/>
  <c r="E16" i="18"/>
  <c r="C554" i="3"/>
  <c r="C564" i="3"/>
  <c r="G531" i="3"/>
  <c r="C532" i="3"/>
  <c r="C226" i="32"/>
  <c r="F172" i="32"/>
  <c r="G172" i="32"/>
  <c r="C173" i="32"/>
  <c r="F171" i="32"/>
  <c r="F57" i="16"/>
  <c r="D15" i="16"/>
  <c r="C34" i="22"/>
  <c r="C24" i="24"/>
  <c r="D28" i="20" a="1"/>
  <c r="E16" i="17"/>
  <c r="E93" i="32" a="1"/>
  <c r="E16" i="16"/>
  <c r="G57" i="16"/>
  <c r="C227" i="32"/>
  <c r="F225" i="32"/>
  <c r="C51" i="22"/>
  <c r="C41" i="22"/>
  <c r="F168" i="34" a="1"/>
  <c r="D17" i="18"/>
  <c r="F173" i="32"/>
  <c r="G171" i="32"/>
  <c r="G173" i="32"/>
  <c r="D532" i="3"/>
  <c r="D636" i="3"/>
  <c r="D637" i="3"/>
  <c r="D662" i="3"/>
  <c r="D680" i="3"/>
  <c r="D685" i="3"/>
  <c r="G225" i="32"/>
  <c r="F226" i="32"/>
  <c r="G226" i="32"/>
  <c r="C547" i="3"/>
  <c r="D563" i="3"/>
  <c r="E532" i="3"/>
  <c r="G18" i="17"/>
  <c r="G19" i="17" s="1"/>
  <c r="H16" i="17"/>
  <c r="D17" i="17" s="1"/>
  <c r="G180" i="32"/>
  <c r="D187" i="32"/>
  <c r="D188" i="32"/>
  <c r="C199" i="32"/>
  <c r="F113" i="34" a="1"/>
  <c r="H57" i="16"/>
  <c r="D58" i="16"/>
  <c r="D18" i="18"/>
  <c r="C18" i="18"/>
  <c r="E17" i="18"/>
  <c r="G16" i="16"/>
  <c r="C274" i="32"/>
  <c r="D199" i="32"/>
  <c r="C221" i="32"/>
  <c r="C555" i="3"/>
  <c r="D564" i="3"/>
  <c r="G532" i="3"/>
  <c r="C533" i="3"/>
  <c r="E696" i="3"/>
  <c r="D647" i="3"/>
  <c r="D607" i="3"/>
  <c r="G227" i="32"/>
  <c r="G229" i="32"/>
  <c r="E22" i="34"/>
  <c r="F58" i="16"/>
  <c r="F227" i="32"/>
  <c r="D19" i="18"/>
  <c r="C19" i="18"/>
  <c r="D16" i="16"/>
  <c r="G58" i="16"/>
  <c r="D533" i="3"/>
  <c r="E680" i="3"/>
  <c r="E685" i="3"/>
  <c r="E636" i="3"/>
  <c r="E637" i="3"/>
  <c r="E662" i="3"/>
  <c r="G202" i="32"/>
  <c r="F202" i="32"/>
  <c r="E202" i="32"/>
  <c r="D202" i="32"/>
  <c r="C202" i="32"/>
  <c r="E17" i="16"/>
  <c r="D274" i="32"/>
  <c r="C296" i="32"/>
  <c r="D20" i="18"/>
  <c r="E20" i="18"/>
  <c r="C20" i="18"/>
  <c r="E19" i="18"/>
  <c r="C548" i="3"/>
  <c r="E563" i="3"/>
  <c r="E533" i="3"/>
  <c r="G17" i="16"/>
  <c r="D17" i="16"/>
  <c r="H58" i="16"/>
  <c r="D59" i="16"/>
  <c r="D21" i="18"/>
  <c r="E21" i="18"/>
  <c r="C21" i="18"/>
  <c r="G277" i="32"/>
  <c r="F277" i="32"/>
  <c r="E277" i="32"/>
  <c r="D277" i="32"/>
  <c r="C277" i="32"/>
  <c r="C556" i="3"/>
  <c r="E564" i="3"/>
  <c r="G533" i="3"/>
  <c r="F696" i="3"/>
  <c r="E607" i="3"/>
  <c r="D22" i="18"/>
  <c r="E22" i="18"/>
  <c r="C22" i="18"/>
  <c r="F59" i="16"/>
  <c r="E18" i="16"/>
  <c r="D23" i="18"/>
  <c r="E23" i="18"/>
  <c r="C23" i="18"/>
  <c r="G59" i="16"/>
  <c r="G18" i="16"/>
  <c r="D18" i="16"/>
  <c r="F680" i="3"/>
  <c r="F685" i="3"/>
  <c r="F636" i="3"/>
  <c r="F637" i="3"/>
  <c r="F662" i="3"/>
  <c r="E647" i="3"/>
  <c r="E215" i="32" a="1"/>
  <c r="H59" i="16"/>
  <c r="D60" i="16"/>
  <c r="E19" i="16"/>
  <c r="D24" i="18"/>
  <c r="E24" i="18"/>
  <c r="C24" i="18"/>
  <c r="G19" i="16"/>
  <c r="D19" i="16"/>
  <c r="H60" i="16"/>
  <c r="D61" i="16"/>
  <c r="F60" i="16"/>
  <c r="G60" i="16"/>
  <c r="D25" i="18"/>
  <c r="E25" i="18"/>
  <c r="C25" i="18"/>
  <c r="D26" i="18"/>
  <c r="E26" i="18"/>
  <c r="C26" i="18"/>
  <c r="F61" i="16"/>
  <c r="G61" i="16"/>
  <c r="H61" i="16"/>
  <c r="D62" i="16"/>
  <c r="D20" i="16"/>
  <c r="E20" i="16"/>
  <c r="G20" i="16"/>
  <c r="E290" i="32" a="1"/>
  <c r="F62" i="16"/>
  <c r="G62" i="16"/>
  <c r="H62" i="16"/>
  <c r="D63" i="16"/>
  <c r="D27" i="18"/>
  <c r="E27" i="18"/>
  <c r="C27" i="18"/>
  <c r="E21" i="16"/>
  <c r="G21" i="16"/>
  <c r="D21" i="16"/>
  <c r="E22" i="16"/>
  <c r="G22" i="16"/>
  <c r="D22" i="16"/>
  <c r="F63" i="16"/>
  <c r="G63" i="16"/>
  <c r="H63" i="16"/>
  <c r="D64" i="16"/>
  <c r="D28" i="18"/>
  <c r="E28" i="18"/>
  <c r="C28" i="18"/>
  <c r="E23" i="16"/>
  <c r="G23" i="16"/>
  <c r="D23" i="16"/>
  <c r="D29" i="18"/>
  <c r="E29" i="18"/>
  <c r="C29" i="18"/>
  <c r="H64" i="16"/>
  <c r="D65" i="16"/>
  <c r="F64" i="16"/>
  <c r="G64" i="16"/>
  <c r="D30" i="18"/>
  <c r="E30" i="18"/>
  <c r="C30" i="18"/>
  <c r="F65" i="16"/>
  <c r="G65" i="16"/>
  <c r="H65" i="16"/>
  <c r="D66" i="16"/>
  <c r="E24" i="16"/>
  <c r="G24" i="16"/>
  <c r="D24" i="16"/>
  <c r="E25" i="16"/>
  <c r="F66" i="16"/>
  <c r="G66" i="16"/>
  <c r="H66" i="16"/>
  <c r="D67" i="16"/>
  <c r="D31" i="18"/>
  <c r="E31" i="18"/>
  <c r="C31" i="18"/>
  <c r="F67" i="16"/>
  <c r="G67" i="16"/>
  <c r="H67" i="16"/>
  <c r="D68" i="16"/>
  <c r="D32" i="18"/>
  <c r="E32" i="18"/>
  <c r="C32" i="18"/>
  <c r="G25" i="16"/>
  <c r="D25" i="16"/>
  <c r="H25" i="16"/>
  <c r="F68" i="16"/>
  <c r="G68" i="16"/>
  <c r="H68" i="16"/>
  <c r="D69" i="16"/>
  <c r="D33" i="18"/>
  <c r="E33" i="18"/>
  <c r="C33" i="18"/>
  <c r="E26" i="16"/>
  <c r="F69" i="16"/>
  <c r="G69" i="16"/>
  <c r="H69" i="16"/>
  <c r="D70" i="16"/>
  <c r="D34" i="18"/>
  <c r="E34" i="18"/>
  <c r="C34" i="18"/>
  <c r="G26" i="16"/>
  <c r="D26" i="16"/>
  <c r="F70" i="16"/>
  <c r="G70" i="16"/>
  <c r="H70" i="16"/>
  <c r="D71" i="16"/>
  <c r="D35" i="18"/>
  <c r="E35" i="18"/>
  <c r="C35" i="18"/>
  <c r="E27" i="16"/>
  <c r="F71" i="16"/>
  <c r="G71" i="16"/>
  <c r="H71" i="16"/>
  <c r="D72" i="16"/>
  <c r="D36" i="18"/>
  <c r="E36" i="18"/>
  <c r="C36" i="18"/>
  <c r="G27" i="16"/>
  <c r="D27" i="16"/>
  <c r="F72" i="16"/>
  <c r="G72" i="16"/>
  <c r="H72" i="16"/>
  <c r="D73" i="16"/>
  <c r="D37" i="18"/>
  <c r="E37" i="18"/>
  <c r="C37" i="18"/>
  <c r="E28" i="16"/>
  <c r="F73" i="16"/>
  <c r="G73" i="16"/>
  <c r="H73" i="16"/>
  <c r="D74" i="16"/>
  <c r="D38" i="18"/>
  <c r="E38" i="18"/>
  <c r="C38" i="18"/>
  <c r="G28" i="16"/>
  <c r="D28" i="16"/>
  <c r="D39" i="18"/>
  <c r="E39" i="18"/>
  <c r="C39" i="18"/>
  <c r="E29" i="16"/>
  <c r="F74" i="16"/>
  <c r="G74" i="16"/>
  <c r="H74" i="16"/>
  <c r="D75" i="16"/>
  <c r="F75" i="16"/>
  <c r="G75" i="16"/>
  <c r="H75" i="16"/>
  <c r="D76" i="16"/>
  <c r="G29" i="16"/>
  <c r="D29" i="16"/>
  <c r="D40" i="18"/>
  <c r="E40" i="18"/>
  <c r="C40" i="18"/>
  <c r="F76" i="16"/>
  <c r="G76" i="16"/>
  <c r="H76" i="16"/>
  <c r="D77" i="16"/>
  <c r="D41" i="18"/>
  <c r="E41" i="18"/>
  <c r="C41" i="18"/>
  <c r="E30" i="16"/>
  <c r="F77" i="16"/>
  <c r="G77" i="16"/>
  <c r="H77" i="16"/>
  <c r="D78" i="16"/>
  <c r="G30" i="16"/>
  <c r="D30" i="16"/>
  <c r="D42" i="18"/>
  <c r="E42" i="18"/>
  <c r="C42" i="18"/>
  <c r="D43" i="18"/>
  <c r="E43" i="18"/>
  <c r="C43" i="18"/>
  <c r="E31" i="16"/>
  <c r="G31" i="16"/>
  <c r="D31" i="16"/>
  <c r="F78" i="16"/>
  <c r="G78" i="16"/>
  <c r="H78" i="16"/>
  <c r="D79" i="16"/>
  <c r="F79" i="16"/>
  <c r="G79" i="16"/>
  <c r="H79" i="16"/>
  <c r="D80" i="16"/>
  <c r="E32" i="16"/>
  <c r="G32" i="16"/>
  <c r="D32" i="16"/>
  <c r="D44" i="18"/>
  <c r="E44" i="18"/>
  <c r="C44" i="18"/>
  <c r="E33" i="16"/>
  <c r="G33" i="16"/>
  <c r="D33" i="16"/>
  <c r="F80" i="16"/>
  <c r="G80" i="16"/>
  <c r="H80" i="16"/>
  <c r="D81" i="16"/>
  <c r="D45" i="18"/>
  <c r="E45" i="18"/>
  <c r="C45" i="18"/>
  <c r="F81" i="16"/>
  <c r="G81" i="16"/>
  <c r="H81" i="16"/>
  <c r="D82" i="16"/>
  <c r="E34" i="16"/>
  <c r="G34" i="16"/>
  <c r="D34" i="16"/>
  <c r="D46" i="18"/>
  <c r="E46" i="18"/>
  <c r="C46" i="18"/>
  <c r="F82" i="16"/>
  <c r="G82" i="16"/>
  <c r="H82" i="16"/>
  <c r="D83" i="16"/>
  <c r="E35" i="16"/>
  <c r="G35" i="16"/>
  <c r="D35" i="16"/>
  <c r="D47" i="18"/>
  <c r="E47" i="18"/>
  <c r="C47" i="18"/>
  <c r="E36" i="16"/>
  <c r="G36" i="16"/>
  <c r="D36" i="16"/>
  <c r="F83" i="16"/>
  <c r="G83" i="16"/>
  <c r="H83" i="16"/>
  <c r="D84" i="16"/>
  <c r="D48" i="18"/>
  <c r="C48" i="18"/>
  <c r="E37" i="16"/>
  <c r="F84" i="16"/>
  <c r="G84" i="16"/>
  <c r="H84" i="16"/>
  <c r="D85" i="16"/>
  <c r="D49" i="18"/>
  <c r="C49" i="18"/>
  <c r="F85" i="16"/>
  <c r="G85" i="16"/>
  <c r="H85" i="16"/>
  <c r="D86" i="16"/>
  <c r="E49" i="18"/>
  <c r="D50" i="18"/>
  <c r="G37" i="16"/>
  <c r="D37" i="16"/>
  <c r="H37" i="16"/>
  <c r="F86" i="16"/>
  <c r="G86" i="16"/>
  <c r="H86" i="16"/>
  <c r="D87" i="16"/>
  <c r="E38" i="16"/>
  <c r="F87" i="16"/>
  <c r="G87" i="16"/>
  <c r="H87" i="16"/>
  <c r="D88" i="16"/>
  <c r="G38" i="16"/>
  <c r="D38" i="16"/>
  <c r="F88" i="16"/>
  <c r="G88" i="16"/>
  <c r="H88" i="16"/>
  <c r="D89" i="16"/>
  <c r="E39" i="16"/>
  <c r="F89" i="16"/>
  <c r="G89" i="16"/>
  <c r="H89" i="16"/>
  <c r="D90" i="16"/>
  <c r="G39" i="16"/>
  <c r="D39" i="16"/>
  <c r="F90" i="16"/>
  <c r="G90" i="16"/>
  <c r="H90" i="16"/>
  <c r="D91" i="16"/>
  <c r="E40" i="16"/>
  <c r="F91" i="16"/>
  <c r="G40" i="16"/>
  <c r="D40" i="16"/>
  <c r="E41" i="16"/>
  <c r="G91" i="16"/>
  <c r="F92" i="16"/>
  <c r="G92" i="16"/>
  <c r="H91" i="16"/>
  <c r="G41" i="16"/>
  <c r="D41" i="16"/>
  <c r="E42" i="16"/>
  <c r="G42" i="16"/>
  <c r="D42" i="16"/>
  <c r="E43" i="16"/>
  <c r="G43" i="16"/>
  <c r="D43" i="16"/>
  <c r="E44" i="16"/>
  <c r="G44" i="16"/>
  <c r="D44" i="16"/>
  <c r="E45" i="16"/>
  <c r="G45" i="16"/>
  <c r="D45" i="16"/>
  <c r="E46" i="16"/>
  <c r="G46" i="16"/>
  <c r="D46" i="16"/>
  <c r="E47" i="16"/>
  <c r="G47" i="16"/>
  <c r="D47" i="16"/>
  <c r="E48" i="16"/>
  <c r="G48" i="16"/>
  <c r="D48" i="16"/>
  <c r="E49" i="16"/>
  <c r="G49" i="16"/>
  <c r="E50" i="16"/>
  <c r="H49" i="16"/>
  <c r="G50" i="16"/>
  <c r="D49" i="16"/>
  <c r="D12" i="13" l="1"/>
  <c r="F11" i="13"/>
  <c r="E12" i="13" s="1"/>
  <c r="G10" i="13"/>
  <c r="J21" i="4"/>
  <c r="J8" i="4" s="1"/>
  <c r="I21" i="4"/>
  <c r="I8" i="4" s="1"/>
  <c r="C21" i="4"/>
  <c r="M21" i="4"/>
  <c r="M8" i="4" s="1"/>
  <c r="F21" i="4"/>
  <c r="F8" i="4" s="1"/>
  <c r="K21" i="4"/>
  <c r="K8" i="4" s="1"/>
  <c r="E21" i="4"/>
  <c r="E8" i="4" s="1"/>
  <c r="H21" i="4"/>
  <c r="H8" i="4" s="1"/>
  <c r="N21" i="4"/>
  <c r="N8" i="4" s="1"/>
  <c r="D21" i="4"/>
  <c r="D8" i="4" s="1"/>
  <c r="L7" i="4"/>
  <c r="G21" i="4"/>
  <c r="G8" i="4" s="1"/>
  <c r="L21" i="4"/>
  <c r="L8" i="4" s="1"/>
  <c r="E17" i="17"/>
  <c r="F17" i="17" s="1"/>
  <c r="G20" i="17"/>
  <c r="C21" i="22"/>
  <c r="C11" i="22"/>
  <c r="C22" i="27"/>
  <c r="C8" i="27" s="1"/>
  <c r="C12" i="27" s="1"/>
  <c r="H8" i="27" s="1"/>
  <c r="D24" i="20"/>
  <c r="H10" i="13" l="1"/>
  <c r="G11" i="13"/>
  <c r="F12" i="13" s="1"/>
  <c r="C18" i="12"/>
  <c r="C20" i="12" s="1"/>
  <c r="C9" i="15"/>
  <c r="D14" i="20" s="1"/>
  <c r="G24" i="4"/>
  <c r="G9" i="4" s="1"/>
  <c r="D24" i="4"/>
  <c r="D9" i="4" s="1"/>
  <c r="M24" i="4"/>
  <c r="M9" i="4" s="1"/>
  <c r="J24" i="4"/>
  <c r="J9" i="4" s="1"/>
  <c r="K24" i="4"/>
  <c r="K9" i="4" s="1"/>
  <c r="F24" i="4"/>
  <c r="F9" i="4" s="1"/>
  <c r="C24" i="4"/>
  <c r="C8" i="4"/>
  <c r="I24" i="4"/>
  <c r="I9" i="4" s="1"/>
  <c r="H24" i="4"/>
  <c r="H9" i="4" s="1"/>
  <c r="L24" i="4"/>
  <c r="L9" i="4" s="1"/>
  <c r="E24" i="4"/>
  <c r="E9" i="4" s="1"/>
  <c r="N24" i="4"/>
  <c r="N9" i="4" s="1"/>
  <c r="O7" i="4"/>
  <c r="G21" i="17"/>
  <c r="H16" i="27"/>
  <c r="C40" i="22"/>
  <c r="C14" i="29"/>
  <c r="H11" i="13" l="1"/>
  <c r="G12" i="13" s="1"/>
  <c r="I10" i="13"/>
  <c r="D13" i="24"/>
  <c r="D8" i="21"/>
  <c r="D14" i="21" s="1"/>
  <c r="C21" i="12"/>
  <c r="C22" i="12"/>
  <c r="D22" i="12" s="1"/>
  <c r="D20" i="12"/>
  <c r="J27" i="4"/>
  <c r="J10" i="4" s="1"/>
  <c r="M27" i="4"/>
  <c r="M10" i="4" s="1"/>
  <c r="N27" i="4"/>
  <c r="N10" i="4" s="1"/>
  <c r="C27" i="4"/>
  <c r="C10" i="4" s="1"/>
  <c r="E27" i="4"/>
  <c r="E10" i="4" s="1"/>
  <c r="H27" i="4"/>
  <c r="H10" i="4" s="1"/>
  <c r="I27" i="4"/>
  <c r="I10" i="4" s="1"/>
  <c r="L27" i="4"/>
  <c r="L10" i="4" s="1"/>
  <c r="F27" i="4"/>
  <c r="F10" i="4" s="1"/>
  <c r="C9" i="4"/>
  <c r="G27" i="4"/>
  <c r="G10" i="4" s="1"/>
  <c r="D27" i="4"/>
  <c r="D10" i="4" s="1"/>
  <c r="K27" i="4"/>
  <c r="K10" i="4" s="1"/>
  <c r="D3" i="19"/>
  <c r="M7" i="21"/>
  <c r="D6" i="15"/>
  <c r="E20" i="29"/>
  <c r="E5" i="21"/>
  <c r="E7" i="21" s="1"/>
  <c r="O8" i="4"/>
  <c r="H17" i="17"/>
  <c r="D18" i="17" s="1"/>
  <c r="G22" i="17"/>
  <c r="I11" i="13" l="1"/>
  <c r="H12" i="13" s="1"/>
  <c r="J10" i="13"/>
  <c r="C3" i="3"/>
  <c r="C31" i="12"/>
  <c r="C29" i="12"/>
  <c r="C242" i="3"/>
  <c r="C30" i="12"/>
  <c r="H10" i="5"/>
  <c r="C4" i="19"/>
  <c r="C7" i="15"/>
  <c r="H8" i="2"/>
  <c r="C6" i="5" s="1"/>
  <c r="E10" i="5" s="1"/>
  <c r="C26" i="22"/>
  <c r="D10" i="5"/>
  <c r="O10" i="4"/>
  <c r="K16" i="21"/>
  <c r="M16" i="21" s="1"/>
  <c r="M8" i="21"/>
  <c r="K17" i="21" s="1"/>
  <c r="E6" i="15"/>
  <c r="F20" i="29"/>
  <c r="E3" i="19"/>
  <c r="F5" i="21"/>
  <c r="F7" i="21" s="1"/>
  <c r="E9" i="21"/>
  <c r="O9" i="4"/>
  <c r="D9" i="15"/>
  <c r="E14" i="20" s="1"/>
  <c r="J13" i="29"/>
  <c r="E23" i="29"/>
  <c r="E22" i="29"/>
  <c r="G23" i="17"/>
  <c r="E18" i="17"/>
  <c r="K10" i="13" l="1"/>
  <c r="J11" i="13"/>
  <c r="I12" i="13" s="1"/>
  <c r="C244" i="3"/>
  <c r="C264" i="3"/>
  <c r="C7" i="5"/>
  <c r="C8" i="5" s="1"/>
  <c r="C9" i="5" s="1"/>
  <c r="C10" i="5" s="1"/>
  <c r="J6" i="5"/>
  <c r="G6" i="5"/>
  <c r="D6" i="5"/>
  <c r="N6" i="5"/>
  <c r="F6" i="5"/>
  <c r="I6" i="5"/>
  <c r="M6" i="5"/>
  <c r="H6" i="5"/>
  <c r="E6" i="5"/>
  <c r="O6" i="5"/>
  <c r="K6" i="5"/>
  <c r="L6" i="5"/>
  <c r="F7" i="5"/>
  <c r="O7" i="5"/>
  <c r="I7" i="5"/>
  <c r="H7" i="5"/>
  <c r="L7" i="5"/>
  <c r="N7" i="5"/>
  <c r="J7" i="5"/>
  <c r="E7" i="5"/>
  <c r="D7" i="5"/>
  <c r="P7" i="5" s="1"/>
  <c r="K7" i="5"/>
  <c r="G7" i="5"/>
  <c r="E8" i="5"/>
  <c r="G8" i="5"/>
  <c r="F8" i="5"/>
  <c r="N8" i="5"/>
  <c r="M8" i="5"/>
  <c r="J8" i="5"/>
  <c r="H8" i="5"/>
  <c r="L8" i="5"/>
  <c r="I8" i="5"/>
  <c r="K8" i="5"/>
  <c r="O8" i="5"/>
  <c r="M7" i="5"/>
  <c r="H9" i="5"/>
  <c r="E9" i="5"/>
  <c r="G9" i="5"/>
  <c r="J9" i="5"/>
  <c r="O9" i="5"/>
  <c r="L9" i="5"/>
  <c r="D8" i="5"/>
  <c r="F9" i="5"/>
  <c r="K9" i="5"/>
  <c r="M9" i="5"/>
  <c r="N9" i="5"/>
  <c r="I9" i="5"/>
  <c r="F10" i="5"/>
  <c r="D62" i="34"/>
  <c r="C206" i="3"/>
  <c r="D9" i="5"/>
  <c r="L10" i="5"/>
  <c r="M10" i="5"/>
  <c r="O10" i="5"/>
  <c r="D7" i="15"/>
  <c r="C5" i="15"/>
  <c r="D4" i="19"/>
  <c r="C6" i="19"/>
  <c r="K10" i="5"/>
  <c r="P10" i="5" s="1"/>
  <c r="I10" i="5"/>
  <c r="N10" i="5"/>
  <c r="J10" i="5"/>
  <c r="G10" i="5"/>
  <c r="E9" i="15"/>
  <c r="F14" i="20" s="1"/>
  <c r="M17" i="21"/>
  <c r="L16" i="21"/>
  <c r="H5" i="21"/>
  <c r="H7" i="21" s="1"/>
  <c r="M10" i="21"/>
  <c r="K19" i="21" s="1"/>
  <c r="G6" i="15"/>
  <c r="H20" i="29"/>
  <c r="G3" i="19"/>
  <c r="E8" i="21"/>
  <c r="E14" i="21" s="1"/>
  <c r="E13" i="24"/>
  <c r="E24" i="29"/>
  <c r="E29" i="29" s="1"/>
  <c r="F9" i="21"/>
  <c r="F3" i="19"/>
  <c r="M9" i="21"/>
  <c r="K18" i="21" s="1"/>
  <c r="G5" i="21"/>
  <c r="G7" i="21" s="1"/>
  <c r="F6" i="15"/>
  <c r="G20" i="29"/>
  <c r="F23" i="29"/>
  <c r="K13" i="29"/>
  <c r="F22" i="29"/>
  <c r="G24" i="17"/>
  <c r="F18" i="17"/>
  <c r="L10" i="13" l="1"/>
  <c r="K11" i="13"/>
  <c r="J12" i="13" s="1"/>
  <c r="C15" i="19"/>
  <c r="C18" i="19" s="1"/>
  <c r="P9" i="5"/>
  <c r="E4" i="19"/>
  <c r="D6" i="19"/>
  <c r="P6" i="5"/>
  <c r="P8" i="5"/>
  <c r="C11" i="15"/>
  <c r="C16" i="15" s="1"/>
  <c r="C18" i="15" s="1"/>
  <c r="J5" i="15"/>
  <c r="J6" i="15" s="1"/>
  <c r="J12" i="15" s="1"/>
  <c r="E46" i="31"/>
  <c r="E48" i="31" s="1"/>
  <c r="E52" i="31" s="1"/>
  <c r="E54" i="31" s="1"/>
  <c r="D13" i="20"/>
  <c r="E62" i="34"/>
  <c r="D134" i="34"/>
  <c r="E134" i="34" s="1"/>
  <c r="D143" i="34" s="1"/>
  <c r="D146" i="34" s="1"/>
  <c r="D76" i="34"/>
  <c r="E76" i="34" s="1"/>
  <c r="D87" i="34" s="1"/>
  <c r="D90" i="34" s="1"/>
  <c r="D63" i="34"/>
  <c r="F227" i="3"/>
  <c r="F17" i="14" s="1"/>
  <c r="F231" i="3"/>
  <c r="F21" i="14" s="1"/>
  <c r="F221" i="3"/>
  <c r="F11" i="14" s="1"/>
  <c r="F217" i="3"/>
  <c r="F7" i="14" s="1"/>
  <c r="C211" i="3"/>
  <c r="B219" i="3" s="1"/>
  <c r="F225" i="3"/>
  <c r="F15" i="14" s="1"/>
  <c r="F223" i="3"/>
  <c r="F13" i="14" s="1"/>
  <c r="F230" i="3"/>
  <c r="F20" i="14" s="1"/>
  <c r="F224" i="3"/>
  <c r="F14" i="14" s="1"/>
  <c r="F322" i="32"/>
  <c r="C26" i="14"/>
  <c r="C29" i="14" s="1"/>
  <c r="C30" i="14" s="1"/>
  <c r="C31" i="14" s="1"/>
  <c r="F228" i="3"/>
  <c r="F18" i="14" s="1"/>
  <c r="F226" i="3"/>
  <c r="F16" i="14" s="1"/>
  <c r="F222" i="3"/>
  <c r="F12" i="14" s="1"/>
  <c r="F216" i="3"/>
  <c r="F6" i="14" s="1"/>
  <c r="F220" i="3"/>
  <c r="F10" i="14" s="1"/>
  <c r="F229" i="3"/>
  <c r="F19" i="14" s="1"/>
  <c r="F218" i="3"/>
  <c r="F8" i="14" s="1"/>
  <c r="F215" i="3"/>
  <c r="F5" i="14" s="1"/>
  <c r="E7" i="15"/>
  <c r="D5" i="15"/>
  <c r="C277" i="3"/>
  <c r="C290" i="3"/>
  <c r="F267" i="3"/>
  <c r="C266" i="3"/>
  <c r="L13" i="29"/>
  <c r="G22" i="29"/>
  <c r="G23" i="29"/>
  <c r="F9" i="15"/>
  <c r="G14" i="20" s="1"/>
  <c r="H9" i="21"/>
  <c r="L17" i="21"/>
  <c r="M18" i="21"/>
  <c r="G9" i="21"/>
  <c r="H23" i="29"/>
  <c r="H22" i="29"/>
  <c r="M13" i="29"/>
  <c r="F13" i="24"/>
  <c r="F8" i="21"/>
  <c r="F14" i="21" s="1"/>
  <c r="F24" i="29"/>
  <c r="F29" i="29" s="1"/>
  <c r="G9" i="15"/>
  <c r="H18" i="17"/>
  <c r="D19" i="17" s="1"/>
  <c r="G25" i="17"/>
  <c r="M10" i="13" l="1"/>
  <c r="L11" i="13"/>
  <c r="K12" i="13" s="1"/>
  <c r="K5" i="15"/>
  <c r="K6" i="15" s="1"/>
  <c r="K12" i="15" s="1"/>
  <c r="E13" i="20"/>
  <c r="E12" i="24" s="1"/>
  <c r="D11" i="15"/>
  <c r="D16" i="15" s="1"/>
  <c r="D18" i="15" s="1"/>
  <c r="D92" i="34"/>
  <c r="D94" i="34"/>
  <c r="D98" i="34" s="1"/>
  <c r="E106" i="34" s="1"/>
  <c r="C442" i="3"/>
  <c r="K401" i="3"/>
  <c r="M401" i="3" s="1"/>
  <c r="N401" i="3" s="1"/>
  <c r="C401" i="3" s="1"/>
  <c r="K402" i="3"/>
  <c r="N402" i="3" s="1"/>
  <c r="C402" i="3" s="1"/>
  <c r="D402" i="3" s="1"/>
  <c r="E402" i="3" s="1"/>
  <c r="F402" i="3" s="1"/>
  <c r="G402" i="3" s="1"/>
  <c r="D64" i="34"/>
  <c r="D77" i="34"/>
  <c r="E63" i="34"/>
  <c r="F7" i="15"/>
  <c r="E5" i="15"/>
  <c r="B9" i="14"/>
  <c r="D219" i="3"/>
  <c r="D148" i="34"/>
  <c r="D150" i="34" s="1"/>
  <c r="D154" i="34" s="1"/>
  <c r="E161" i="34" s="1"/>
  <c r="D15" i="19"/>
  <c r="D18" i="19" s="1"/>
  <c r="D14" i="19"/>
  <c r="F4" i="19"/>
  <c r="E6" i="19"/>
  <c r="D12" i="24"/>
  <c r="F277" i="3"/>
  <c r="E55" i="31"/>
  <c r="E56" i="31" s="1"/>
  <c r="D17" i="20"/>
  <c r="D15" i="24" s="1"/>
  <c r="D32" i="29"/>
  <c r="D17" i="21"/>
  <c r="F269" i="3"/>
  <c r="F271" i="3" s="1"/>
  <c r="D283" i="3"/>
  <c r="C14" i="19"/>
  <c r="F290" i="3"/>
  <c r="F294" i="3" s="1"/>
  <c r="C292" i="3"/>
  <c r="C293" i="3" s="1"/>
  <c r="F219" i="3"/>
  <c r="F9" i="14" s="1"/>
  <c r="C19" i="15"/>
  <c r="D18" i="20" s="1"/>
  <c r="N8" i="15"/>
  <c r="N7" i="15" s="1"/>
  <c r="N11" i="15" s="1"/>
  <c r="H14" i="20"/>
  <c r="H24" i="29"/>
  <c r="H29" i="29" s="1"/>
  <c r="G24" i="29"/>
  <c r="G29" i="29" s="1"/>
  <c r="O13" i="29"/>
  <c r="C54" i="29" s="1"/>
  <c r="E54" i="29" s="1"/>
  <c r="L18" i="21"/>
  <c r="M19" i="21"/>
  <c r="G8" i="21"/>
  <c r="G14" i="21" s="1"/>
  <c r="G13" i="24"/>
  <c r="E19" i="17"/>
  <c r="G26" i="17"/>
  <c r="N10" i="13" l="1"/>
  <c r="M11" i="13"/>
  <c r="L12" i="13" s="1"/>
  <c r="D15" i="21"/>
  <c r="D16" i="21" s="1"/>
  <c r="D19" i="21" s="1"/>
  <c r="D16" i="24"/>
  <c r="D30" i="29"/>
  <c r="D31" i="29" s="1"/>
  <c r="D34" i="29" s="1"/>
  <c r="D19" i="20"/>
  <c r="D9" i="14"/>
  <c r="E219" i="3"/>
  <c r="E9" i="14" s="1"/>
  <c r="D401" i="3"/>
  <c r="C403" i="3"/>
  <c r="C407" i="3" s="1"/>
  <c r="C408" i="3" s="1"/>
  <c r="C20" i="15"/>
  <c r="C570" i="3"/>
  <c r="D442" i="3"/>
  <c r="F13" i="20"/>
  <c r="F12" i="24" s="1"/>
  <c r="L5" i="15"/>
  <c r="L6" i="15" s="1"/>
  <c r="L12" i="15" s="1"/>
  <c r="E11" i="15"/>
  <c r="E16" i="15" s="1"/>
  <c r="E18" i="15" s="1"/>
  <c r="E19" i="15" s="1"/>
  <c r="F18" i="20" s="1"/>
  <c r="F15" i="21" s="1"/>
  <c r="F16" i="21" s="1"/>
  <c r="D279" i="3"/>
  <c r="D302" i="3" s="1"/>
  <c r="D303" i="3" s="1"/>
  <c r="E279" i="3"/>
  <c r="E302" i="3" s="1"/>
  <c r="E303" i="3" s="1"/>
  <c r="G4" i="19"/>
  <c r="G6" i="19" s="1"/>
  <c r="F6" i="19"/>
  <c r="G7" i="15"/>
  <c r="G5" i="15" s="1"/>
  <c r="F5" i="15"/>
  <c r="F297" i="3"/>
  <c r="F296" i="3"/>
  <c r="D19" i="15"/>
  <c r="E18" i="20" s="1"/>
  <c r="E17" i="21"/>
  <c r="E17" i="20"/>
  <c r="E15" i="24" s="1"/>
  <c r="E32" i="29"/>
  <c r="D135" i="34"/>
  <c r="E135" i="34" s="1"/>
  <c r="E77" i="34"/>
  <c r="E15" i="19"/>
  <c r="E18" i="19" s="1"/>
  <c r="C279" i="3"/>
  <c r="D65" i="34"/>
  <c r="D78" i="34"/>
  <c r="E64" i="34"/>
  <c r="L19" i="21"/>
  <c r="M20" i="21"/>
  <c r="L20" i="21" s="1"/>
  <c r="H8" i="21"/>
  <c r="H14" i="21" s="1"/>
  <c r="H13" i="24"/>
  <c r="F16" i="24"/>
  <c r="F30" i="29"/>
  <c r="F31" i="29" s="1"/>
  <c r="G27" i="17"/>
  <c r="F3" i="17"/>
  <c r="D6" i="23" s="1"/>
  <c r="F19" i="17"/>
  <c r="N11" i="13" l="1"/>
  <c r="M12" i="13" s="1"/>
  <c r="O10" i="13"/>
  <c r="O11" i="13" s="1"/>
  <c r="H143" i="34"/>
  <c r="H146" i="34" s="1"/>
  <c r="G143" i="34"/>
  <c r="G146" i="34" s="1"/>
  <c r="E143" i="34"/>
  <c r="D403" i="3"/>
  <c r="D407" i="3" s="1"/>
  <c r="D408" i="3" s="1"/>
  <c r="E401" i="3"/>
  <c r="F87" i="34"/>
  <c r="F90" i="34" s="1"/>
  <c r="E87" i="34"/>
  <c r="E90" i="34" s="1"/>
  <c r="H87" i="34"/>
  <c r="H90" i="34" s="1"/>
  <c r="G87" i="34"/>
  <c r="G90" i="34" s="1"/>
  <c r="G13" i="20"/>
  <c r="G12" i="24" s="1"/>
  <c r="F11" i="15"/>
  <c r="F16" i="15" s="1"/>
  <c r="F18" i="15" s="1"/>
  <c r="F19" i="15" s="1"/>
  <c r="G18" i="20" s="1"/>
  <c r="M5" i="15"/>
  <c r="M6" i="15" s="1"/>
  <c r="M12" i="15" s="1"/>
  <c r="G11" i="15"/>
  <c r="G16" i="15" s="1"/>
  <c r="G18" i="15" s="1"/>
  <c r="G19" i="15" s="1"/>
  <c r="H18" i="20" s="1"/>
  <c r="H13" i="20"/>
  <c r="H12" i="24" s="1"/>
  <c r="N5" i="15"/>
  <c r="N6" i="15" s="1"/>
  <c r="N12" i="15" s="1"/>
  <c r="D66" i="34"/>
  <c r="E65" i="34"/>
  <c r="D79" i="34"/>
  <c r="F15" i="19"/>
  <c r="F18" i="19" s="1"/>
  <c r="F14" i="19"/>
  <c r="E442" i="3"/>
  <c r="G442" i="3"/>
  <c r="F442" i="3"/>
  <c r="D17" i="24"/>
  <c r="D136" i="34"/>
  <c r="E136" i="34" s="1"/>
  <c r="E78" i="34"/>
  <c r="E19" i="20"/>
  <c r="E30" i="29"/>
  <c r="E31" i="29" s="1"/>
  <c r="E34" i="29" s="1"/>
  <c r="E16" i="24"/>
  <c r="E15" i="21"/>
  <c r="E16" i="21" s="1"/>
  <c r="E19" i="21" s="1"/>
  <c r="G15" i="19"/>
  <c r="G18" i="19" s="1"/>
  <c r="G14" i="19"/>
  <c r="C573" i="3"/>
  <c r="D570" i="3"/>
  <c r="C603" i="3"/>
  <c r="F19" i="20"/>
  <c r="F17" i="24" s="1"/>
  <c r="F279" i="3"/>
  <c r="C302" i="3"/>
  <c r="E20" i="15"/>
  <c r="E14" i="19"/>
  <c r="D20" i="15"/>
  <c r="F17" i="21"/>
  <c r="F19" i="21" s="1"/>
  <c r="F17" i="20"/>
  <c r="F15" i="24" s="1"/>
  <c r="F32" i="29"/>
  <c r="F34" i="29" s="1"/>
  <c r="G20" i="15"/>
  <c r="G16" i="24"/>
  <c r="H15" i="21"/>
  <c r="H16" i="21" s="1"/>
  <c r="H30" i="29"/>
  <c r="H31" i="29" s="1"/>
  <c r="H19" i="17"/>
  <c r="D20" i="17" s="1"/>
  <c r="D21" i="24"/>
  <c r="G28" i="17"/>
  <c r="N12" i="13" l="1"/>
  <c r="P12" i="13" s="1"/>
  <c r="K5" i="21"/>
  <c r="E14" i="13"/>
  <c r="M31" i="6"/>
  <c r="F401" i="3"/>
  <c r="E403" i="3"/>
  <c r="E407" i="3" s="1"/>
  <c r="E408" i="3" s="1"/>
  <c r="E17" i="24"/>
  <c r="E146" i="34"/>
  <c r="F143" i="34"/>
  <c r="F146" i="34" s="1"/>
  <c r="C574" i="3"/>
  <c r="C576" i="3"/>
  <c r="C579" i="3" s="1"/>
  <c r="E79" i="34"/>
  <c r="D137" i="34"/>
  <c r="E137" i="34" s="1"/>
  <c r="G150" i="34"/>
  <c r="G154" i="34" s="1"/>
  <c r="H161" i="34" s="1"/>
  <c r="G148" i="34"/>
  <c r="F92" i="34"/>
  <c r="F94" i="34" s="1"/>
  <c r="F98" i="34" s="1"/>
  <c r="G106" i="34" s="1"/>
  <c r="G30" i="29"/>
  <c r="G31" i="29" s="1"/>
  <c r="C643" i="3"/>
  <c r="C606" i="3"/>
  <c r="C609" i="3" s="1"/>
  <c r="F20" i="15"/>
  <c r="G92" i="34"/>
  <c r="G94" i="34" s="1"/>
  <c r="G98" i="34" s="1"/>
  <c r="H106" i="34" s="1"/>
  <c r="H150" i="34"/>
  <c r="H154" i="34" s="1"/>
  <c r="I161" i="34" s="1"/>
  <c r="H148" i="34"/>
  <c r="G17" i="20"/>
  <c r="G15" i="24" s="1"/>
  <c r="G32" i="29"/>
  <c r="G17" i="21"/>
  <c r="H17" i="21"/>
  <c r="H19" i="21" s="1"/>
  <c r="H32" i="29"/>
  <c r="H17" i="20"/>
  <c r="H15" i="24" s="1"/>
  <c r="D80" i="34"/>
  <c r="E66" i="34"/>
  <c r="H92" i="34"/>
  <c r="H94" i="34" s="1"/>
  <c r="H98" i="34" s="1"/>
  <c r="I106" i="34" s="1"/>
  <c r="H34" i="29"/>
  <c r="D573" i="3"/>
  <c r="F570" i="3"/>
  <c r="E570" i="3"/>
  <c r="D603" i="3"/>
  <c r="G570" i="3"/>
  <c r="H16" i="24"/>
  <c r="G15" i="21"/>
  <c r="G16" i="21" s="1"/>
  <c r="G19" i="21" s="1"/>
  <c r="C303" i="3"/>
  <c r="F302" i="3"/>
  <c r="E92" i="34"/>
  <c r="E94" i="34"/>
  <c r="E98" i="34" s="1"/>
  <c r="F106" i="34" s="1"/>
  <c r="E20" i="17"/>
  <c r="G29" i="17"/>
  <c r="N31" i="6" l="1"/>
  <c r="N36" i="6" s="1"/>
  <c r="C3" i="29" s="1"/>
  <c r="N37" i="6"/>
  <c r="L6" i="21"/>
  <c r="L7" i="21" s="1"/>
  <c r="C8" i="20"/>
  <c r="F148" i="34"/>
  <c r="F150" i="34"/>
  <c r="F154" i="34" s="1"/>
  <c r="G161" i="34" s="1"/>
  <c r="F573" i="3"/>
  <c r="F603" i="3"/>
  <c r="E148" i="34"/>
  <c r="E150" i="34" s="1"/>
  <c r="E154" i="34" s="1"/>
  <c r="F161" i="34" s="1"/>
  <c r="E603" i="3"/>
  <c r="E573" i="3"/>
  <c r="D574" i="3"/>
  <c r="D576" i="3"/>
  <c r="D579" i="3" s="1"/>
  <c r="G19" i="20"/>
  <c r="C610" i="3"/>
  <c r="C612" i="3"/>
  <c r="C616" i="3" s="1"/>
  <c r="D623" i="3" s="1"/>
  <c r="D625" i="3" s="1"/>
  <c r="C198" i="32" s="1"/>
  <c r="C646" i="3"/>
  <c r="C649" i="3" s="1"/>
  <c r="D688" i="3"/>
  <c r="D689" i="3" s="1"/>
  <c r="D695" i="3" s="1"/>
  <c r="D697" i="3" s="1"/>
  <c r="D30" i="33"/>
  <c r="D31" i="33" s="1"/>
  <c r="D586" i="3"/>
  <c r="G603" i="3"/>
  <c r="G573" i="3"/>
  <c r="G34" i="29"/>
  <c r="F403" i="3"/>
  <c r="F407" i="3" s="1"/>
  <c r="F408" i="3" s="1"/>
  <c r="G401" i="3"/>
  <c r="G403" i="3" s="1"/>
  <c r="G407" i="3" s="1"/>
  <c r="G408" i="3" s="1"/>
  <c r="D606" i="3"/>
  <c r="D609" i="3" s="1"/>
  <c r="D643" i="3"/>
  <c r="D138" i="34"/>
  <c r="E138" i="34" s="1"/>
  <c r="E80" i="34"/>
  <c r="H19" i="20"/>
  <c r="H17" i="24" s="1"/>
  <c r="G30" i="17"/>
  <c r="F20" i="17"/>
  <c r="C8" i="24" l="1"/>
  <c r="C11" i="24" s="1"/>
  <c r="C37" i="29"/>
  <c r="C22" i="21"/>
  <c r="C11" i="20"/>
  <c r="C20" i="20" s="1"/>
  <c r="C18" i="24" s="1"/>
  <c r="C25" i="24" s="1"/>
  <c r="L8" i="21"/>
  <c r="K6" i="21"/>
  <c r="D8" i="20" s="1"/>
  <c r="D698" i="3"/>
  <c r="D699" i="3" s="1"/>
  <c r="D702" i="3" s="1"/>
  <c r="D703" i="3" s="1"/>
  <c r="E606" i="3"/>
  <c r="E609" i="3" s="1"/>
  <c r="E643" i="3"/>
  <c r="E574" i="3"/>
  <c r="E576" i="3" s="1"/>
  <c r="E579" i="3" s="1"/>
  <c r="C650" i="3"/>
  <c r="C652" i="3" s="1"/>
  <c r="C656" i="3" s="1"/>
  <c r="D663" i="3" s="1"/>
  <c r="D665" i="3" s="1"/>
  <c r="C273" i="32" s="1"/>
  <c r="C234" i="32"/>
  <c r="C215" i="32"/>
  <c r="C203" i="32"/>
  <c r="G574" i="3"/>
  <c r="G576" i="3" s="1"/>
  <c r="G579" i="3" s="1"/>
  <c r="F606" i="3"/>
  <c r="F609" i="3" s="1"/>
  <c r="F643" i="3"/>
  <c r="D646" i="3"/>
  <c r="D649" i="3" s="1"/>
  <c r="E688" i="3"/>
  <c r="E689" i="3" s="1"/>
  <c r="E695" i="3" s="1"/>
  <c r="E697" i="3" s="1"/>
  <c r="G643" i="3"/>
  <c r="G606" i="3"/>
  <c r="G609" i="3" s="1"/>
  <c r="G17" i="24"/>
  <c r="F574" i="3"/>
  <c r="F576" i="3"/>
  <c r="F579" i="3" s="1"/>
  <c r="E586" i="3"/>
  <c r="E30" i="33"/>
  <c r="E31" i="33" s="1"/>
  <c r="D610" i="3"/>
  <c r="D612" i="3" s="1"/>
  <c r="D616" i="3" s="1"/>
  <c r="E623" i="3" s="1"/>
  <c r="E625" i="3" s="1"/>
  <c r="D198" i="32" s="1"/>
  <c r="D54" i="32"/>
  <c r="D55" i="32" s="1"/>
  <c r="D587" i="3"/>
  <c r="E104" i="34" s="1"/>
  <c r="H20" i="17"/>
  <c r="D21" i="17" s="1"/>
  <c r="G31" i="17"/>
  <c r="D11" i="20" l="1"/>
  <c r="D20" i="20" s="1"/>
  <c r="D18" i="24" s="1"/>
  <c r="D37" i="29"/>
  <c r="D40" i="29" s="1"/>
  <c r="D41" i="29" s="1"/>
  <c r="D8" i="24"/>
  <c r="D11" i="24" s="1"/>
  <c r="D22" i="21"/>
  <c r="D25" i="21" s="1"/>
  <c r="D26" i="21" s="1"/>
  <c r="L9" i="21"/>
  <c r="K7" i="21"/>
  <c r="E8" i="20" s="1"/>
  <c r="C31" i="22"/>
  <c r="U40" i="29"/>
  <c r="C40" i="29"/>
  <c r="C41" i="29" s="1"/>
  <c r="C25" i="21"/>
  <c r="C26" i="21" s="1"/>
  <c r="C278" i="32"/>
  <c r="C290" i="32"/>
  <c r="F30" i="33"/>
  <c r="F31" i="33" s="1"/>
  <c r="I31" i="33" s="1"/>
  <c r="C39" i="33" s="1"/>
  <c r="F586" i="3"/>
  <c r="C216" i="32"/>
  <c r="D234" i="32"/>
  <c r="D203" i="32"/>
  <c r="H30" i="33"/>
  <c r="H31" i="33" s="1"/>
  <c r="H586" i="3"/>
  <c r="F610" i="3"/>
  <c r="F612" i="3" s="1"/>
  <c r="F616" i="3" s="1"/>
  <c r="G623" i="3" s="1"/>
  <c r="G625" i="3" s="1"/>
  <c r="F198" i="32" s="1"/>
  <c r="G610" i="3"/>
  <c r="G612" i="3"/>
  <c r="G616" i="3" s="1"/>
  <c r="H623" i="3" s="1"/>
  <c r="H625" i="3" s="1"/>
  <c r="G198" i="32" s="1"/>
  <c r="F688" i="3"/>
  <c r="F689" i="3" s="1"/>
  <c r="F695" i="3" s="1"/>
  <c r="F697" i="3" s="1"/>
  <c r="E646" i="3"/>
  <c r="E649" i="3" s="1"/>
  <c r="E698" i="3"/>
  <c r="E699" i="3"/>
  <c r="E702" i="3" s="1"/>
  <c r="E703" i="3" s="1"/>
  <c r="E610" i="3"/>
  <c r="E612" i="3"/>
  <c r="E616" i="3" s="1"/>
  <c r="F623" i="3" s="1"/>
  <c r="F625" i="3" s="1"/>
  <c r="E198" i="32" s="1"/>
  <c r="C111" i="32"/>
  <c r="C117" i="32" s="1"/>
  <c r="C121" i="32" s="1"/>
  <c r="C93" i="32"/>
  <c r="C150" i="32"/>
  <c r="C67" i="32"/>
  <c r="C129" i="32"/>
  <c r="C133" i="32" s="1"/>
  <c r="G646" i="3"/>
  <c r="G649" i="3" s="1"/>
  <c r="H688" i="3"/>
  <c r="H689" i="3" s="1"/>
  <c r="H695" i="3" s="1"/>
  <c r="H697" i="3" s="1"/>
  <c r="E54" i="32"/>
  <c r="E55" i="32" s="1"/>
  <c r="E587" i="3"/>
  <c r="F104" i="34" s="1"/>
  <c r="D650" i="3"/>
  <c r="D652" i="3" s="1"/>
  <c r="D656" i="3" s="1"/>
  <c r="E663" i="3" s="1"/>
  <c r="E665" i="3" s="1"/>
  <c r="D273" i="32" s="1"/>
  <c r="C264" i="32"/>
  <c r="C238" i="32"/>
  <c r="C246" i="32"/>
  <c r="C250" i="32" s="1"/>
  <c r="G586" i="3"/>
  <c r="G30" i="33"/>
  <c r="G31" i="33" s="1"/>
  <c r="E108" i="34"/>
  <c r="E159" i="34"/>
  <c r="E163" i="34" s="1"/>
  <c r="C167" i="34" s="1"/>
  <c r="G688" i="3"/>
  <c r="G689" i="3" s="1"/>
  <c r="G695" i="3" s="1"/>
  <c r="G697" i="3" s="1"/>
  <c r="F646" i="3"/>
  <c r="F649" i="3" s="1"/>
  <c r="G32" i="17"/>
  <c r="E21" i="17"/>
  <c r="C42" i="22" l="1"/>
  <c r="C52" i="22"/>
  <c r="E8" i="24"/>
  <c r="E11" i="24" s="1"/>
  <c r="E22" i="21"/>
  <c r="E37" i="29"/>
  <c r="E11" i="20"/>
  <c r="E20" i="20" s="1"/>
  <c r="K8" i="21"/>
  <c r="F8" i="20" s="1"/>
  <c r="L10" i="21"/>
  <c r="C5" i="22"/>
  <c r="D5" i="22"/>
  <c r="F203" i="32"/>
  <c r="C218" i="32"/>
  <c r="F234" i="32"/>
  <c r="D278" i="32"/>
  <c r="C291" i="32"/>
  <c r="C316" i="32" s="1"/>
  <c r="C176" i="34"/>
  <c r="G203" i="32"/>
  <c r="C219" i="32"/>
  <c r="G234" i="32"/>
  <c r="C121" i="34"/>
  <c r="C112" i="34"/>
  <c r="H698" i="3"/>
  <c r="H699" i="3"/>
  <c r="H702" i="3" s="1"/>
  <c r="H703" i="3" s="1"/>
  <c r="D238" i="32"/>
  <c r="C265" i="32"/>
  <c r="D246" i="32"/>
  <c r="D250" i="32" s="1"/>
  <c r="G650" i="3"/>
  <c r="G652" i="3"/>
  <c r="G656" i="3" s="1"/>
  <c r="H663" i="3" s="1"/>
  <c r="H665" i="3" s="1"/>
  <c r="G273" i="32" s="1"/>
  <c r="F54" i="32"/>
  <c r="F55" i="32" s="1"/>
  <c r="F587" i="3"/>
  <c r="G104" i="34" s="1"/>
  <c r="C94" i="32"/>
  <c r="D67" i="32"/>
  <c r="D111" i="32"/>
  <c r="D117" i="32" s="1"/>
  <c r="D121" i="32" s="1"/>
  <c r="D129" i="32"/>
  <c r="D133" i="32" s="1"/>
  <c r="C151" i="32"/>
  <c r="F67" i="32"/>
  <c r="E67" i="32"/>
  <c r="E650" i="3"/>
  <c r="E652" i="3" s="1"/>
  <c r="E656" i="3" s="1"/>
  <c r="F663" i="3" s="1"/>
  <c r="F665" i="3" s="1"/>
  <c r="E273" i="32" s="1"/>
  <c r="F650" i="3"/>
  <c r="F652" i="3" s="1"/>
  <c r="F656" i="3" s="1"/>
  <c r="G663" i="3" s="1"/>
  <c r="G665" i="3" s="1"/>
  <c r="F273" i="32" s="1"/>
  <c r="F698" i="3"/>
  <c r="F699" i="3"/>
  <c r="F702" i="3" s="1"/>
  <c r="F703" i="3" s="1"/>
  <c r="H54" i="32"/>
  <c r="H55" i="32" s="1"/>
  <c r="H587" i="3"/>
  <c r="I104" i="34" s="1"/>
  <c r="C315" i="32"/>
  <c r="C217" i="32"/>
  <c r="E215" i="32" s="1"/>
  <c r="E234" i="32"/>
  <c r="E203" i="32"/>
  <c r="H203" i="32" s="1"/>
  <c r="C206" i="32" s="1"/>
  <c r="C207" i="32" s="1"/>
  <c r="D305" i="32" s="1"/>
  <c r="G54" i="32"/>
  <c r="G55" i="32" s="1"/>
  <c r="G587" i="3"/>
  <c r="H104" i="34" s="1"/>
  <c r="G698" i="3"/>
  <c r="G699" i="3"/>
  <c r="G702" i="3" s="1"/>
  <c r="G703" i="3" s="1"/>
  <c r="F108" i="34"/>
  <c r="F159" i="34"/>
  <c r="F163" i="34" s="1"/>
  <c r="C168" i="34" s="1"/>
  <c r="C177" i="34" s="1"/>
  <c r="F21" i="17"/>
  <c r="G33" i="17"/>
  <c r="F11" i="20" l="1"/>
  <c r="F20" i="20" s="1"/>
  <c r="F18" i="24" s="1"/>
  <c r="F37" i="29"/>
  <c r="F40" i="29" s="1"/>
  <c r="F41" i="29" s="1"/>
  <c r="F22" i="21"/>
  <c r="F25" i="21" s="1"/>
  <c r="F26" i="21" s="1"/>
  <c r="F5" i="22" s="1"/>
  <c r="F8" i="24"/>
  <c r="F11" i="24" s="1"/>
  <c r="K9" i="21"/>
  <c r="G8" i="20" s="1"/>
  <c r="L11" i="21"/>
  <c r="K10" i="21" s="1"/>
  <c r="H8" i="20" s="1"/>
  <c r="E18" i="24"/>
  <c r="E25" i="21"/>
  <c r="E26" i="21" s="1"/>
  <c r="E40" i="29"/>
  <c r="E41" i="29" s="1"/>
  <c r="C12" i="22"/>
  <c r="C22" i="22"/>
  <c r="C293" i="32"/>
  <c r="C318" i="32" s="1"/>
  <c r="F278" i="32"/>
  <c r="C292" i="32"/>
  <c r="E278" i="32"/>
  <c r="H278" i="32" s="1"/>
  <c r="C281" i="32" s="1"/>
  <c r="C282" i="32" s="1"/>
  <c r="D306" i="32" s="1"/>
  <c r="H67" i="32"/>
  <c r="C77" i="32" s="1"/>
  <c r="C78" i="32" s="1"/>
  <c r="C122" i="34"/>
  <c r="C113" i="34"/>
  <c r="G108" i="34"/>
  <c r="G159" i="34"/>
  <c r="G163" i="34" s="1"/>
  <c r="C169" i="34" s="1"/>
  <c r="I159" i="34"/>
  <c r="I163" i="34" s="1"/>
  <c r="C171" i="34" s="1"/>
  <c r="C180" i="34" s="1"/>
  <c r="I108" i="34"/>
  <c r="C95" i="32"/>
  <c r="E129" i="32"/>
  <c r="E133" i="32" s="1"/>
  <c r="H133" i="32" s="1"/>
  <c r="D137" i="32" s="1"/>
  <c r="D138" i="32" s="1"/>
  <c r="C144" i="32" s="1"/>
  <c r="E111" i="32"/>
  <c r="E117" i="32" s="1"/>
  <c r="E121" i="32" s="1"/>
  <c r="H121" i="32" s="1"/>
  <c r="D124" i="32" s="1"/>
  <c r="C152" i="32"/>
  <c r="E151" i="32" s="1"/>
  <c r="F151" i="32" s="1"/>
  <c r="G129" i="32"/>
  <c r="G133" i="32" s="1"/>
  <c r="G67" i="32"/>
  <c r="C154" i="32"/>
  <c r="C97" i="32"/>
  <c r="G111" i="32"/>
  <c r="G117" i="32" s="1"/>
  <c r="G121" i="32" s="1"/>
  <c r="C294" i="32"/>
  <c r="C319" i="32" s="1"/>
  <c r="G278" i="32"/>
  <c r="F246" i="32"/>
  <c r="F238" i="32"/>
  <c r="F129" i="32"/>
  <c r="F133" i="32" s="1"/>
  <c r="C153" i="32"/>
  <c r="C96" i="32"/>
  <c r="F111" i="32"/>
  <c r="F117" i="32" s="1"/>
  <c r="F121" i="32" s="1"/>
  <c r="G238" i="32"/>
  <c r="C268" i="32"/>
  <c r="G246" i="32"/>
  <c r="G250" i="32" s="1"/>
  <c r="E238" i="32"/>
  <c r="H238" i="32" s="1"/>
  <c r="D241" i="32" s="1"/>
  <c r="E246" i="32"/>
  <c r="H108" i="34"/>
  <c r="H159" i="34"/>
  <c r="H163" i="34" s="1"/>
  <c r="C170" i="34" s="1"/>
  <c r="C179" i="34" s="1"/>
  <c r="G34" i="17"/>
  <c r="H21" i="17"/>
  <c r="D22" i="17" s="1"/>
  <c r="H22" i="21" l="1"/>
  <c r="H8" i="24"/>
  <c r="H37" i="29"/>
  <c r="H11" i="20"/>
  <c r="H20" i="20" s="1"/>
  <c r="H18" i="24" s="1"/>
  <c r="H25" i="24" s="1"/>
  <c r="G8" i="24"/>
  <c r="G11" i="24" s="1"/>
  <c r="G22" i="21"/>
  <c r="G25" i="21" s="1"/>
  <c r="G26" i="21" s="1"/>
  <c r="G5" i="22" s="1"/>
  <c r="G11" i="20"/>
  <c r="G20" i="20" s="1"/>
  <c r="G37" i="29"/>
  <c r="H9" i="20"/>
  <c r="H9" i="24" s="1"/>
  <c r="E5" i="22"/>
  <c r="D125" i="32"/>
  <c r="C143" i="32" s="1"/>
  <c r="C145" i="32" s="1"/>
  <c r="D143" i="32"/>
  <c r="D258" i="32"/>
  <c r="D242" i="32"/>
  <c r="C258" i="32" s="1"/>
  <c r="C267" i="32"/>
  <c r="F250" i="32"/>
  <c r="C178" i="34"/>
  <c r="F178" i="34" s="1"/>
  <c r="G178" i="34" s="1"/>
  <c r="F168" i="34"/>
  <c r="D84" i="32"/>
  <c r="D302" i="32"/>
  <c r="D301" i="32"/>
  <c r="C114" i="34"/>
  <c r="F113" i="34" s="1"/>
  <c r="C123" i="34"/>
  <c r="C317" i="32"/>
  <c r="E316" i="32" s="1"/>
  <c r="F316" i="32" s="1"/>
  <c r="E290" i="32"/>
  <c r="C124" i="34"/>
  <c r="C115" i="34"/>
  <c r="E93" i="32"/>
  <c r="C125" i="34"/>
  <c r="C116" i="34"/>
  <c r="C266" i="32"/>
  <c r="E265" i="32" s="1"/>
  <c r="F265" i="32" s="1"/>
  <c r="E250" i="32"/>
  <c r="H250" i="32" s="1"/>
  <c r="D254" i="32" s="1"/>
  <c r="D255" i="32" s="1"/>
  <c r="C259" i="32" s="1"/>
  <c r="E22" i="17"/>
  <c r="F22" i="17" s="1"/>
  <c r="H22" i="17" s="1"/>
  <c r="D23" i="17" s="1"/>
  <c r="G35" i="17"/>
  <c r="H31" i="22" l="1"/>
  <c r="Z40" i="29"/>
  <c r="H24" i="21"/>
  <c r="H25" i="21" s="1"/>
  <c r="H26" i="21" s="1"/>
  <c r="D28" i="20" s="1"/>
  <c r="G40" i="29"/>
  <c r="G41" i="29" s="1"/>
  <c r="H39" i="29"/>
  <c r="H40" i="29" s="1"/>
  <c r="H41" i="29" s="1"/>
  <c r="H11" i="24"/>
  <c r="G18" i="24"/>
  <c r="G25" i="24" s="1"/>
  <c r="D25" i="20"/>
  <c r="D26" i="20"/>
  <c r="C260" i="32"/>
  <c r="F123" i="34"/>
  <c r="G123" i="34" s="1"/>
  <c r="D259" i="32"/>
  <c r="E259" i="32" s="1"/>
  <c r="F259" i="32" s="1"/>
  <c r="D308" i="32" s="1"/>
  <c r="E258" i="32"/>
  <c r="D260" i="32"/>
  <c r="E143" i="32"/>
  <c r="D144" i="32"/>
  <c r="E144" i="32" s="1"/>
  <c r="F144" i="32" s="1"/>
  <c r="E23" i="17"/>
  <c r="F23" i="17" s="1"/>
  <c r="H23" i="17" s="1"/>
  <c r="D24" i="17" s="1"/>
  <c r="G36" i="17"/>
  <c r="C43" i="29" l="1"/>
  <c r="C44" i="29"/>
  <c r="H5" i="22"/>
  <c r="D29" i="20"/>
  <c r="Y40" i="29"/>
  <c r="G31" i="22"/>
  <c r="D145" i="32"/>
  <c r="F143" i="32"/>
  <c r="E145" i="32"/>
  <c r="E260" i="32"/>
  <c r="F258" i="32"/>
  <c r="E24" i="17"/>
  <c r="F24" i="17" s="1"/>
  <c r="H24" i="17" s="1"/>
  <c r="D25" i="17" s="1"/>
  <c r="G37" i="17"/>
  <c r="E64" i="29" l="1"/>
  <c r="P64" i="29"/>
  <c r="W64" i="29"/>
  <c r="B93" i="29"/>
  <c r="K64" i="29"/>
  <c r="B81" i="29"/>
  <c r="B106" i="29"/>
  <c r="D64" i="29"/>
  <c r="Q64" i="29"/>
  <c r="J64" i="29"/>
  <c r="V64" i="29"/>
  <c r="E25" i="17"/>
  <c r="F25" i="17" s="1"/>
  <c r="H25" i="17" s="1"/>
  <c r="D26" i="17" s="1"/>
  <c r="G38" i="17"/>
  <c r="E26" i="17" l="1"/>
  <c r="F26" i="17" s="1"/>
  <c r="H26" i="17" s="1"/>
  <c r="D27" i="17" s="1"/>
  <c r="G39" i="17"/>
  <c r="E27" i="17" l="1"/>
  <c r="G40" i="17"/>
  <c r="G3" i="17"/>
  <c r="E6" i="23" s="1"/>
  <c r="E21" i="24" l="1"/>
  <c r="F27" i="17"/>
  <c r="F4" i="17"/>
  <c r="D7" i="23" s="1"/>
  <c r="G41" i="17"/>
  <c r="F5" i="17" l="1"/>
  <c r="H27" i="17"/>
  <c r="D28" i="17" s="1"/>
  <c r="D22" i="24"/>
  <c r="D8" i="23"/>
  <c r="D23" i="24" s="1"/>
  <c r="G42" i="17"/>
  <c r="G43" i="17" l="1"/>
  <c r="D9" i="23"/>
  <c r="E28" i="17"/>
  <c r="F28" i="17" l="1"/>
  <c r="G44" i="17"/>
  <c r="D24" i="24"/>
  <c r="D25" i="24" s="1"/>
  <c r="D34" i="22"/>
  <c r="D31" i="22" l="1"/>
  <c r="V40" i="29"/>
  <c r="H28" i="17"/>
  <c r="D29" i="17" s="1"/>
  <c r="G45" i="17"/>
  <c r="E29" i="17" l="1"/>
  <c r="G46" i="17"/>
  <c r="G47" i="17" l="1"/>
  <c r="F29" i="17"/>
  <c r="H29" i="17" l="1"/>
  <c r="D30" i="17" s="1"/>
  <c r="G48" i="17"/>
  <c r="E30" i="17" l="1"/>
  <c r="G49" i="17"/>
  <c r="F30" i="17" l="1"/>
  <c r="G50" i="17"/>
  <c r="G51" i="17" l="1"/>
  <c r="H30" i="17"/>
  <c r="D31" i="17" s="1"/>
  <c r="G52" i="17" l="1"/>
  <c r="H3" i="17"/>
  <c r="F6" i="23" s="1"/>
  <c r="E31" i="17"/>
  <c r="F31" i="17" l="1"/>
  <c r="F21" i="24"/>
  <c r="H31" i="17" l="1"/>
  <c r="D32" i="17" s="1"/>
  <c r="E32" i="17" l="1"/>
  <c r="F32" i="17" l="1"/>
  <c r="H32" i="17" l="1"/>
  <c r="D33" i="17" s="1"/>
  <c r="E33" i="17" l="1"/>
  <c r="F33" i="17" s="1"/>
  <c r="H33" i="17" s="1"/>
  <c r="D34" i="17" s="1"/>
  <c r="E34" i="17" l="1"/>
  <c r="F34" i="17" s="1"/>
  <c r="H34" i="17"/>
  <c r="D35" i="17" s="1"/>
  <c r="E35" i="17" l="1"/>
  <c r="F35" i="17" s="1"/>
  <c r="H35" i="17" s="1"/>
  <c r="D36" i="17" s="1"/>
  <c r="E36" i="17" l="1"/>
  <c r="F36" i="17" s="1"/>
  <c r="H36" i="17" s="1"/>
  <c r="D37" i="17" s="1"/>
  <c r="E37" i="17" l="1"/>
  <c r="F37" i="17" s="1"/>
  <c r="H37" i="17" s="1"/>
  <c r="D38" i="17" s="1"/>
  <c r="E38" i="17" l="1"/>
  <c r="F38" i="17" s="1"/>
  <c r="H38" i="17"/>
  <c r="D39" i="17" s="1"/>
  <c r="E39" i="17" l="1"/>
  <c r="F39" i="17" l="1"/>
  <c r="G4" i="17"/>
  <c r="E7" i="23" s="1"/>
  <c r="E22" i="24" l="1"/>
  <c r="E8" i="23"/>
  <c r="E23" i="24" s="1"/>
  <c r="G5" i="17"/>
  <c r="H39" i="17"/>
  <c r="D40" i="17" s="1"/>
  <c r="E40" i="17" l="1"/>
  <c r="E9" i="23"/>
  <c r="E34" i="22" l="1"/>
  <c r="E24" i="24"/>
  <c r="E25" i="24" s="1"/>
  <c r="F40" i="17"/>
  <c r="E31" i="22" l="1"/>
  <c r="W40" i="29"/>
  <c r="H40" i="17"/>
  <c r="D41" i="17" s="1"/>
  <c r="E41" i="17" l="1"/>
  <c r="F41" i="17" l="1"/>
  <c r="H41" i="17" l="1"/>
  <c r="D42" i="17" s="1"/>
  <c r="E42" i="17" l="1"/>
  <c r="F42" i="17" l="1"/>
  <c r="H42" i="17" l="1"/>
  <c r="D43" i="17" s="1"/>
  <c r="E43" i="17" l="1"/>
  <c r="F43" i="17" l="1"/>
  <c r="H43" i="17" l="1"/>
  <c r="D44" i="17" s="1"/>
  <c r="E44" i="17" l="1"/>
  <c r="F44" i="17" l="1"/>
  <c r="H44" i="17" l="1"/>
  <c r="D45" i="17" s="1"/>
  <c r="E45" i="17" l="1"/>
  <c r="F45" i="17" s="1"/>
  <c r="H45" i="17" s="1"/>
  <c r="D46" i="17" s="1"/>
  <c r="E46" i="17" l="1"/>
  <c r="F46" i="17" s="1"/>
  <c r="H46" i="17" s="1"/>
  <c r="D47" i="17" s="1"/>
  <c r="E47" i="17" l="1"/>
  <c r="F47" i="17" s="1"/>
  <c r="H47" i="17" s="1"/>
  <c r="D48" i="17" s="1"/>
  <c r="E48" i="17" l="1"/>
  <c r="F48" i="17" s="1"/>
  <c r="H48" i="17" s="1"/>
  <c r="D49" i="17" s="1"/>
  <c r="E49" i="17" l="1"/>
  <c r="F49" i="17" s="1"/>
  <c r="H49" i="17" s="1"/>
  <c r="D50" i="17" s="1"/>
  <c r="E50" i="17" l="1"/>
  <c r="F50" i="17" s="1"/>
  <c r="H50" i="17"/>
  <c r="D51" i="17" s="1"/>
  <c r="E51" i="17" l="1"/>
  <c r="E52" i="17" l="1"/>
  <c r="F51" i="17"/>
  <c r="H4" i="17"/>
  <c r="F7" i="23" s="1"/>
  <c r="F22" i="24" l="1"/>
  <c r="F8" i="23"/>
  <c r="F23" i="24" s="1"/>
  <c r="F9" i="23"/>
  <c r="F52" i="17"/>
  <c r="H5" i="17"/>
  <c r="H51" i="17"/>
  <c r="F24" i="24" l="1"/>
  <c r="F25" i="24" s="1"/>
  <c r="F34" i="22"/>
  <c r="X40" i="29" l="1"/>
  <c r="F31" i="22"/>
  <c r="C49" i="22" l="1"/>
  <c r="C47" i="29"/>
  <c r="C46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tc={9AD15DF5-8BDF-4346-A819-FD29D6CD87CD}</author>
    <author>tc={C01C027C-C932-452E-9DC7-E2C2009D219C}</author>
    <author>tc={D6E2CE0D-9603-40BA-9790-4869833A1855}</author>
    <author>tc={4BDECDED-FC4A-48B7-9DD5-5D84A4517F37}</author>
    <author>tc={AF414ADB-3203-4A8F-9323-5C0C9FAE5327}</author>
    <author>tc={F324DF26-3F88-4EE2-B140-038D99DBA862}</author>
    <author>tc={F13095EC-0465-48F4-8439-6048075997F8}</author>
    <author>tc={D00A7CB9-F4BE-4AA0-9F35-40E3BA3CAED8}</author>
    <author>tc={948E42D8-D76D-46F6-A1D7-66C6C902BDBB}</author>
    <author>tc={04DB8875-0356-4424-B6C9-B680CB4C596B}</author>
    <author>tc={15A8C71F-0EB1-4E90-A673-5C3E657740D8}</author>
    <author>tc={850471F8-FA0D-4142-8107-66871A408C5E}</author>
    <author>tc={23824A45-61F7-49CD-9D24-7B8DB5AAF98A}</author>
    <author>tc={8BF2C96E-2704-4822-AA21-61997C2E7C25}</author>
    <author>tc={72A22B69-D0EE-4F97-AF70-D5174F8AF55B}</author>
    <author>tc={52B40627-D163-45B1-B397-F7E6BE6B0D6C}</author>
    <author>tc={9B6C25A1-58A8-4168-90E6-B8ED364A56BA}</author>
    <author>tc={F0FAE1D3-DC3B-4246-9C25-4685BAFAE28F}</author>
    <author>tc={417F2E61-787E-417B-993E-F06F65FBCEEC}</author>
    <author>tc={059873A4-CF9E-4235-9247-7C4C94BCCEF0}</author>
    <author>tc={8BA9C720-5F4B-4A51-8E21-35D0800B7CFF}</author>
    <author>tc={CC31A257-D823-4BEA-98B0-3A4D4B0C4DA8}</author>
    <author>tc={EF76CE6E-0455-40FE-A284-4ED0F7812BD1}</author>
    <author>tc={25297C07-A677-452F-9BE2-019928FC1407}</author>
    <author>tc={FE5EB6E4-77BA-4B34-903A-28F7F8D47013}</author>
    <author>tc={1DF14650-0643-419E-8579-34053FFA839C}</author>
    <author>tc={F7561754-A13D-48C2-A55D-A86C108D70A3}</author>
    <author>tc={9A6C0278-C1B9-4821-83F1-0BEC0A2ADEE4}</author>
    <author>tc={1E641929-8864-4D83-A217-6751650850C4}</author>
    <author>tc={332BB07A-BFA9-460D-B692-F2F3ACE0476F}</author>
    <author>tc={D1FFFF78-FD26-4A22-9E0D-2045D8835A4B}</author>
    <author>tc={9A8C525A-42A2-4527-B5FB-1C48920C7028}</author>
    <author>tc={5D2D0ECA-06A4-4159-8FD4-EDB46FB5FAF1}</author>
    <author>tc={7F2F74F0-2AF6-4662-A3BF-C89AB05E04FF}</author>
    <author>tc={DE985E28-4584-487E-905E-643072FA5EDA}</author>
    <author>tc={65A747B2-AE2D-40F4-8AF6-B4EF0D0CF087}</author>
    <author>tc={0D3F07EA-76F9-4945-A605-A1DD43DD673B}</author>
    <author>tc={793E6433-81CB-4046-A446-A211DFBF47B4}</author>
    <author>tc={B56C5A9C-F647-4B25-BD77-C117A67CA50F}</author>
    <author>tc={8C3733E4-AEAB-485A-929C-A2F5AC057197}</author>
    <author>tc={8BCF2C44-CB1C-450E-8033-163F7A6920A9}</author>
    <author>tc={BB3B954C-816D-4A79-9F42-1742476D0BBC}</author>
    <author>tc={23795D12-6B5B-438F-8C11-B49B9AABE22B}</author>
    <author>tc={6D299125-CA9B-41BC-8DE7-032C50B8288A}</author>
    <author>tc={47EA87BE-3EDA-499D-819F-90C74B9723A0}</author>
    <author>tc={7133FB5B-4F86-4EC8-9CE5-8C011355DE28}</author>
    <author>tc={679F54FA-8E6C-4A48-8811-36B2BD01C110}</author>
  </authors>
  <commentList>
    <comment ref="F22" authorId="0" shapeId="0" xr:uid="{9AD15DF5-8BDF-4346-A819-FD29D6CD87CD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Vida útil
Construcciones y edificaciones: 20 años
Maquinaria y equipo: 10 años
Vehículos: 5 años
Equipo de computación, herramientas: 5 años
</t>
      </text>
    </comment>
    <comment ref="F86" authorId="1" shapeId="0" xr:uid="{C01C027C-C932-452E-9DC7-E2C2009D219C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Estudio Técnico: Tener en cuenta los materiales directos e indirectos que el proyecto requiere para realizar el proceso productivo.
</t>
      </text>
    </comment>
    <comment ref="B170" authorId="2" shapeId="0" xr:uid="{D6E2CE0D-9603-40BA-9790-4869833A185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Rubros necesarios, para dar a conocer el producto, ej. Pagos al personal de ventas, gastos de distribución, gastos publicitarios y de promoción.
</t>
      </text>
    </comment>
    <comment ref="B199" authorId="3" shapeId="0" xr:uid="{4BDECDED-FC4A-48B7-9DD5-5D84A4517F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suledo del personal de venta, no se considera mano de obra.</t>
      </text>
    </comment>
    <comment ref="D442" authorId="4" shapeId="0" xr:uid="{AF414ADB-3203-4A8F-9323-5C0C9FAE532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Incremento en ventas de acuerdo a la inflación de 0,0645
</t>
      </text>
    </comment>
    <comment ref="C449" authorId="5" shapeId="0" xr:uid="{F324DF26-3F88-4EE2-B140-038D99DBA86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8</t>
      </text>
    </comment>
    <comment ref="D449" authorId="6" shapeId="0" xr:uid="{F13095EC-0465-48F4-8439-6048075997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Incremento de acuerdo a la inflación, para este caso 0,0645</t>
      </text>
    </comment>
    <comment ref="C450" authorId="7" shapeId="0" xr:uid="{D00A7CB9-F4BE-4AA0-9F35-40E3BA3CAE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6</t>
      </text>
    </comment>
    <comment ref="C451" authorId="8" shapeId="0" xr:uid="{948E42D8-D76D-46F6-A1D7-66C6C902BD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10</t>
      </text>
    </comment>
    <comment ref="C454" authorId="9" shapeId="0" xr:uid="{04DB8875-0356-4424-B6C9-B680CB4C596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8</t>
      </text>
    </comment>
    <comment ref="C456" authorId="10" shapeId="0" xr:uid="{15A8C71F-0EB1-4E90-A673-5C3E657740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9</t>
      </text>
    </comment>
    <comment ref="C464" authorId="11" shapeId="0" xr:uid="{850471F8-FA0D-4142-8107-66871A408C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12</t>
      </text>
    </comment>
    <comment ref="C465" authorId="12" shapeId="0" xr:uid="{23824A45-61F7-49CD-9D24-7B8DB5AAF9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13</t>
      </text>
    </comment>
    <comment ref="C467" authorId="13" shapeId="0" xr:uid="{8BF2C96E-2704-4822-AA21-61997C2E7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11</t>
      </text>
    </comment>
    <comment ref="C468" authorId="14" shapeId="0" xr:uid="{72A22B69-D0EE-4F97-AF70-D5174F8AF55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14
</t>
      </text>
    </comment>
    <comment ref="C475" authorId="15" shapeId="0" xr:uid="{52B40627-D163-45B1-B397-F7E6BE6B0D6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15</t>
      </text>
    </comment>
    <comment ref="C484" authorId="16" shapeId="0" xr:uid="{9B6C25A1-58A8-4168-90E6-B8ED364A56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Consolidado del cuadro 32</t>
      </text>
    </comment>
    <comment ref="C485" authorId="17" shapeId="0" xr:uid="{F0FAE1D3-DC3B-4246-9C25-4685BAFAE28F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Consolidado del cuadro No. 33 Ppto Gtos Admon
</t>
      </text>
    </comment>
    <comment ref="C486" authorId="18" shapeId="0" xr:uid="{417F2E61-787E-417B-993E-F06F65FBCE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Consolidado del cuadro No. 34 Ppto Gtos de Vta</t>
      </text>
    </comment>
    <comment ref="C493" authorId="19" shapeId="0" xr:uid="{059873A4-CF9E-4235-9247-7C4C94BCCEF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30 programa de Inversiones
</t>
      </text>
    </comment>
    <comment ref="D494" authorId="20" shapeId="0" xr:uid="{8BA9C720-5F4B-4A51-8E21-35D0800B7CFF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>
      </text>
    </comment>
    <comment ref="D503" authorId="21" shapeId="0" xr:uid="{CC31A257-D823-4BEA-98B0-3A4D4B0C4DA8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  Inv. Maq y Eq de PN
</t>
      </text>
    </comment>
    <comment ref="D505" authorId="22" shapeId="0" xr:uid="{EF76CE6E-0455-40FE-A284-4ED0F7812BD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4 Inv. Muebles enseres y eq Admon</t>
      </text>
    </comment>
    <comment ref="D508" authorId="23" shapeId="0" xr:uid="{25297C07-A677-452F-9BE2-019928FC140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5 Inv Act Intangibles
</t>
      </text>
    </comment>
    <comment ref="D509" authorId="24" shapeId="0" xr:uid="{FE5EB6E4-77BA-4B34-903A-28F7F8D4701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1 Inversión en Obras Físicas
</t>
      </text>
    </comment>
    <comment ref="D510" authorId="25" shapeId="0" xr:uid="{1DF14650-0643-419E-8579-34053FFA839C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30 Capital de trabajo a términos constantes
</t>
      </text>
    </comment>
    <comment ref="E510" authorId="26" shapeId="0" xr:uid="{F7561754-A13D-48C2-A55D-A86C108D70A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>
      </text>
    </comment>
    <comment ref="K517" authorId="27" shapeId="0" xr:uid="{9A6C0278-C1B9-4821-83F1-0BEC0A2ADE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¡NO BORRAR!</t>
      </text>
    </comment>
    <comment ref="C571" authorId="28" shapeId="0" xr:uid="{1E641929-8864-4D83-A217-675165085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24 Costos Operacionales</t>
      </text>
    </comment>
    <comment ref="C585" authorId="29" shapeId="0" xr:uid="{332BB07A-BFA9-460D-B692-F2F3ACE047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Viene del Cuadro 37 Programa de Inversiones con Financiamiento</t>
      </text>
    </comment>
    <comment ref="D585" authorId="30" shapeId="0" xr:uid="{D1FFFF78-FD26-4A22-9E0D-2045D8835A4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>
      </text>
    </comment>
    <comment ref="H585" authorId="31" shapeId="0" xr:uid="{9A8C525A-42A2-4527-B5FB-1C48920C7028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36 Flujo neto de inversión
</t>
      </text>
    </comment>
    <comment ref="C593" authorId="32" shapeId="0" xr:uid="{5D2D0ECA-06A4-4159-8FD4-EDB46FB5FA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30 Programa de Inversiones</t>
      </text>
    </comment>
    <comment ref="C595" authorId="33" shapeId="0" xr:uid="{7F2F74F0-2AF6-4662-A3BF-C89AB05E04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36 Flujo neto de inversión sin financiamiento</t>
      </text>
    </comment>
    <comment ref="D595" authorId="34" shapeId="0" xr:uid="{DE985E28-4584-487E-905E-643072FA5EDA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>
      </text>
    </comment>
    <comment ref="C607" authorId="35" shapeId="0" xr:uid="{65A747B2-AE2D-40F4-8AF6-B4EF0D0CF0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38 
Programa de Amortización de crédito</t>
      </text>
    </comment>
    <comment ref="C622" authorId="36" shapeId="0" xr:uid="{0D3F07EA-76F9-4945-A605-A1DD43DD67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42 Flujo neto de inversiones</t>
      </text>
    </comment>
    <comment ref="D622" authorId="37" shapeId="0" xr:uid="{793E6433-81CB-4046-A446-A211DFBF47B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>
      </text>
    </comment>
    <comment ref="H622" authorId="38" shapeId="0" xr:uid="{B56C5A9C-F647-4B25-BD77-C117A67CA50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Cuadro 31Valor residual activos al final del período de evaluación</t>
      </text>
    </comment>
    <comment ref="C635" authorId="39" shapeId="0" xr:uid="{8C3733E4-AEAB-485A-929C-A2F5AC05719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incluye el valor del credito del cuadro 38
</t>
      </text>
    </comment>
    <comment ref="C643" authorId="40" shapeId="0" xr:uid="{8BCF2C44-CB1C-450E-8033-163F7A6920A9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Ingresos operacionales del cuadro No. 43 Flujo neto de operaciones con financiamiento
</t>
      </text>
    </comment>
    <comment ref="H662" authorId="41" shapeId="0" xr:uid="{BB3B954C-816D-4A79-9F42-1742476D0BB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45 Flujo neto de inversión</t>
      </text>
    </comment>
    <comment ref="C671" authorId="42" shapeId="0" xr:uid="{23795D12-6B5B-438F-8C11-B49B9AABE22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Activos Fijos del cuadro 37 Programa de Inversiones con financiamiento</t>
      </text>
    </comment>
    <comment ref="C672" authorId="43" shapeId="0" xr:uid="{6D299125-CA9B-41BC-8DE7-032C50B828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Gtos preoperacionales el cuadro 37 Programa de Inversiones con Financiamiento</t>
      </text>
    </comment>
    <comment ref="C673" authorId="44" shapeId="0" xr:uid="{47EA87BE-3EDA-499D-819F-90C74B9723A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Obras físicas instalación Cuadro No. 37 programa de Inversiones con Financiamiento </t>
      </text>
    </comment>
    <comment ref="D680" authorId="45" shapeId="0" xr:uid="{7133FB5B-4F86-4EC8-9CE5-8C011355DE2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Capital Deflactado cuadro No. 39</t>
      </text>
    </comment>
    <comment ref="D691" authorId="46" shapeId="0" xr:uid="{679F54FA-8E6C-4A48-8811-36B2BD01C11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Gastos operacionales Cuadro No. 24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tc={F12D7D8C-6D86-4C7F-A431-6E8933EC7CBA}</author>
  </authors>
  <commentList>
    <comment ref="J5" authorId="0" shapeId="0" xr:uid="{F12D7D8C-6D86-4C7F-A431-6E8933EC7C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Al final de quinto año, todas las lineas o la linea de producción trendran un valor comercial o de salvamiento equivalente a 35% de su valor de adquisisción.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tc={8A2B7FD7-2297-45D1-A60F-73F762F9516E}</author>
  </authors>
  <commentList>
    <comment ref="G18" authorId="0" shapeId="0" xr:uid="{8A2B7FD7-2297-45D1-A60F-73F762F951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Total de costos operativos con IGV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tc={430C7C25-ED76-4BD0-81BA-7922003E3FFE}</author>
    <author>tc={3F68705F-28D9-4285-8ED2-EE3AAC5BFDF1}</author>
    <author>tc={444FA360-9E8E-4CE7-ACF1-F436AFC8823D}</author>
  </authors>
  <commentList>
    <comment ref="B4" authorId="0" shapeId="0" xr:uid="{430C7C25-ED76-4BD0-81BA-7922003E3F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Ya incluye Depreciación activo fijo y Amortización de intangibles.</t>
      </text>
    </comment>
    <comment ref="B7" authorId="1" shapeId="0" xr:uid="{3F68705F-28D9-4285-8ED2-EE3AAC5BFD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Costos de producción la parte fija</t>
      </text>
    </comment>
    <comment ref="B20" authorId="2" shapeId="0" xr:uid="{444FA360-9E8E-4CE7-ACF1-F436AFC882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Valor de venta sin IGV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tc={7A24AB5E-DE9A-438F-85B8-4ED0B7171222}</author>
  </authors>
  <commentList>
    <comment ref="D10" authorId="0" shapeId="0" xr:uid="{7A24AB5E-DE9A-438F-85B8-4ED0B71712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Aqui entra solos los gastos operativos ya que los gastos operativos no tienes las amortizaciones ni depreciaciones.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tc={F3080CD5-1222-49B6-8EBD-C20E059329D7}</author>
    <author>tc={CE7889E9-56CD-4835-AAA3-91BF068B6B43}</author>
    <author>tc={7ACBECAF-F760-43AD-AACA-13FAB89A011F}</author>
    <author>tc={3D60F0DE-DBB7-4E28-822E-8CC0217B5BD6}</author>
    <author>tc={E8A9BF40-9458-4F2C-85B5-1714B10C79C2}</author>
  </authors>
  <commentList>
    <comment ref="B5" authorId="0" shapeId="0" xr:uid="{F3080CD5-1222-49B6-8EBD-C20E059329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Ventas sin IGV</t>
      </text>
    </comment>
    <comment ref="B8" authorId="1" shapeId="0" xr:uid="{CE7889E9-56CD-4835-AAA3-91BF068B6B4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MDP + MOD +CIP son los costos de producción</t>
      </text>
    </comment>
    <comment ref="I10" authorId="2" shapeId="0" xr:uid="{7ACBECAF-F760-43AD-AACA-13FAB89A011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a todos los gastos operativos se aplica IGV. Por ejemplo, al sueldo de personal, CIS</t>
      </text>
    </comment>
    <comment ref="I12" authorId="3" shapeId="0" xr:uid="{3D60F0DE-DBB7-4E28-822E-8CC0217B5B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Enviar a flujo de caja.</t>
      </text>
    </comment>
    <comment ref="B17" authorId="4" shapeId="0" xr:uid="{E8A9BF40-9458-4F2C-85B5-1714B10C79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Gastos finacieros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tc={70FA7598-761E-44CE-91B5-17B9E5E7D5FA}</author>
    <author>tc={47CAC106-7032-4AF4-AB69-010D73A56D70}</author>
  </authors>
  <commentList>
    <comment ref="F12" authorId="0" shapeId="0" xr:uid="{70FA7598-761E-44CE-91B5-17B9E5E7D5F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También se le conoce como ANUALIDAD</t>
      </text>
    </comment>
    <comment ref="G12" authorId="1" shapeId="0" xr:uid="{47CAC106-7032-4AF4-AB69-010D73A56D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Amortización de capital tambien es lo mismo que Ck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tc={83E46850-B29D-4FB3-8C2D-EA112557C3B8}</author>
    <author>tc={45464C81-2AC3-4959-AD72-64CF87F56146}</author>
    <author>tc={A031D5D4-4056-4479-9651-CABE8CF3EBF1}</author>
    <author>tc={7F70FCDA-5C69-485F-A6EF-A98D7662BE41}</author>
  </authors>
  <commentList>
    <comment ref="B6" authorId="0" shapeId="0" xr:uid="{83E46850-B29D-4FB3-8C2D-EA112557C3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Ventas Netas (sin IGV)</t>
      </text>
    </comment>
    <comment ref="B15" authorId="1" shapeId="0" xr:uid="{45464C81-2AC3-4959-AD72-64CF87F5614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Retención de IGV o IGV recibido</t>
      </text>
    </comment>
    <comment ref="B17" authorId="2" shapeId="0" xr:uid="{A031D5D4-4056-4479-9651-CABE8CF3EB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IGV de compras</t>
      </text>
    </comment>
    <comment ref="B18" authorId="3" shapeId="0" xr:uid="{7F70FCDA-5C69-485F-A6EF-A98D7662BE4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IGV NETO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tc={99E7E187-D10D-455B-BB3C-48E644B6EA35}</author>
  </authors>
  <commentList>
    <comment ref="B14" authorId="0" shapeId="0" xr:uid="{99E7E187-D10D-455B-BB3C-48E644B6EA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Este costo de producción no incluye las depreciaciones.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tc={FD0CA84C-49E1-4B1D-8258-FD2550C82B7A}</author>
    <author>tc={990AABDF-AA7C-4502-808A-5A947856BA33}</author>
    <author>tc={834450BA-C9DF-4CC0-AE47-F78CB69C50EA}</author>
    <author>tc={830876D9-4109-45E9-AAD6-E303AACA05E5}</author>
  </authors>
  <commentList>
    <comment ref="K4" authorId="0" shapeId="0" xr:uid="{FD0CA84C-49E1-4B1D-8258-FD2550C82B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capital de trabajo varia solo cuando varía las cantidades producidas</t>
      </text>
    </comment>
    <comment ref="B8" authorId="1" shapeId="0" xr:uid="{990AABDF-AA7C-4502-808A-5A947856BA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Costos de producción</t>
      </text>
    </comment>
    <comment ref="B9" authorId="2" shapeId="0" xr:uid="{834450BA-C9DF-4CC0-AE47-F78CB69C50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Pagos por la franquisisa</t>
      </text>
    </comment>
    <comment ref="B16" authorId="3" shapeId="0" xr:uid="{830876D9-4109-45E9-AAD6-E303AACA05E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Utilidad despues de Imp.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tc={DCD68123-D95E-4FB6-9227-7E9E38362887}</author>
  </authors>
  <commentList>
    <comment ref="B8" authorId="0" shapeId="0" xr:uid="{DCD68123-D95E-4FB6-9227-7E9E383628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Escudo fiscal es positivo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tc={8615E201-3AB0-45A0-82B4-ADB188F751C2}</author>
    <author>tc={0A3FB139-CB8B-4BE4-A40A-523B8A628375}</author>
    <author>tc={0E68609A-D46C-489F-A6DC-5DDB51CCA01A}</author>
  </authors>
  <commentList>
    <comment ref="C18" authorId="0" shapeId="0" xr:uid="{8615E201-3AB0-45A0-82B4-ADB188F751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es la inversion que se requiere y es 100% capital propio. INVERSION DEL PROYECTO.</t>
      </text>
    </comment>
    <comment ref="B25" authorId="1" shapeId="0" xr:uid="{0A3FB139-CB8B-4BE4-A40A-523B8A6283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 es negativo, este no va poder pagar sus deudas, entonces se puede ampliar el tiempo de préstamo para volverlo positivo. o incrementar el capital de trabajo.</t>
      </text>
    </comment>
    <comment ref="C25" authorId="2" shapeId="0" xr:uid="{0E68609A-D46C-489F-A6DC-5DDB51CCA01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invierte en realidad este monto. INVERSIÓN DEL ACCIONISTA.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tc={F9765AD8-6438-47E9-85AD-B7E6F5C392E3}</author>
    <author>tc={35BC6972-CCBD-4571-A3A2-CDD2A51D9915}</author>
    <author>tc={0C8481ED-25EA-46BE-9C25-D0D4BEA127F9}</author>
    <author>tc={A1223A2D-5614-4609-95AF-F34B9B4CD69F}</author>
  </authors>
  <commentList>
    <comment ref="B29" authorId="0" shapeId="0" xr:uid="{F9765AD8-6438-47E9-85AD-B7E6F5C392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Tasa Libre de Riesgo (Rf) lo saco del Bono (Letras) del Tesoro de EEUU en este caso a 5 años ya que es el período del proyecto (lo encuentras en el siguiente link: https://finance.yahoo.com/bonds  )</t>
      </text>
    </comment>
    <comment ref="B30" authorId="1" shapeId="0" xr:uid="{35BC6972-CCBD-4571-A3A2-CDD2A51D99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saca de carpeta de DAMODARAN o ir su página.</t>
      </text>
    </comment>
    <comment ref="B31" authorId="2" shapeId="0" xr:uid="{0C8481ED-25EA-46BE-9C25-D0D4BEA127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la rentabilidad del mercado (Rm), necesito un indicador de la rentabilidad del mundo en general, y para ello utilizo el rendimiento del Standar &amp; Poors 500, que es una buena referencia para medir la rentabilidad mundial.</t>
      </text>
    </comment>
    <comment ref="B32" authorId="3" shapeId="0" xr:uid="{A1223A2D-5614-4609-95AF-F34B9B4CD69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Riesgo pais se saca de la siguiente  Web de www.ambito.com/economia/ mercados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tc={DFE8B965-0406-4E2E-BBD8-6162073163BC}</author>
    <author>tc={EC2B18C9-8B47-469D-B562-3DE4A5B7D950}</author>
    <author>tc={659EA3CB-ECC5-4EFC-B831-FE32EDCB1A0B}</author>
    <author>tc={1662B4DA-080E-4718-9796-E0C1EFE310A6}</author>
    <author>tc={ECE47560-ACD5-4C84-878C-1B282EB32F54}</author>
    <author>tc={D8EB5745-B854-46D4-925F-549D97DA7A7D}</author>
  </authors>
  <commentList>
    <comment ref="G7" authorId="0" shapeId="0" xr:uid="{DFE8B965-0406-4E2E-BBD8-6162073163B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Porcentaje de capital propio en la estructura financiera.</t>
      </text>
    </comment>
    <comment ref="G8" authorId="1" shapeId="0" xr:uid="{EC2B18C9-8B47-469D-B562-3DE4A5B7D9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 del capital propio apalancado</t>
      </text>
    </comment>
    <comment ref="G9" authorId="2" shapeId="0" xr:uid="{659EA3CB-ECC5-4EFC-B831-FE32EDCB1A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Porcentaje de deuda en la estructura financiera.</t>
      </text>
    </comment>
    <comment ref="G10" authorId="3" shapeId="0" xr:uid="{1662B4DA-080E-4718-9796-E0C1EFE310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 de la deuda antes de impuestos</t>
      </text>
    </comment>
    <comment ref="G11" authorId="4" shapeId="0" xr:uid="{ECE47560-ACD5-4C84-878C-1B282EB32F5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Tasa impositiva a la renta</t>
      </text>
    </comment>
    <comment ref="J12" authorId="5" shapeId="0" xr:uid="{D8EB5745-B854-46D4-925F-549D97DA7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Total de activos o es la suma de pasivos mas activos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tc={6D275AAC-DBFB-48E5-A477-8D53998E9831}</author>
    <author>tc={38C4E3A4-F4D8-44E5-9BF7-54518CCECE03}</author>
    <author>tc={204AC92F-836B-4EFF-B591-2759943980BD}</author>
  </authors>
  <commentList>
    <comment ref="C3" authorId="0" shapeId="0" xr:uid="{6D275AAC-DBFB-48E5-A477-8D53998E98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empresa diversificada</t>
      </text>
    </comment>
    <comment ref="C11" authorId="1" shapeId="0" xr:uid="{38C4E3A4-F4D8-44E5-9BF7-54518CCECE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CORRECTO NO SERIA kurs?</t>
      </text>
    </comment>
    <comment ref="C14" authorId="2" shapeId="0" xr:uid="{204AC92F-836B-4EFF-B591-2759943980B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Empresa no diversificada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tc={E193DE93-6EB2-4A7C-B50D-7CEA362B7D23}</author>
    <author>tc={CE5EEA08-4FA6-4243-AA81-592DB7FEBABB}</author>
  </authors>
  <commentList>
    <comment ref="C198" authorId="0" shapeId="0" xr:uid="{E193DE93-6EB2-4A7C-B50D-7CEA362B7D2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Datos del Cuadro No. 44
</t>
      </text>
    </comment>
    <comment ref="C273" authorId="1" shapeId="0" xr:uid="{CE5EEA08-4FA6-4243-AA81-592DB7FEBA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47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tc={8B2FC452-477E-40AF-B368-45F2F83849EA}</author>
    <author>tc={AF34F9F2-69B1-4157-BACF-650B5B0A7D62}</author>
  </authors>
  <commentList>
    <comment ref="D30" authorId="0" shapeId="0" xr:uid="{8B2FC452-477E-40AF-B368-45F2F83849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40 Flujo neto de operación</t>
      </text>
    </comment>
    <comment ref="C35" authorId="1" shapeId="0" xr:uid="{AF34F9F2-69B1-4157-BACF-650B5B0A7D6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36 Flujo neto de inversión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tc={55502AE0-24B4-4561-A864-B645B28D3769}</author>
    <author>tc={06361574-E807-4D25-BE30-FDCFD4A7071E}</author>
    <author>tc={DFBE63FE-25F6-40D0-855E-0A95493BE33F}</author>
    <author>tc={EDA59133-3586-4C21-810D-8D2B43282BA7}</author>
    <author>tc={1B09538B-43EE-42B0-9B00-20C2B9BDFE2C}</author>
    <author>tc={10E7A319-61C3-45A3-B412-C798FD6E1609}</author>
    <author>tc={DC08D494-0705-43F7-A1B4-15004870EE37}</author>
    <author>tc={F1152B28-AE88-495C-ACE7-12EE7A446E19}</author>
  </authors>
  <commentList>
    <comment ref="H74" authorId="0" shapeId="0" xr:uid="{55502AE0-24B4-4561-A864-B645B28D3769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para la modificación en el número de unidades a vender. Si aumenta es positivo, si disminuye agregue el signo menos delante del valor a modificar. Dé enter después de colocar el valor ( no es necesario colocar el signo %, solo coloque el número entero). Verifique la modificación en el cuadro 60.
</t>
      </text>
    </comment>
    <comment ref="H76" authorId="1" shapeId="0" xr:uid="{06361574-E807-4D25-BE30-FDCFD4A7071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 para la modificación de precio de venta. Si incrementa es positivo, si disminuye agregue el signo menos delante del valor a colocar. Dé enter después de colocar el valor (no es necesario colocar el signo %, solo coloque el número entero). Verifique la modificación en el cuadro 60.</t>
      </text>
    </comment>
    <comment ref="B101" authorId="2" shapeId="0" xr:uid="{DFBE63FE-25F6-40D0-855E-0A95493BE3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de este cuadro se traen del ejercicio desarrollado en el módulo de Luz Marina Dávila de la bibliografía del curso</t>
      </text>
    </comment>
    <comment ref="D104" authorId="3" shapeId="0" xr:uid="{EDA59133-3586-4C21-810D-8D2B43282BA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41
</t>
      </text>
    </comment>
    <comment ref="H130" authorId="4" shapeId="0" xr:uid="{1B09538B-43EE-42B0-9B00-20C2B9BDFE2C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para la modificación en el número de unidades a vender. Si aumenta es positivo, si disminuye agregue el signo menos delante del valor a modificar. Dé enter después de colocar el valor ( no es necesario colocar el signo %, solo coloque el número entero). Verifique la modificación en el cuadro 60.
</t>
      </text>
    </comment>
    <comment ref="H134" authorId="5" shapeId="0" xr:uid="{10E7A319-61C3-45A3-B412-C798FD6E1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 para la modificación de precio de venta. Si incrementa es positivo, si disminuye agregue el signo menos delante del valor a colocar. Dé enter después de colocar el valor (no es necesario colocar el signo %, solo coloque el número entero). Verifique la modificación en el cuadro 60.</t>
      </text>
    </comment>
    <comment ref="B156" authorId="6" shapeId="0" xr:uid="{DC08D494-0705-43F7-A1B4-15004870EE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de este cuadro se traen del ejercicio desarrollado en el módulo de Luz Marina Dávila de la bibliografía del curso</t>
      </text>
    </comment>
    <comment ref="D159" authorId="7" shapeId="0" xr:uid="{F1152B28-AE88-495C-ACE7-12EE7A446E19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41
</t>
      </text>
    </comment>
  </commentList>
</comments>
</file>

<file path=xl/sharedStrings.xml><?xml version="1.0" encoding="utf-8"?>
<sst xmlns="http://schemas.openxmlformats.org/spreadsheetml/2006/main" count="2403" uniqueCount="1364">
  <si>
    <t>INTEGRANTES</t>
  </si>
  <si>
    <t>GRUPO ADEK</t>
  </si>
  <si>
    <t>Colaboradores</t>
  </si>
  <si>
    <t>ACHALMA MENDOZA, Elmer Edison</t>
  </si>
  <si>
    <t xml:space="preserve">ALCA AYME, Yudith Carolina </t>
  </si>
  <si>
    <t>eduScrum  Master</t>
  </si>
  <si>
    <t>GUTIÉRREZ LUCANA, Diana Virginia</t>
  </si>
  <si>
    <t>HUAMÁN CENTENO, Kely Daysi</t>
  </si>
  <si>
    <t>HUIZA QUISPE, Brenda Sofía</t>
  </si>
  <si>
    <t>Número de Grupo</t>
  </si>
  <si>
    <t>MODELO FINANCIERO</t>
  </si>
  <si>
    <t>COK</t>
  </si>
  <si>
    <t>nominal anual</t>
  </si>
  <si>
    <t>Inflación</t>
  </si>
  <si>
    <t>anual</t>
  </si>
  <si>
    <t>EVALUACIÓN ECONÓMICA</t>
  </si>
  <si>
    <t>Horizonte Ev.</t>
  </si>
  <si>
    <t>años</t>
  </si>
  <si>
    <t>Y FINANCIERA DE INVERSIONES</t>
  </si>
  <si>
    <t>TEA</t>
  </si>
  <si>
    <t>Impuesto I</t>
  </si>
  <si>
    <t>0-S/. 66,000</t>
  </si>
  <si>
    <t>Impuesto II</t>
  </si>
  <si>
    <t>Mayor a 66,000</t>
  </si>
  <si>
    <t>VANE</t>
  </si>
  <si>
    <t>VANF</t>
  </si>
  <si>
    <t>Precio venta</t>
  </si>
  <si>
    <t>por polo</t>
  </si>
  <si>
    <t>Mano Obra</t>
  </si>
  <si>
    <t>TIRE</t>
  </si>
  <si>
    <t>TIRF</t>
  </si>
  <si>
    <t>Unidades a producir</t>
  </si>
  <si>
    <t>Precio de venta</t>
  </si>
  <si>
    <t>Incremento en capital de trabajo</t>
  </si>
  <si>
    <t>Ventas contado</t>
  </si>
  <si>
    <t>Ventas a crédito</t>
  </si>
  <si>
    <t>No. 1 INVERSIÓN EN OBRAS FÍSICAS</t>
  </si>
  <si>
    <t>DETALLE DE INVERSIÓN</t>
  </si>
  <si>
    <t>CANTIDAD</t>
  </si>
  <si>
    <t>COSTO UNITARIO</t>
  </si>
  <si>
    <t>COSTO TOTAL</t>
  </si>
  <si>
    <t>Puerta de Vaivén</t>
  </si>
  <si>
    <t>División modular</t>
  </si>
  <si>
    <t>Luces</t>
  </si>
  <si>
    <t>Cenefa (Cuartos)</t>
  </si>
  <si>
    <t>Pintura</t>
  </si>
  <si>
    <t>Mano de obra (días)</t>
  </si>
  <si>
    <t>Total</t>
  </si>
  <si>
    <t>No. 2 INVERSIÓN EN MAQUINARIA Y EQUIPO DE PRODUCCIÓN</t>
  </si>
  <si>
    <t>DETALLE DE INVERSIÓN 
INVERSIONES</t>
  </si>
  <si>
    <t>VIDA ÚTIL (años)</t>
  </si>
  <si>
    <t>Computadora portátil Laptop</t>
  </si>
  <si>
    <t>Impresora</t>
  </si>
  <si>
    <t xml:space="preserve">Plancha Plana(Estampado) </t>
  </si>
  <si>
    <t xml:space="preserve">Pistola Etiquetadora Textil </t>
  </si>
  <si>
    <t xml:space="preserve">No. 3 INVERSIÓN DE HERRAMIENTAS                                                                                </t>
  </si>
  <si>
    <t xml:space="preserve">DETALLE DE INVERSIÓN </t>
  </si>
  <si>
    <t>Tijeras 7 pulgadas</t>
  </si>
  <si>
    <r>
      <rPr>
        <sz val="11"/>
        <color theme="1"/>
        <rFont val="IBM Plex Mono"/>
        <family val="3"/>
      </rPr>
      <t xml:space="preserve">Tijeras 5 </t>
    </r>
    <r>
      <rPr>
        <sz val="11"/>
        <color rgb="FF000000"/>
        <rFont val="IBM Plex Mono"/>
        <family val="3"/>
      </rPr>
      <t xml:space="preserve">1/2 </t>
    </r>
    <r>
      <rPr>
        <sz val="11"/>
        <color theme="1"/>
        <rFont val="IBM Plex Mono"/>
        <family val="3"/>
      </rPr>
      <t>Pulgadas</t>
    </r>
  </si>
  <si>
    <t>Tijeras para papel</t>
  </si>
  <si>
    <t>Tijeras pulidora</t>
  </si>
  <si>
    <t xml:space="preserve"> No. 4 INVERSIÓN EN MUEBLES, ENSERES Y EQUIPOS DE ADMINISTRACIÓN</t>
  </si>
  <si>
    <t>Escritorio para computador</t>
  </si>
  <si>
    <t>Silla de escritorio</t>
  </si>
  <si>
    <t>Silla</t>
  </si>
  <si>
    <t xml:space="preserve">Exhibidor de polos </t>
  </si>
  <si>
    <t>Espejo para vestidor</t>
  </si>
  <si>
    <t>Probador vestidor de metal</t>
  </si>
  <si>
    <t>Cortina de vestidor de polos</t>
  </si>
  <si>
    <t>Moto lineal (eléctrica)</t>
  </si>
  <si>
    <t xml:space="preserve"> No. 5 INVERSIÓN EN ACTIVOS INTANGIBLES</t>
  </si>
  <si>
    <t>COSTO</t>
  </si>
  <si>
    <t>PORCENTAJE</t>
  </si>
  <si>
    <t>REGISTRO DE MARCA Y LOGO</t>
  </si>
  <si>
    <t>CONSTITUCIÓN DE LA EMPRESA</t>
  </si>
  <si>
    <t>CAPACITACIÓN AL PERSONAL</t>
  </si>
  <si>
    <t>INSCRIPCIÓN EN SUNARP</t>
  </si>
  <si>
    <t>TOTAL GASTOS PREOPERATIVOS</t>
  </si>
  <si>
    <t>No. 6 COSTO MANO DE OBRA</t>
  </si>
  <si>
    <t>CARGO</t>
  </si>
  <si>
    <t>REMUNERACIÓN MENSUAL</t>
  </si>
  <si>
    <t>REMUNERACIÓN ANUAL</t>
  </si>
  <si>
    <t>PRESTACIONES SOCIALES</t>
  </si>
  <si>
    <t>PRIMER MES</t>
  </si>
  <si>
    <t>Sueldo del diseñador</t>
  </si>
  <si>
    <t>Sueldo del estampador</t>
  </si>
  <si>
    <t>No. 7 PORCENTAJES UTILIZADOS PARA PRESTACIONES SOCIALES Y APORTES</t>
  </si>
  <si>
    <t>%</t>
  </si>
  <si>
    <t>ÍTEM</t>
  </si>
  <si>
    <t>DOTACIÓN ESPECIAL</t>
  </si>
  <si>
    <t>CESANTÍAS</t>
  </si>
  <si>
    <t>PRIMAS</t>
  </si>
  <si>
    <t>VACACIONES</t>
  </si>
  <si>
    <t>SALUD</t>
  </si>
  <si>
    <t>PENSIONES</t>
  </si>
  <si>
    <t>RIESGOS</t>
  </si>
  <si>
    <t>DOTACIÓN ORDINARIA</t>
  </si>
  <si>
    <t>TRANSPORTE</t>
  </si>
  <si>
    <t>INTERESES CESANTÍAS</t>
  </si>
  <si>
    <t>TOTAL</t>
  </si>
  <si>
    <t>No. 8 COSTOS DE MATERIALES (primer mes de operaciones)</t>
  </si>
  <si>
    <t>MATERIAL</t>
  </si>
  <si>
    <t>UNIDAD DE MEDIDA</t>
  </si>
  <si>
    <t>TOTAL MES</t>
  </si>
  <si>
    <t>A.    MATERIALES DIRECTOS</t>
  </si>
  <si>
    <t>Polos de algodón</t>
  </si>
  <si>
    <t>unidades</t>
  </si>
  <si>
    <t>Papel transfer tela oscura (A4)</t>
  </si>
  <si>
    <t>Papel transfer tela clara (A4)</t>
  </si>
  <si>
    <t>Etiquetas colgantes</t>
  </si>
  <si>
    <t>Bolsas de papel</t>
  </si>
  <si>
    <t>Tinta pigmentada (100ml)</t>
  </si>
  <si>
    <t>ml</t>
  </si>
  <si>
    <t>Subtotal Materiales Directos</t>
  </si>
  <si>
    <t>B.    MATERIALES INDIRECTOS</t>
  </si>
  <si>
    <t>Papel</t>
  </si>
  <si>
    <t>Pliego</t>
  </si>
  <si>
    <t>Lápiz</t>
  </si>
  <si>
    <t>Caja</t>
  </si>
  <si>
    <t>Tiza</t>
  </si>
  <si>
    <t>Unidad</t>
  </si>
  <si>
    <t>Aceite</t>
  </si>
  <si>
    <t>Frasco 80c.c</t>
  </si>
  <si>
    <t>Subtotal Materiales Indirectos</t>
  </si>
  <si>
    <t>No. 9 COSTO DE SERVICIO (primer mes)</t>
  </si>
  <si>
    <t>SERVICIO</t>
  </si>
  <si>
    <t>MEDIDA</t>
  </si>
  <si>
    <t>Energía Eléctrica</t>
  </si>
  <si>
    <t>Mensual</t>
  </si>
  <si>
    <t>Teléfono</t>
  </si>
  <si>
    <t>Cargo fijo</t>
  </si>
  <si>
    <t>Internet</t>
  </si>
  <si>
    <t>No. 10 GASTOS POR DEPRECIACIÓN ACTIVOS DE PRODUCCIÓN</t>
  </si>
  <si>
    <t>ACTIVO</t>
  </si>
  <si>
    <t>VIDA ÚTIL</t>
  </si>
  <si>
    <t>COSTO ACTIVO</t>
  </si>
  <si>
    <t>DEPRECIACIÓN ANUAL</t>
  </si>
  <si>
    <t>VALOR RESIDUAL</t>
  </si>
  <si>
    <t>DEPRECIACIÓN MENSUAL</t>
  </si>
  <si>
    <t>TOTAL ACTIVOS DE PRODUCCIÓN</t>
  </si>
  <si>
    <t>No. 11 GASTOS POR DEPRECIACIÓN ACTIVOS DE ADMINISTRACIÓN</t>
  </si>
  <si>
    <t>Total activos de administración</t>
  </si>
  <si>
    <t>No. 12 REMUNERACIÓN AL PERSONAL ADMINISTRATIVO</t>
  </si>
  <si>
    <t xml:space="preserve">MES        </t>
  </si>
  <si>
    <t>Gerente General</t>
  </si>
  <si>
    <t>Contador</t>
  </si>
  <si>
    <t>subtotal</t>
  </si>
  <si>
    <t>No. 13 OTROS GASTOS ADMINISTRATIVOS</t>
  </si>
  <si>
    <t xml:space="preserve">TOTAL MES </t>
  </si>
  <si>
    <t>Energía eléctrica</t>
  </si>
  <si>
    <t>soles</t>
  </si>
  <si>
    <t>mensual</t>
  </si>
  <si>
    <t>No 14. AMORTIZACIÓN A GASTOS DIFERIDOS</t>
  </si>
  <si>
    <t xml:space="preserve">ACTIVO INTANGIBLE </t>
  </si>
  <si>
    <t>PLAZO (en años) AMORTIZACIÓN</t>
  </si>
  <si>
    <t>COSTO DEL ACTIVO</t>
  </si>
  <si>
    <t>VALOR AMORTIZACIÓN ANUAL</t>
  </si>
  <si>
    <t>VALOR AMORTIZACIÓN MENSUAL</t>
  </si>
  <si>
    <t>Gastos preoperativos</t>
  </si>
  <si>
    <t>AMORTIZAR</t>
  </si>
  <si>
    <t>Amortización en cifras físicas</t>
  </si>
  <si>
    <t>TOTAL A AMORTIZAR</t>
  </si>
  <si>
    <t>TOTAL AMORTIZACIÓN ANUAL</t>
  </si>
  <si>
    <t>No 15. Gastos de venta (primer mes de operaciones).</t>
  </si>
  <si>
    <t xml:space="preserve">SERVICIO </t>
  </si>
  <si>
    <t xml:space="preserve">CANTIDAD </t>
  </si>
  <si>
    <t xml:space="preserve">COSTO UNITARIO </t>
  </si>
  <si>
    <t>MES 1</t>
  </si>
  <si>
    <t>Publicidad</t>
  </si>
  <si>
    <t>MES</t>
  </si>
  <si>
    <t xml:space="preserve">Alquiler </t>
  </si>
  <si>
    <t>Transporte</t>
  </si>
  <si>
    <t>No. 16 DISTRIBUCIÓN DE COSTOS</t>
  </si>
  <si>
    <t xml:space="preserve">COSTO </t>
  </si>
  <si>
    <t xml:space="preserve">COSTO FIJO </t>
  </si>
  <si>
    <t>COSTO VARIABLE</t>
  </si>
  <si>
    <t>Costo de Producción</t>
  </si>
  <si>
    <t xml:space="preserve">Mano de Obra directa </t>
  </si>
  <si>
    <t xml:space="preserve">Mano de obra indirecta </t>
  </si>
  <si>
    <t>$                                   -</t>
  </si>
  <si>
    <t>Materiales directos</t>
  </si>
  <si>
    <t xml:space="preserve">Materiales indirectos </t>
  </si>
  <si>
    <t>Depreciación (CIF)</t>
  </si>
  <si>
    <t xml:space="preserve">Servicios </t>
  </si>
  <si>
    <t xml:space="preserve">Mantenimiento  </t>
  </si>
  <si>
    <t>$                                  -</t>
  </si>
  <si>
    <t>$                       -</t>
  </si>
  <si>
    <t xml:space="preserve">Subtotal </t>
  </si>
  <si>
    <t>Gastos de Administración</t>
  </si>
  <si>
    <t xml:space="preserve">Sueldos y prestaciones </t>
  </si>
  <si>
    <t xml:space="preserve">Otros gastos </t>
  </si>
  <si>
    <t xml:space="preserve">Amortización Pre operativos </t>
  </si>
  <si>
    <t xml:space="preserve">Depreciación </t>
  </si>
  <si>
    <t>Gastos de Ventas</t>
  </si>
  <si>
    <t xml:space="preserve">Publicidad, promoción, transportes </t>
  </si>
  <si>
    <t xml:space="preserve">TOTAL </t>
  </si>
  <si>
    <t xml:space="preserve">COSTOS TOTALES </t>
  </si>
  <si>
    <t>CONDICIONES PARA QUE UN PUNTO DE EQUILIBRIO SEA CORRECTO</t>
  </si>
  <si>
    <t>Costo fijo total</t>
  </si>
  <si>
    <t>1. las cantidades en el punto de equilibrio son menores a las</t>
  </si>
  <si>
    <t>Costo variable total</t>
  </si>
  <si>
    <t>cantidades a producir</t>
  </si>
  <si>
    <t>Costo variable unitario</t>
  </si>
  <si>
    <t>2. El precio de venta es mayor al costo variable unitario</t>
  </si>
  <si>
    <t>Qo (pto equilibrio)</t>
  </si>
  <si>
    <t>N0 17   Datos agrupados para calcular punto de equilibrio.</t>
  </si>
  <si>
    <t>UNIDADES</t>
  </si>
  <si>
    <t>COSTO FIJO</t>
  </si>
  <si>
    <t>INGRESO TOTAL</t>
  </si>
  <si>
    <t>PUNTO DE EQUILIBRIO</t>
  </si>
  <si>
    <t>EJEMPLO DE PUNTO DE EQUILIBRIO EN VARIAS LÍNEAS</t>
  </si>
  <si>
    <t>Los cuadros No. 18 a 22 muestran un ejemplo de punto de equilibrio para 3 referencias de productos</t>
  </si>
  <si>
    <t>Si en su proyecto solo tiene un único producto, continúe con el cuadro 23</t>
  </si>
  <si>
    <t>No 18  Cálculo del punto de equilibrio en varias líneas.</t>
  </si>
  <si>
    <t>ACTIVIDADES</t>
  </si>
  <si>
    <t>A</t>
  </si>
  <si>
    <t>B</t>
  </si>
  <si>
    <t>C</t>
  </si>
  <si>
    <t>PARTICIPACIÓN</t>
  </si>
  <si>
    <t>PRECIO DE VENTAS</t>
  </si>
  <si>
    <t>COSTOS VARIABLES</t>
  </si>
  <si>
    <t>MARGEN DE CONTRIBUCIÓN</t>
  </si>
  <si>
    <t>COSTOS FIJOS SON:</t>
  </si>
  <si>
    <t>Margen de contribución promedio ponderado</t>
  </si>
  <si>
    <t>(2400*0,4)+(1700*0.35)+(2000*0.25)=960+595+500=2055</t>
  </si>
  <si>
    <t>Aplicando la formula</t>
  </si>
  <si>
    <t>Qo = Costos Fijos /Margen de Contribución</t>
  </si>
  <si>
    <t>Qo= 160.000.600/2055=</t>
  </si>
  <si>
    <t>Este valor se relaciona con los porcentajes de participación de cada línea</t>
  </si>
  <si>
    <t>Línea A</t>
  </si>
  <si>
    <t>Línea B</t>
  </si>
  <si>
    <t>Línea C</t>
  </si>
  <si>
    <t>No 19  Comprobación del punto de equilibrio</t>
  </si>
  <si>
    <t>DESCRIPCIÓN</t>
  </si>
  <si>
    <t>VENTAS</t>
  </si>
  <si>
    <t>TOTAL DE VENTAS</t>
  </si>
  <si>
    <t>TOTAL DE COSTOS VARIABLES</t>
  </si>
  <si>
    <t>TOTAL MARGEN DE CONTRIBUCIÓN</t>
  </si>
  <si>
    <t>COSTOS FIJOS</t>
  </si>
  <si>
    <t>UTILIDAD</t>
  </si>
  <si>
    <t>No 20  Determinación del punto de equilibrio en soles</t>
  </si>
  <si>
    <t>PRODUCTOS</t>
  </si>
  <si>
    <t>TOTALES</t>
  </si>
  <si>
    <t>Unidades</t>
  </si>
  <si>
    <t>Ingresos</t>
  </si>
  <si>
    <t>Costo Variable por unidad</t>
  </si>
  <si>
    <t>% en pesos</t>
  </si>
  <si>
    <t>Calculo del volumen del punto de equilibrio global en pesos</t>
  </si>
  <si>
    <t>CM% = Contribución marginal total/Ingresos totales</t>
  </si>
  <si>
    <t>CM%= 143.650.400/300.350.774=</t>
  </si>
  <si>
    <t>X=CF/CM%=160.000.600/0.47</t>
  </si>
  <si>
    <t>No21  Comprobación del punto de equilibrio en soles.</t>
  </si>
  <si>
    <t>ÍTEMS</t>
  </si>
  <si>
    <t>Costos variables</t>
  </si>
  <si>
    <t>Contribución Marginal en Pesos</t>
  </si>
  <si>
    <t>Contribución Marginal en %</t>
  </si>
  <si>
    <t>Total en Ingresos</t>
  </si>
  <si>
    <t>Total de costos variables</t>
  </si>
  <si>
    <t>Total de margen de contribución</t>
  </si>
  <si>
    <t>Total de Porcentaje</t>
  </si>
  <si>
    <t>No 22 Distribución en soles del punto de equilibrio.</t>
  </si>
  <si>
    <t>Mezcla Conformada</t>
  </si>
  <si>
    <t>Hasta aquí ejemplo de punto de equilibrio en varios líneas</t>
  </si>
  <si>
    <t>No 23   Programa de inversión fija del proyecto.</t>
  </si>
  <si>
    <t>CONCEPTOS</t>
  </si>
  <si>
    <t>AÑOS</t>
  </si>
  <si>
    <t>ACTIVOS FIJOS Y TANGIBLES</t>
  </si>
  <si>
    <t>Maquinaria y Equipo</t>
  </si>
  <si>
    <t>Mobiliario y decoración</t>
  </si>
  <si>
    <t>$                        -</t>
  </si>
  <si>
    <t>Muebles y Equipo de Oficina</t>
  </si>
  <si>
    <t>SUBTOTAL</t>
  </si>
  <si>
    <t>ACTIVOS DIFERIDOS</t>
  </si>
  <si>
    <t>Adecuaciones, obras físicas</t>
  </si>
  <si>
    <t>TOTAL INVERSIÓN FIJA</t>
  </si>
  <si>
    <t>No 24 Costos Operacionales</t>
  </si>
  <si>
    <t>Gastos de producción</t>
  </si>
  <si>
    <t>Gastos administrativos</t>
  </si>
  <si>
    <t>CONCEPTO</t>
  </si>
  <si>
    <t>Materias primas</t>
  </si>
  <si>
    <t>Sueldos y prestaciones</t>
  </si>
  <si>
    <t>Mano de obra directa</t>
  </si>
  <si>
    <t>Servicios varios</t>
  </si>
  <si>
    <t>Gastos Administrativos</t>
  </si>
  <si>
    <t>Ctos indirectos de fabricación</t>
  </si>
  <si>
    <t>Depreciación</t>
  </si>
  <si>
    <t>Gastos de venta</t>
  </si>
  <si>
    <t>Amort diferidos</t>
  </si>
  <si>
    <t xml:space="preserve">Total Costos </t>
  </si>
  <si>
    <t>Operacionales mensual</t>
  </si>
  <si>
    <t>Total Costos</t>
  </si>
  <si>
    <t>Operacionales anual</t>
  </si>
  <si>
    <t>CALCULO DEL CAPITAL DE TRABAJO ICT= CO (COPD)</t>
  </si>
  <si>
    <t>Total costos operacionales</t>
  </si>
  <si>
    <t>(-) depreciación</t>
  </si>
  <si>
    <t>se resta 1 para igualar al resultado del módulo, la diferencia es por decimales</t>
  </si>
  <si>
    <t>(-) amort diferidos</t>
  </si>
  <si>
    <r>
      <rPr>
        <b/>
        <sz val="11"/>
        <color theme="1"/>
        <rFont val="IBM Plex Mono"/>
        <family val="3"/>
      </rPr>
      <t xml:space="preserve">(=) </t>
    </r>
    <r>
      <rPr>
        <sz val="11"/>
        <color theme="1"/>
        <rFont val="IBM Plex Mono"/>
        <family val="3"/>
      </rPr>
      <t>Costo operacional  mensual</t>
    </r>
  </si>
  <si>
    <t>COPA</t>
  </si>
  <si>
    <r>
      <rPr>
        <b/>
        <sz val="11"/>
        <color theme="1"/>
        <rFont val="IBM Plex Mono"/>
        <family val="3"/>
      </rPr>
      <t xml:space="preserve">(=) </t>
    </r>
    <r>
      <rPr>
        <sz val="11"/>
        <color theme="1"/>
        <rFont val="IBM Plex Mono"/>
        <family val="3"/>
      </rPr>
      <t>Costo operacional  anual</t>
    </r>
  </si>
  <si>
    <t>COPD (Costo operacional diario) = COPM/30</t>
  </si>
  <si>
    <t>COPD (Costo operacional diario) = COPA/360</t>
  </si>
  <si>
    <t>COPD =</t>
  </si>
  <si>
    <t>Capital de trabajo</t>
  </si>
  <si>
    <t>PROYECCIÓN CAPITAL DE TRABAJO TÉRMINOS CONSTANTES</t>
  </si>
  <si>
    <t>P= F/(1+I)^n</t>
  </si>
  <si>
    <t>F</t>
  </si>
  <si>
    <t>i</t>
  </si>
  <si>
    <t>la inflación</t>
  </si>
  <si>
    <t>n</t>
  </si>
  <si>
    <t>un mes</t>
  </si>
  <si>
    <t>P</t>
  </si>
  <si>
    <t>Diferencia</t>
  </si>
  <si>
    <t>N0 25  Capital de trabajo términos constantes</t>
  </si>
  <si>
    <t>Sin incremento en producción</t>
  </si>
  <si>
    <t xml:space="preserve">En este caso se deja la producción en </t>
  </si>
  <si>
    <t>unidades al año</t>
  </si>
  <si>
    <t>DETALLE</t>
  </si>
  <si>
    <t>CAPITAL DE TRABAJO</t>
  </si>
  <si>
    <t>Incremento Valor en la producción</t>
  </si>
  <si>
    <t>TOTAL INVERSIÓN</t>
  </si>
  <si>
    <t>No 26  Inversión de capital de trabajo (términos constantes).</t>
  </si>
  <si>
    <r>
      <rPr>
        <b/>
        <sz val="11"/>
        <color rgb="FFFFFFFF"/>
        <rFont val="IBM Plex Mono"/>
        <family val="3"/>
      </rPr>
      <t>Con  incremento en producción</t>
    </r>
  </si>
  <si>
    <t xml:space="preserve">En este caso se da un incremento de </t>
  </si>
  <si>
    <t>sobre capital del trabajo</t>
  </si>
  <si>
    <t>Calculo del capital de trabajo a  términos corrientes</t>
  </si>
  <si>
    <t>inflación</t>
  </si>
  <si>
    <t>Incremento año 2</t>
  </si>
  <si>
    <t>incremento año 3</t>
  </si>
  <si>
    <t>incremento año 4</t>
  </si>
  <si>
    <t>incremento año 5</t>
  </si>
  <si>
    <t>No 27  Inversión en Capital de trabajo , sin incremento en producción</t>
  </si>
  <si>
    <t>Incremento de producción anual</t>
  </si>
  <si>
    <t>Incremento capital trabajo1</t>
  </si>
  <si>
    <t>Incremento capital trabajo2</t>
  </si>
  <si>
    <t>Incremento capital trabajo3</t>
  </si>
  <si>
    <t>Incremento capital trabajo4</t>
  </si>
  <si>
    <t>No 28 Inversión de capital de trabajo con incremento en producción</t>
  </si>
  <si>
    <t>Incremento En Capital de trabajo</t>
  </si>
  <si>
    <t>N0 29. PRESUPUESTO DE CAPITAL DE TRABAJO PUNTO DE VISTA CONTABLE</t>
  </si>
  <si>
    <t>(Términos constantes) con incremento de producción</t>
  </si>
  <si>
    <t>Activos</t>
  </si>
  <si>
    <t>año 1</t>
  </si>
  <si>
    <t>costos y gastos</t>
  </si>
  <si>
    <t>neto</t>
  </si>
  <si>
    <t>mes</t>
  </si>
  <si>
    <t>Corrientes de caja y bancos</t>
  </si>
  <si>
    <t>Corriente Caja y Bancos</t>
  </si>
  <si>
    <t>Cuentas por cobrar inventarios</t>
  </si>
  <si>
    <t>Cuentas por cobrar</t>
  </si>
  <si>
    <t>TOTAL ACTIVOS CORRIENTES</t>
  </si>
  <si>
    <t>Pasivos</t>
  </si>
  <si>
    <t>0.0</t>
  </si>
  <si>
    <t>Corrientes cuentas por pagar</t>
  </si>
  <si>
    <t>Capital de Trabajo</t>
  </si>
  <si>
    <t>Incremento de capital de trabajo</t>
  </si>
  <si>
    <t>programa de inversión términos constantes</t>
  </si>
  <si>
    <t>Inversión obras físicas</t>
  </si>
  <si>
    <t>inversión en maquinaria y equipo</t>
  </si>
  <si>
    <t>inversión mueble y enseres equipos</t>
  </si>
  <si>
    <t>inversión intangibles</t>
  </si>
  <si>
    <t>total inversión</t>
  </si>
  <si>
    <r>
      <rPr>
        <b/>
        <sz val="11"/>
        <color theme="0"/>
        <rFont val="IBM Plex Mono"/>
        <family val="3"/>
      </rPr>
      <t>N0. 30 PROGRAMA DE INVERSIONES</t>
    </r>
    <r>
      <rPr>
        <b/>
        <sz val="11"/>
        <color rgb="FFFFFFFF"/>
        <rFont val="IBM Plex Mono"/>
        <family val="3"/>
      </rPr>
      <t xml:space="preserve"> (términos constantes)</t>
    </r>
  </si>
  <si>
    <t>Inversión fija</t>
  </si>
  <si>
    <t>TOTAL DE INVERSIONES</t>
  </si>
  <si>
    <t>No. 31 CUADRO VALOR RESIDUAL ACTIVOS AL FINAL DEL PERIODO DE EVALUACIÓN (Términos constantes)</t>
  </si>
  <si>
    <t>Otros activos producción</t>
  </si>
  <si>
    <t>Activos administrativos</t>
  </si>
  <si>
    <t>Activos de ventas</t>
  </si>
  <si>
    <t>_</t>
  </si>
  <si>
    <t>Activos de distribución</t>
  </si>
  <si>
    <t>Subtotal valor residual</t>
  </si>
  <si>
    <t xml:space="preserve">Activos fijos </t>
  </si>
  <si>
    <t>TOTAL VALOR RESIDUAL</t>
  </si>
  <si>
    <t>PRESUPUESTO DE INGRESOS</t>
  </si>
  <si>
    <t>Total ingresos Operacionales</t>
  </si>
  <si>
    <t>No. 32 PRESUPUESTO DE COSTOS DE PRODUCCIÓN (términos constantes)</t>
  </si>
  <si>
    <t>1.    Costos Directos</t>
  </si>
  <si>
    <t>Materiales Directos</t>
  </si>
  <si>
    <t>Mano de Obra Directa</t>
  </si>
  <si>
    <t>Subtotal Costos Directos</t>
  </si>
  <si>
    <t>2.    Gastos Generales de producción</t>
  </si>
  <si>
    <t>Materiales Indirectos</t>
  </si>
  <si>
    <t>Mano de obra indirecta</t>
  </si>
  <si>
    <t>Servicios y otros</t>
  </si>
  <si>
    <t>Subtotal Gastos generales de producción</t>
  </si>
  <si>
    <t>TOTAL COSTOS DE PRODUCCIÓN</t>
  </si>
  <si>
    <t>No. 33  PRESUPUESTO DE GASTOS DE ADMINISTRACIÓN (Términos constantes)</t>
  </si>
  <si>
    <t>Pagos de servicios varios</t>
  </si>
  <si>
    <t>Otros egresos</t>
  </si>
  <si>
    <t>Amortización diferidos</t>
  </si>
  <si>
    <t>TOTAL GASTOS DE ADMINISTRACIÓN</t>
  </si>
  <si>
    <t xml:space="preserve">No. 34  PRESUPUESTO DE GASTOS DE VENTAS </t>
  </si>
  <si>
    <t>TOTAL GASTOS VENTA</t>
  </si>
  <si>
    <t>No. 35  PROGRAMACIÓN DE COSTOS OPERACIONALES (Términos constantes)</t>
  </si>
  <si>
    <t>Costos de producción</t>
  </si>
  <si>
    <t>TOTAL COSTOS OPERACIONALES</t>
  </si>
  <si>
    <t>No. 36 FLUJO NETO DE INVERSIONES SIN FINANCIAMIENTO (Términos constantes)</t>
  </si>
  <si>
    <t>Inversión Fija</t>
  </si>
  <si>
    <t>Valor Residual</t>
  </si>
  <si>
    <t>Flujo Neto de Inversión</t>
  </si>
  <si>
    <t xml:space="preserve">No. 37 PROGRAMA DE  INVERSIONES CON FINANCIAMIENTO </t>
  </si>
  <si>
    <t>FUENTES</t>
  </si>
  <si>
    <t>Activos Fijos Tangibles</t>
  </si>
  <si>
    <t>Maquinaria y equipo</t>
  </si>
  <si>
    <t>Pr</t>
  </si>
  <si>
    <t>Muebles y equipos de oficina</t>
  </si>
  <si>
    <t>Activos  Diferidos</t>
  </si>
  <si>
    <t>Gastos preoperacionales</t>
  </si>
  <si>
    <t>Obras físicas instalación</t>
  </si>
  <si>
    <t>Cr y Pr</t>
  </si>
  <si>
    <t>TOTAL INVERSIONES</t>
  </si>
  <si>
    <t>No 38 PROGRAMA DE AMORTIZACIÓN DE CRÉDITO (Términos Constantes)</t>
  </si>
  <si>
    <t>PERIODO</t>
  </si>
  <si>
    <t>PAGO ANUAL A</t>
  </si>
  <si>
    <t>INTERESES SOBRE SALDOS 0,2387</t>
  </si>
  <si>
    <t>VALOR DISPONIBLE PARA AMORTIZAR</t>
  </si>
  <si>
    <t>SALDOS A FINAL DEL AÑO</t>
  </si>
  <si>
    <t>Financiamiento</t>
  </si>
  <si>
    <t>Inversión Total</t>
  </si>
  <si>
    <t>Financiamiento solicitado</t>
  </si>
  <si>
    <t>Capital Social</t>
  </si>
  <si>
    <t>Total Inversiones</t>
  </si>
  <si>
    <t>DATOS</t>
  </si>
  <si>
    <t>Capital Propio</t>
  </si>
  <si>
    <t>TEA=</t>
  </si>
  <si>
    <t>Tasa de interés (TEA) =</t>
  </si>
  <si>
    <t xml:space="preserve"> = Costo de la deuda (Kd)</t>
  </si>
  <si>
    <t>Edison  Achalma</t>
  </si>
  <si>
    <t>h</t>
  </si>
  <si>
    <t>Diana Gutiérrez</t>
  </si>
  <si>
    <t>TEA real</t>
  </si>
  <si>
    <t>Brenda Huiza</t>
  </si>
  <si>
    <t>P=</t>
  </si>
  <si>
    <t>Carolina</t>
  </si>
  <si>
    <t>N=</t>
  </si>
  <si>
    <t>Kely</t>
  </si>
  <si>
    <t>A=</t>
  </si>
  <si>
    <t>TABLA DE AMORTIZACIÓN DE CRÉDITO</t>
  </si>
  <si>
    <t>CUOTA</t>
  </si>
  <si>
    <t>SALDO INICIAL</t>
  </si>
  <si>
    <t>INTERÉS</t>
  </si>
  <si>
    <t>ABONO CAPITAL</t>
  </si>
  <si>
    <t>VALOR CUOTA</t>
  </si>
  <si>
    <t>SALDO FINAL</t>
  </si>
  <si>
    <t>Hacer en método FRANCES</t>
  </si>
  <si>
    <t xml:space="preserve">Deflactación de los intereses </t>
  </si>
  <si>
    <t>P=F/(1+i)^n</t>
  </si>
  <si>
    <t>P=F/(1+0,0645)^1</t>
  </si>
  <si>
    <t>P= Valor presente de los intereses</t>
  </si>
  <si>
    <t>F= Valor a deflactar</t>
  </si>
  <si>
    <t>I=Tasa de inflación</t>
  </si>
  <si>
    <t>n= Número de años transcurridos con respecto a cero</t>
  </si>
  <si>
    <t>$4.236.982/(1+0,0645)</t>
  </si>
  <si>
    <t>Año 1</t>
  </si>
  <si>
    <t>3.709.208/(1+0,0645)^2</t>
  </si>
  <si>
    <t>Año 2</t>
  </si>
  <si>
    <t>3.055.455/(1+0,0645)^3</t>
  </si>
  <si>
    <t>Año 3</t>
  </si>
  <si>
    <t>2.245.650/(1+0,0645)^4</t>
  </si>
  <si>
    <t>Año 4</t>
  </si>
  <si>
    <t>1.242.650/(1+0,0645)^5</t>
  </si>
  <si>
    <t>Año 5</t>
  </si>
  <si>
    <t>Deflactación de amortización de capital</t>
  </si>
  <si>
    <t>P= 2.211.034/((1+0,0645)^1</t>
  </si>
  <si>
    <t>P= 2.738.808/(1+0,0645)^2</t>
  </si>
  <si>
    <t>P=3.392.561/(1+0,0645)^3</t>
  </si>
  <si>
    <t>P=4.202.365/(1+0,0645)^4</t>
  </si>
  <si>
    <t>P=5.205.470/(1+0,0645)^5</t>
  </si>
  <si>
    <t>No. 39 Datos deflactados de intereses y amortización de capital</t>
  </si>
  <si>
    <t>Datos deflactados de intereses y amortización de capital</t>
  </si>
  <si>
    <t>Años</t>
  </si>
  <si>
    <t>Intereses</t>
  </si>
  <si>
    <t>Capital</t>
  </si>
  <si>
    <t>No. 40  FLUJO NETO DE OPERACIÓN SIN FINANCIAMIENTO (Términos constantes)</t>
  </si>
  <si>
    <t>Total ingresos</t>
  </si>
  <si>
    <t>Utilidad operacional</t>
  </si>
  <si>
    <t>Menos impuestos</t>
  </si>
  <si>
    <t>Utilidad Neta</t>
  </si>
  <si>
    <t>Más depreciación</t>
  </si>
  <si>
    <t>Más Amortización de Diferidos</t>
  </si>
  <si>
    <t>FLUJO NETO DE OPERACIÓN SIN FINANCIAMIENTO</t>
  </si>
  <si>
    <t>No. 41  FLUJO FINANCIERO NETO DEL PROYECTO SIN FINANCIAMIENTO (Términos constantes)</t>
  </si>
  <si>
    <t>remítase al modulo para verificar calculo de valores</t>
  </si>
  <si>
    <t>Flujo neto de inversión</t>
  </si>
  <si>
    <t>Flujo neto de operación</t>
  </si>
  <si>
    <t>Flujo financiero neto del proyecto sin financiamiento</t>
  </si>
  <si>
    <t>No. 42  FLUJO NETO DE INVERSIONES CON FINANCIAMIENTO (Términos constantes)</t>
  </si>
  <si>
    <t>Intereses durante la implementación</t>
  </si>
  <si>
    <t>Valor residual</t>
  </si>
  <si>
    <t>No. 43  FLUJO NETO DE OPERACIONES FINANCIERO CON FINANCIAMIENTO (Términos constantes)</t>
  </si>
  <si>
    <t>Menos costos operacionales</t>
  </si>
  <si>
    <t>Menos Gastos Financieros</t>
  </si>
  <si>
    <t>Utilidad Gravable</t>
  </si>
  <si>
    <t>Flujo Neto de Operación</t>
  </si>
  <si>
    <t>No. 44  FLUJO NETO DE OPERACIONES FINANCIERO CON FINANCIAMIENTO (Términos constantes)</t>
  </si>
  <si>
    <t>Flujo financiero neto del proyecto del proyecto con financiamiento</t>
  </si>
  <si>
    <t>N0. 45  FLUJO NETO DE INVERSIONES PARA EL INVERSIONISTA (Términos constantes)</t>
  </si>
  <si>
    <t>Interés durante la implementación</t>
  </si>
  <si>
    <t>Crédito</t>
  </si>
  <si>
    <t>Amortización Crédito</t>
  </si>
  <si>
    <t>Flujo Neto de inversión</t>
  </si>
  <si>
    <t>N0. 46  FLUJO NETO DE OPERACIONES PARA EL INVERSIONISTA (Términos constantes)</t>
  </si>
  <si>
    <t>Menos gastos financieros</t>
  </si>
  <si>
    <t>Más Depreciación</t>
  </si>
  <si>
    <t>FLUJO NETO DE OPERACIÓN</t>
  </si>
  <si>
    <t>N0. 47  FLUJO FINANCIERO NETO  PARA EL INVERSIONISTA (Términos constantes)</t>
  </si>
  <si>
    <t>Flujo financiero neto del proyecto</t>
  </si>
  <si>
    <t>N0. 48  FLUJO DE FONDOS PARA EL INVERSIONISTA (Términos constantes)</t>
  </si>
  <si>
    <t>INVERSIONES</t>
  </si>
  <si>
    <t xml:space="preserve">IMPLEMENTACIÓN    </t>
  </si>
  <si>
    <t>OPERACIÓN (AÑOS)</t>
  </si>
  <si>
    <t>Activos fijos tangibles</t>
  </si>
  <si>
    <t>Intereses implementación</t>
  </si>
  <si>
    <t>Créditos para inversión en activos fijos</t>
  </si>
  <si>
    <t>Inversión Neta</t>
  </si>
  <si>
    <t>Amortización créditos</t>
  </si>
  <si>
    <t>Activos fijos</t>
  </si>
  <si>
    <t>Flujo neto de inversores</t>
  </si>
  <si>
    <t>OPERACIÓN</t>
  </si>
  <si>
    <t>Ingresos:</t>
  </si>
  <si>
    <t>Ventas</t>
  </si>
  <si>
    <t>Costos</t>
  </si>
  <si>
    <t>Gastos de Venta</t>
  </si>
  <si>
    <t>Utilidad Operacional</t>
  </si>
  <si>
    <t>Gastos financieros</t>
  </si>
  <si>
    <t>Impuestos</t>
  </si>
  <si>
    <t>Depreciaciones</t>
  </si>
  <si>
    <t>FLUJO DE FONDOS PARA EL INVERSIONISTA</t>
  </si>
  <si>
    <t>CUADRO N° 01</t>
  </si>
  <si>
    <t>Proyección de ventas en unidades</t>
  </si>
  <si>
    <t>Año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</si>
  <si>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</si>
  <si>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</si>
  <si>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</si>
  <si>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</si>
  <si>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</si>
  <si>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</si>
  <si>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</si>
  <si>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</si>
  <si>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</si>
  <si>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</si>
  <si>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</si>
  <si>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</si>
  <si>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Pronostico de ventas en unidades</t>
  </si>
  <si>
    <t>Mes</t>
  </si>
  <si>
    <t>CUADRO N° 02</t>
  </si>
  <si>
    <t>Proyección de ventas en nuevos soles</t>
  </si>
  <si>
    <t>Valor Unitario</t>
  </si>
  <si>
    <t>*La proyección es en términos reales o contantes (valor del producto no varia o no hay inflación)</t>
  </si>
  <si>
    <t>CUADRO N°03</t>
  </si>
  <si>
    <t>PRESUPUESTO DE INVERSIÓN Y FINANCIAMIENTO</t>
  </si>
  <si>
    <t>RUBRO</t>
  </si>
  <si>
    <t>INVERSIÓN INICIAL</t>
  </si>
  <si>
    <t>FINANCIAMIENTO</t>
  </si>
  <si>
    <t>Unidad de Medida</t>
  </si>
  <si>
    <t>Unidad Requerida</t>
  </si>
  <si>
    <t>Préstamo</t>
  </si>
  <si>
    <t>A. ACTIVO TANGIBLE</t>
  </si>
  <si>
    <t>Maquinarias y equipos</t>
  </si>
  <si>
    <t>Plancha Plana(Estampado)</t>
  </si>
  <si>
    <t>Muebles y enseres</t>
  </si>
  <si>
    <t xml:space="preserve">Silla </t>
  </si>
  <si>
    <t>Equipo informático</t>
  </si>
  <si>
    <t xml:space="preserve">Impresora </t>
  </si>
  <si>
    <t>Vehículos</t>
  </si>
  <si>
    <t>B. INTANGIBLES</t>
  </si>
  <si>
    <t>Documento</t>
  </si>
  <si>
    <t>TOTAL DE ACTIVO FIJO</t>
  </si>
  <si>
    <t>C. CAPITAL DE TRABAJO (300 UNIDADES)</t>
  </si>
  <si>
    <t>C. CAPITAL DE TRABAJO AÑO 1</t>
  </si>
  <si>
    <t>Materia prima</t>
  </si>
  <si>
    <t>Global</t>
  </si>
  <si>
    <t>Costos de producción y GO</t>
  </si>
  <si>
    <t>Globa</t>
  </si>
  <si>
    <t>Mano de obra</t>
  </si>
  <si>
    <t>Costos Indirectos de Producción</t>
  </si>
  <si>
    <t>TOTAL DE CAPITAL DE TRABAJO</t>
  </si>
  <si>
    <t>TOTAL DE INVERSIÓN</t>
  </si>
  <si>
    <t>Capital propio</t>
  </si>
  <si>
    <t>CUADRO N° 04</t>
  </si>
  <si>
    <t>TABLA DE DEPRECIACIONES Y VALOR DE RECUPERO</t>
  </si>
  <si>
    <t>A. ACTIVO FIJO</t>
  </si>
  <si>
    <t>Valor de compra</t>
  </si>
  <si>
    <t>Vida útil (años)</t>
  </si>
  <si>
    <t>Tasa de Depreciación</t>
  </si>
  <si>
    <t>Depreciación anual</t>
  </si>
  <si>
    <t>Depreciación Acumulada</t>
  </si>
  <si>
    <t>Valor de Recupero</t>
  </si>
  <si>
    <t>Valor comercial</t>
  </si>
  <si>
    <t>Valor en libros</t>
  </si>
  <si>
    <t>Utilidad/pérdida</t>
  </si>
  <si>
    <t>Maquinaria y Equipos</t>
  </si>
  <si>
    <t> </t>
  </si>
  <si>
    <t xml:space="preserve">Muebles ,Enseres </t>
  </si>
  <si>
    <t>Equipos Informáticos</t>
  </si>
  <si>
    <t>CUADRO N° ..</t>
  </si>
  <si>
    <t>TABLA DE AMORTIZACIÓN DE INTANGIBLES</t>
  </si>
  <si>
    <t>A. INTANGIBLES</t>
  </si>
  <si>
    <t>Tasa de Amortización</t>
  </si>
  <si>
    <t>Amortización  anual</t>
  </si>
  <si>
    <t xml:space="preserve">COSTOS DE PRODUCCIÓN O DE VENTAS </t>
  </si>
  <si>
    <t>300 unidades del primer mes</t>
  </si>
  <si>
    <t>VALOR UNITARIO</t>
  </si>
  <si>
    <t>UNIDADES REQUERIDAS</t>
  </si>
  <si>
    <t>MATERIA PRIMA E INSUMOS MPD</t>
  </si>
  <si>
    <t>Unid.</t>
  </si>
  <si>
    <t>ml.</t>
  </si>
  <si>
    <t>MANO DE OBRA DIRECTA MOD</t>
  </si>
  <si>
    <t>Diseñador</t>
  </si>
  <si>
    <t>Mensual/8hrs/d</t>
  </si>
  <si>
    <t>Estampador</t>
  </si>
  <si>
    <t>COSTOS INDIRECTOS DE FABRICACIÓN CIF</t>
  </si>
  <si>
    <t>COSTOS DE PRODUCCIÓN MES 1</t>
  </si>
  <si>
    <t>RÉGIMEN LABORAL MICRO EMPRESA</t>
  </si>
  <si>
    <t>Cargo</t>
  </si>
  <si>
    <t>Básico mes</t>
  </si>
  <si>
    <t>Anual</t>
  </si>
  <si>
    <t>Gratificación(*)</t>
  </si>
  <si>
    <t>CTS (**)</t>
  </si>
  <si>
    <t>N° de Trabajadores</t>
  </si>
  <si>
    <t>Sub Total Anual</t>
  </si>
  <si>
    <t>CIS (***)</t>
  </si>
  <si>
    <t>Área de Administración</t>
  </si>
  <si>
    <t>Área de ventas</t>
  </si>
  <si>
    <t>Vendedor</t>
  </si>
  <si>
    <t>(*) No tiene gratificaciones</t>
  </si>
  <si>
    <t>(**) No tiene CTS</t>
  </si>
  <si>
    <t>(***) 15 soles mensuales por trabajador</t>
  </si>
  <si>
    <t>UIT</t>
  </si>
  <si>
    <t>Micro empresa</t>
  </si>
  <si>
    <t xml:space="preserve">COSTOS OPERATIVOS PRIMER MES EN NUEVOS SOLES </t>
  </si>
  <si>
    <t>UNIDAD REQUERIDA</t>
  </si>
  <si>
    <t>GASTOS DE ADMINISTRACIÓN</t>
  </si>
  <si>
    <t>TOTAL GASTOS ADMINISTRATIVOS</t>
  </si>
  <si>
    <t>GASTOS DE VENTAS</t>
  </si>
  <si>
    <t>TOTAL GASTOS DE VENTA</t>
  </si>
  <si>
    <t>TOTAL COSTOS OPERATIVOS</t>
  </si>
  <si>
    <t>MENSUAL</t>
  </si>
  <si>
    <t>*No aplica IGV</t>
  </si>
  <si>
    <t>COSTOS DE PRODUCCIÓN</t>
  </si>
  <si>
    <t>MATERIA PRIMA E INSUMOS</t>
  </si>
  <si>
    <t>MANO DE OBRA</t>
  </si>
  <si>
    <t>COSTOS INDIRECTOS DE FABRICACIÓN</t>
  </si>
  <si>
    <t>GASTOS ADMINISTRATIVOS</t>
  </si>
  <si>
    <t>Horas /mes</t>
  </si>
  <si>
    <t>GASTOS DE VENTA</t>
  </si>
  <si>
    <t>TOTAL DE COSTOS OPERATIVOS</t>
  </si>
  <si>
    <t>COSTO UNITARIO: LOTE DE 300 UNIDADES/MES</t>
  </si>
  <si>
    <t>Costo Fijo  Mes</t>
  </si>
  <si>
    <t>Soles</t>
  </si>
  <si>
    <t>Gastos de ventas</t>
  </si>
  <si>
    <t>CIF fijos</t>
  </si>
  <si>
    <t>Total Costo Fijo</t>
  </si>
  <si>
    <t>Costo Variable Mes</t>
  </si>
  <si>
    <t>Materia prima e insumos</t>
  </si>
  <si>
    <t>CIF variables</t>
  </si>
  <si>
    <t>Total Costo Variable</t>
  </si>
  <si>
    <t>Costos Unitarios</t>
  </si>
  <si>
    <t>Nº de Unidades</t>
  </si>
  <si>
    <t>Costo Fijo Unitario, CFU (100% )</t>
  </si>
  <si>
    <t>Costo Variable Unitario, CVU</t>
  </si>
  <si>
    <t>Costo Total Unitario, CTU</t>
  </si>
  <si>
    <t>Margen de Ganancia</t>
  </si>
  <si>
    <t>Precio Sin IGV</t>
  </si>
  <si>
    <t>IGV(18%)</t>
  </si>
  <si>
    <t>Precio de Venta</t>
  </si>
  <si>
    <t>*Punto de equilibrio</t>
  </si>
  <si>
    <t>CVT</t>
  </si>
  <si>
    <t>CFT</t>
  </si>
  <si>
    <t>CVU</t>
  </si>
  <si>
    <t>MgC (Margen de contribución)</t>
  </si>
  <si>
    <t>EQUILIBRIO</t>
  </si>
  <si>
    <t>CUADRO N° 05</t>
  </si>
  <si>
    <t>VARIACIÓN DE CAPITAL DE TRABAJO AÑO 1: CV + CF</t>
  </si>
  <si>
    <t>CV Unitario</t>
  </si>
  <si>
    <t>CV Total</t>
  </si>
  <si>
    <t>CF Total*</t>
  </si>
  <si>
    <t>Variación KW</t>
  </si>
  <si>
    <t>*No se considera depreciaciones ni amortizaciones de intangibles, porque no es requerimiento en efectivo</t>
  </si>
  <si>
    <t xml:space="preserve">Nota: Se requiere capital de trabajo para cubrir todos los  CF y CV  de </t>
  </si>
  <si>
    <t>para todo el primer año</t>
  </si>
  <si>
    <t>VARIACIÓN DE CAPITAL DE TRABAJO AÑO 1:  SOLO CV</t>
  </si>
  <si>
    <t xml:space="preserve">Nota: Se requiere capital de trabajo solo para cubrir los costos de producción de </t>
  </si>
  <si>
    <t xml:space="preserve"> para el primer año en total</t>
  </si>
  <si>
    <t>Tabla 17 datos agrupados</t>
  </si>
  <si>
    <t>PUNTO DE EQUILIBRIO CONTABLE</t>
  </si>
  <si>
    <t>Debe incluir IGV</t>
  </si>
  <si>
    <t>Tambien debe incluir igv</t>
  </si>
  <si>
    <t>Margen de distribución</t>
  </si>
  <si>
    <t>Punto de equilibrio</t>
  </si>
  <si>
    <t>Unidades/mes</t>
  </si>
  <si>
    <t>Punto de equilibrio en ventas</t>
  </si>
  <si>
    <t>Soles/mes</t>
  </si>
  <si>
    <t>*Se incluye deprecaciones y amortizaciones en el costo fijo</t>
  </si>
  <si>
    <t>CONDICIONES PARA QUE UN PUNTO DE EQUILIBRIO SE CORRECTO</t>
  </si>
  <si>
    <t>ESTADO DE RESULTADO ECONÓMICO</t>
  </si>
  <si>
    <t>PAGO DE IGV</t>
  </si>
  <si>
    <t>IGV=</t>
  </si>
  <si>
    <t>AÑO 1</t>
  </si>
  <si>
    <t>AÑO 2</t>
  </si>
  <si>
    <t>AÑO 3</t>
  </si>
  <si>
    <t>AÑO 4</t>
  </si>
  <si>
    <t>AÑO 5</t>
  </si>
  <si>
    <t>Ingreso por ventas</t>
  </si>
  <si>
    <t>Cantidad</t>
  </si>
  <si>
    <t>Retención IGV</t>
  </si>
  <si>
    <t>Precio</t>
  </si>
  <si>
    <t>COMPRAS</t>
  </si>
  <si>
    <t>sin IGV</t>
  </si>
  <si>
    <t>(-)</t>
  </si>
  <si>
    <t>Costo de ventas</t>
  </si>
  <si>
    <t>con IGV</t>
  </si>
  <si>
    <t>Depreciación de activos fijos</t>
  </si>
  <si>
    <t>Gastos Operativos</t>
  </si>
  <si>
    <t>Utilidad Bruta</t>
  </si>
  <si>
    <t>IGV de compras</t>
  </si>
  <si>
    <t>Gastos de administración</t>
  </si>
  <si>
    <t>Amortización de intangibles</t>
  </si>
  <si>
    <t>Utilidad operativa</t>
  </si>
  <si>
    <t>Utilidad antes de Impuestos</t>
  </si>
  <si>
    <t>Impuesto a la renta</t>
  </si>
  <si>
    <t>*Otro ejemplos sobre los CV y CF</t>
  </si>
  <si>
    <t>FIJO</t>
  </si>
  <si>
    <t>VARIABLE</t>
  </si>
  <si>
    <t>ventas</t>
  </si>
  <si>
    <t>costo de ventas</t>
  </si>
  <si>
    <t>MOD mano de obra directa</t>
  </si>
  <si>
    <t>MPD</t>
  </si>
  <si>
    <t>CIF</t>
  </si>
  <si>
    <t>CV Produ</t>
  </si>
  <si>
    <t>GASTOS OPERATIVOS</t>
  </si>
  <si>
    <t>TOTAL DE COSTOS Y GASTOS</t>
  </si>
  <si>
    <t>UTILIDAD IMPONIBLE</t>
  </si>
  <si>
    <t>CFU</t>
  </si>
  <si>
    <t>TOTAL COSTOS Y GASTOS</t>
  </si>
  <si>
    <t>CTU</t>
  </si>
  <si>
    <t>fijo</t>
  </si>
  <si>
    <t>varia</t>
  </si>
  <si>
    <t>TABLA DE AMORTIZACIÓN DE LA DEUDA. MÉTODO FRANCÉS</t>
  </si>
  <si>
    <t>Cálculo de Cuota Capital</t>
  </si>
  <si>
    <t>Monto prestado mas el ITF</t>
  </si>
  <si>
    <t>TEA nominal</t>
  </si>
  <si>
    <t>Tasa Efectiva Anual</t>
  </si>
  <si>
    <t>TEM nominal (𝑖)</t>
  </si>
  <si>
    <t>Tasa Efectiva Mensual</t>
  </si>
  <si>
    <t>Inflación Anual (Proyectado)</t>
  </si>
  <si>
    <t>Donde:</t>
  </si>
  <si>
    <t>Inflación Mensual</t>
  </si>
  <si>
    <t>𝑎: Cuota periódica constante</t>
  </si>
  <si>
    <t>TEM real</t>
  </si>
  <si>
    <t>𝐶o: Capital prestado</t>
  </si>
  <si>
    <t>Plazo (𝑛)</t>
  </si>
  <si>
    <t>𝑖: Tipo de interés anual / mensual del préstamo</t>
  </si>
  <si>
    <t>Cuota Capital</t>
  </si>
  <si>
    <t>Pago Mensual</t>
  </si>
  <si>
    <t>𝑛: Número de periodos</t>
  </si>
  <si>
    <t>FECHA DE PAGO</t>
  </si>
  <si>
    <t>N° (𝑘)</t>
  </si>
  <si>
    <t xml:space="preserve">SALDO </t>
  </si>
  <si>
    <t>INTERESES (𝐼_𝑘)</t>
  </si>
  <si>
    <t>CUOTA (𝑎)</t>
  </si>
  <si>
    <t>AMORTIZACIÓN (𝐴)</t>
  </si>
  <si>
    <t>*</t>
  </si>
  <si>
    <t>Cálculo de Amortización de Capital</t>
  </si>
  <si>
    <t>Cálculo de Interés</t>
  </si>
  <si>
    <t>𝐼_𝑘: Interés total de cada mes k (k=1, 2,3, ….)</t>
  </si>
  <si>
    <t>𝐶_(𝑘): Capital del mes k. Mes en que se hace el cálculo.</t>
  </si>
  <si>
    <t>𝐶_(𝑘−1): Capital del mes anterior a k.</t>
  </si>
  <si>
    <t>Cálculo de Capital Pendiente</t>
  </si>
  <si>
    <t xml:space="preserve"> =</t>
  </si>
  <si>
    <t>1+TEA</t>
  </si>
  <si>
    <t>*En este método se pagan cuotas iguales, en donde los valores de capital son crecientes en cada periodo y el interés es decreciente</t>
  </si>
  <si>
    <t>FECHA DE VENCIMIENTO</t>
  </si>
  <si>
    <t>NRO DE CUOTA</t>
  </si>
  <si>
    <t>INTERESES</t>
  </si>
  <si>
    <t>AMORTIZACIÓN</t>
  </si>
  <si>
    <t>PRÉSTAMO</t>
  </si>
  <si>
    <t>MONEDA</t>
  </si>
  <si>
    <t>SOLES</t>
  </si>
  <si>
    <t>Cuota de capital</t>
  </si>
  <si>
    <t>NÚMERO DE CUOTAS</t>
  </si>
  <si>
    <t>Interés</t>
  </si>
  <si>
    <t>PERIODO DE PAGO</t>
  </si>
  <si>
    <t>Amortización</t>
  </si>
  <si>
    <t>TEA nominal(i)</t>
  </si>
  <si>
    <t>TEM (nominal)</t>
  </si>
  <si>
    <t>TEM (real )</t>
  </si>
  <si>
    <t xml:space="preserve">MONTO DEL PRÉSTAMO </t>
  </si>
  <si>
    <t>TEM(real)</t>
  </si>
  <si>
    <t>MONTO</t>
  </si>
  <si>
    <t xml:space="preserve">INTERÉS </t>
  </si>
  <si>
    <t>TABLA DE AMORTIZACIÓN DE LA DEUDA. MÉTODO ALEMÁN</t>
  </si>
  <si>
    <t>TEM nominal</t>
  </si>
  <si>
    <t>Inflación Anual</t>
  </si>
  <si>
    <t>Plazo (cuotas)</t>
  </si>
  <si>
    <t>N°</t>
  </si>
  <si>
    <t>* En este método se pagan cuotas decrecientes, que son más altas al inicio del crédito, por lo que se requiere mayor liquidez.</t>
  </si>
  <si>
    <t>Rubro</t>
  </si>
  <si>
    <t>Cantidad Proyectada</t>
  </si>
  <si>
    <t>Precio/unidad</t>
  </si>
  <si>
    <t>Costo unitario</t>
  </si>
  <si>
    <t xml:space="preserve">Ventas </t>
  </si>
  <si>
    <t xml:space="preserve">Costos de Producción </t>
  </si>
  <si>
    <t>Gastos operativos</t>
  </si>
  <si>
    <t xml:space="preserve">Compras </t>
  </si>
  <si>
    <t>PAGO IGV PROYECTADO</t>
  </si>
  <si>
    <t>Ingreso sin IGV</t>
  </si>
  <si>
    <t>Ingresos con IGV</t>
  </si>
  <si>
    <t>Egresos sin IGV</t>
  </si>
  <si>
    <t>Egresos con IGV</t>
  </si>
  <si>
    <t>PAGO IGV</t>
  </si>
  <si>
    <t>FLUJO DE CAJA REAL  DE ESTAMPADO DE POLOS PERSONALIZADOS FORMATO A</t>
  </si>
  <si>
    <t>Año 0</t>
  </si>
  <si>
    <t>Flujo de inversión y Liquidación</t>
  </si>
  <si>
    <t>Activo fijo tangible</t>
  </si>
  <si>
    <t>Activo fijo intangible</t>
  </si>
  <si>
    <t xml:space="preserve">Capital de trabajo </t>
  </si>
  <si>
    <t>(+)</t>
  </si>
  <si>
    <t xml:space="preserve">Recupero capital de trabajo </t>
  </si>
  <si>
    <t xml:space="preserve">Recupero activo fijo tangible </t>
  </si>
  <si>
    <t>Flujo de inversión y liquidación</t>
  </si>
  <si>
    <t>Flujo de Caja Operativo</t>
  </si>
  <si>
    <t>Pago de IGV</t>
  </si>
  <si>
    <t>Total Flujo de Caja Operativo</t>
  </si>
  <si>
    <t>Flujo de Caja económico FCE</t>
  </si>
  <si>
    <t>SE CAMBIO LOS COSTOS DE PRODUCCIÓN</t>
  </si>
  <si>
    <t xml:space="preserve">COK = Ku =  </t>
  </si>
  <si>
    <t>Tasa real, además nuestro flujo de caja económica esta en términos reales.</t>
  </si>
  <si>
    <t>VAN =</t>
  </si>
  <si>
    <t>TIR=</t>
  </si>
  <si>
    <t>FLUJO DE CAJA ECONÓMICA FORMATO B</t>
  </si>
  <si>
    <t>Cambio en el capital de trabajo</t>
  </si>
  <si>
    <t>AÑO 0</t>
  </si>
  <si>
    <t>Momento</t>
  </si>
  <si>
    <t>Inversión en capital de trabajo</t>
  </si>
  <si>
    <t>Capital en operación</t>
  </si>
  <si>
    <t>Cambio en la demanda</t>
  </si>
  <si>
    <t>Cantidad producida</t>
  </si>
  <si>
    <t>Valor de venta por unidad</t>
  </si>
  <si>
    <t>Ingreso por venta netas</t>
  </si>
  <si>
    <t>Costos Directos de producción</t>
  </si>
  <si>
    <t>Royalty</t>
  </si>
  <si>
    <t>Año 6</t>
  </si>
  <si>
    <t>Requerimiento de producción en función de la demanda estimada</t>
  </si>
  <si>
    <t>Pérdida por la venta de activo fijo</t>
  </si>
  <si>
    <t>Utilidad antes de Imp.</t>
  </si>
  <si>
    <t xml:space="preserve">Cambios en la demanda </t>
  </si>
  <si>
    <t>Cambio marginal en unidades</t>
  </si>
  <si>
    <t>Producción estimada</t>
  </si>
  <si>
    <t>Impuesto ( )</t>
  </si>
  <si>
    <t>Flujo Operativo</t>
  </si>
  <si>
    <t>Inversión fijo tangible</t>
  </si>
  <si>
    <t>Inversión en capital de trab.</t>
  </si>
  <si>
    <t>Valor de recupero</t>
  </si>
  <si>
    <t>Recupero capital de trabajo</t>
  </si>
  <si>
    <t>Flujo de Inversión y Liq.</t>
  </si>
  <si>
    <t>Flujo Caja Económico</t>
  </si>
  <si>
    <t>*El valor en libro es el valor de recupero</t>
  </si>
  <si>
    <t>EVALUACIÓN ECONOMICA  DEL PROYECTO</t>
  </si>
  <si>
    <t>VALOR ACTUAL NETO ECONOMICO (VANE)</t>
  </si>
  <si>
    <t>FCEt</t>
  </si>
  <si>
    <t>flujo de caja economica e el periodo t</t>
  </si>
  <si>
    <t>Ku</t>
  </si>
  <si>
    <t>costo de capital propio des apalancado</t>
  </si>
  <si>
    <t>Io</t>
  </si>
  <si>
    <t>inversion total en el periodo cero</t>
  </si>
  <si>
    <t>t</t>
  </si>
  <si>
    <t>periodo de tiempo</t>
  </si>
  <si>
    <t>periodo de horizonte de evalucion del proyecto</t>
  </si>
  <si>
    <t>TASA INTERNA DE RETORNO ECONOMICA(TIRE)</t>
  </si>
  <si>
    <t>Promedio anual</t>
  </si>
  <si>
    <t>PEC</t>
  </si>
  <si>
    <t>Unidad/periodo</t>
  </si>
  <si>
    <t>EVALUACIÓN FINANCIERA DEL PROYECTO</t>
  </si>
  <si>
    <t>Flujo de caja financiera</t>
  </si>
  <si>
    <t>Monto de la deuda</t>
  </si>
  <si>
    <t>VALOR ACTUAL NETO FINANCIERO(VANF)</t>
  </si>
  <si>
    <t>FCFt</t>
  </si>
  <si>
    <t>Flujo de caja financiero del periodo</t>
  </si>
  <si>
    <t>Kwacc</t>
  </si>
  <si>
    <t>costo de capital propio apalancado</t>
  </si>
  <si>
    <t>D</t>
  </si>
  <si>
    <t>Inversion inicial total</t>
  </si>
  <si>
    <t>TASA INTERNA DE RETORNO FINANCIERA(TIRF)</t>
  </si>
  <si>
    <t>Flujo de Caja de la Deuda (FCD)</t>
  </si>
  <si>
    <t xml:space="preserve">Préstamo </t>
  </si>
  <si>
    <t>Cuota de Capital</t>
  </si>
  <si>
    <t>Escudo Fiscal de Intereses</t>
  </si>
  <si>
    <t>Total Flujo de la Deuda</t>
  </si>
  <si>
    <t>Flujo de Caja Financiero</t>
  </si>
  <si>
    <t>Flujo de Inversión y Liquidación</t>
  </si>
  <si>
    <t>Recupero activo fijo tangible</t>
  </si>
  <si>
    <t>Total Flujo de inversión y liquidación</t>
  </si>
  <si>
    <t>Total Flujo de Caja operativo</t>
  </si>
  <si>
    <t>Flujo de Financiamiento Neto</t>
  </si>
  <si>
    <t>Total Flujo de Deuda</t>
  </si>
  <si>
    <t>Flujo de Caja Financiero FCF</t>
  </si>
  <si>
    <t>Riesgo país Perú histórico</t>
  </si>
  <si>
    <t>Fecha</t>
  </si>
  <si>
    <t>Puntos</t>
  </si>
  <si>
    <t>16/06/2021</t>
  </si>
  <si>
    <t>Promedio 2021</t>
  </si>
  <si>
    <t>15/06/2021</t>
  </si>
  <si>
    <t>14/06/2021</t>
  </si>
  <si>
    <t>31/05/2021</t>
  </si>
  <si>
    <t>28/05/2021</t>
  </si>
  <si>
    <t>27/05/2021</t>
  </si>
  <si>
    <t>26/05/2021</t>
  </si>
  <si>
    <t>25/05/2021</t>
  </si>
  <si>
    <t>24/05/2021</t>
  </si>
  <si>
    <t>21/05/2021</t>
  </si>
  <si>
    <t>20/05/2021</t>
  </si>
  <si>
    <t>19/05/2021</t>
  </si>
  <si>
    <t>18/05/2021</t>
  </si>
  <si>
    <t>17/05/2021</t>
  </si>
  <si>
    <t>14/05/2021</t>
  </si>
  <si>
    <t>13/05/2021</t>
  </si>
  <si>
    <t>30/04/2021</t>
  </si>
  <si>
    <t>29/04/2021</t>
  </si>
  <si>
    <t>28/04/2021</t>
  </si>
  <si>
    <t>27/04/2021</t>
  </si>
  <si>
    <t>26/04/2021</t>
  </si>
  <si>
    <t>23/04/2021</t>
  </si>
  <si>
    <t>22/04/2021</t>
  </si>
  <si>
    <t>21/04/2021</t>
  </si>
  <si>
    <t>20/04/2021</t>
  </si>
  <si>
    <t>19/04/2021</t>
  </si>
  <si>
    <t>16/04/2021</t>
  </si>
  <si>
    <t>15/04/2021</t>
  </si>
  <si>
    <t>14/04/2021</t>
  </si>
  <si>
    <t>13/04/2021</t>
  </si>
  <si>
    <t>31/03/2021</t>
  </si>
  <si>
    <t>30/03/2021</t>
  </si>
  <si>
    <t>29/03/2021</t>
  </si>
  <si>
    <t>26/03/2021</t>
  </si>
  <si>
    <t>25/03/2021</t>
  </si>
  <si>
    <t>24/03/2021</t>
  </si>
  <si>
    <t>23/03/2021</t>
  </si>
  <si>
    <t>22/03/2021</t>
  </si>
  <si>
    <t>19/03/2021</t>
  </si>
  <si>
    <t>18/03/2021</t>
  </si>
  <si>
    <t>17/03/2021</t>
  </si>
  <si>
    <t>16/03/2021</t>
  </si>
  <si>
    <t>15/03/2021</t>
  </si>
  <si>
    <t>26/02/2021</t>
  </si>
  <si>
    <t>25/02/2021</t>
  </si>
  <si>
    <t>24/02/2021</t>
  </si>
  <si>
    <t>23/02/2021</t>
  </si>
  <si>
    <t>22/02/2021</t>
  </si>
  <si>
    <t>19/02/2021</t>
  </si>
  <si>
    <t>18/02/2021</t>
  </si>
  <si>
    <t>17/02/2021</t>
  </si>
  <si>
    <t>16/02/2021</t>
  </si>
  <si>
    <t>15/02/2021</t>
  </si>
  <si>
    <t>29/01/2021</t>
  </si>
  <si>
    <t>28/01/2021</t>
  </si>
  <si>
    <t>27/01/2021</t>
  </si>
  <si>
    <t>26/01/2021</t>
  </si>
  <si>
    <t>25/01/2021</t>
  </si>
  <si>
    <t>22/01/2021</t>
  </si>
  <si>
    <t>21/01/2021</t>
  </si>
  <si>
    <t>20/01/2021</t>
  </si>
  <si>
    <t>19/01/2021</t>
  </si>
  <si>
    <t>18/01/2021</t>
  </si>
  <si>
    <t>15/01/2021</t>
  </si>
  <si>
    <t>14/01/2021</t>
  </si>
  <si>
    <t>13/01/2021</t>
  </si>
  <si>
    <t>MODELO CAPM en mercados desarrollados como Estados Unidos</t>
  </si>
  <si>
    <t>Costo de capital propio des apalancado (Ku)</t>
  </si>
  <si>
    <t>Ku = Rf + Bu * (Rm- Rf )</t>
  </si>
  <si>
    <t>Donde</t>
  </si>
  <si>
    <t>Rf=</t>
  </si>
  <si>
    <t>βu =</t>
  </si>
  <si>
    <t>(Rm-Rf) =</t>
  </si>
  <si>
    <t>Ku =</t>
  </si>
  <si>
    <t>Costo de capital propio apalancado (Ke)</t>
  </si>
  <si>
    <t>Ke = Rf + Bl * (Rm- Rf )</t>
  </si>
  <si>
    <t>βI =</t>
  </si>
  <si>
    <t>Ke =</t>
  </si>
  <si>
    <t>* Podemos concluir que una empresa que se encuentra apalancada implica un mayor riesgo; por lo tanto, exige una mayor rentabilidad, en caso del negocio en el sector de vestidos Ke &gt; Ku.</t>
  </si>
  <si>
    <t>MODELO CAPM en mercados emergentes como Perú</t>
  </si>
  <si>
    <r>
      <rPr>
        <sz val="11"/>
        <color rgb="FF000000"/>
        <rFont val="IBM Plex Mono"/>
        <family val="3"/>
      </rPr>
      <t xml:space="preserve">Kurt = Rf usa+ </t>
    </r>
    <r>
      <rPr>
        <sz val="11"/>
        <color rgb="FF000000"/>
        <rFont val="IBM Plex Mono"/>
        <family val="3"/>
      </rPr>
      <t xml:space="preserve">bu total </t>
    </r>
    <r>
      <rPr>
        <vertAlign val="subscript"/>
        <sz val="11"/>
        <color rgb="FF000000"/>
        <rFont val="IBM Plex Mono"/>
        <family val="3"/>
      </rPr>
      <t>ME</t>
    </r>
    <r>
      <rPr>
        <sz val="11"/>
        <color rgb="FF000000"/>
        <rFont val="IBM Plex Mono"/>
        <family val="3"/>
      </rPr>
      <t>* (Rm- Rf)</t>
    </r>
    <r>
      <rPr>
        <vertAlign val="subscript"/>
        <sz val="11"/>
        <color rgb="FF000000"/>
        <rFont val="IBM Plex Mono"/>
        <family val="3"/>
      </rPr>
      <t xml:space="preserve"> </t>
    </r>
    <r>
      <rPr>
        <sz val="11"/>
        <color rgb="FF000000"/>
        <rFont val="IBM Plex Mono"/>
        <family val="3"/>
      </rPr>
      <t xml:space="preserve">usa+ Rp </t>
    </r>
    <r>
      <rPr>
        <vertAlign val="subscript"/>
        <sz val="11"/>
        <color rgb="FF000000"/>
        <rFont val="IBM Plex Mono"/>
        <family val="3"/>
      </rPr>
      <t>PERÚ</t>
    </r>
    <r>
      <rPr>
        <sz val="11"/>
        <color rgb="FF000000"/>
        <rFont val="IBM Plex Mono"/>
        <family val="3"/>
      </rPr>
      <t xml:space="preserve"> </t>
    </r>
  </si>
  <si>
    <t>Para la rentabilidad del mercado (Rm), necesito un indicador de la rentabilidad del mundo en general, y para ello utilizo el rendimiento del Estándar &amp; Poors 500, que es una buena referencia para medir la rentabilidad mundial.</t>
  </si>
  <si>
    <t>Rf usa =</t>
  </si>
  <si>
    <t>Promedio geométrico 1928-2020 *los últimos 30 años</t>
  </si>
  <si>
    <t>βu total ME =</t>
  </si>
  <si>
    <t>Beta total des apalancado para procesamiento de vestidos</t>
  </si>
  <si>
    <t>3.92</t>
  </si>
  <si>
    <t>promedio geométrico 1928-2020 *los últimos 30 años</t>
  </si>
  <si>
    <t>Rp =</t>
  </si>
  <si>
    <t>Kurt =</t>
  </si>
  <si>
    <t>COK des apalancado con Riesgo Total</t>
  </si>
  <si>
    <t>24.44</t>
  </si>
  <si>
    <t>COK Apalancado con riesgo total</t>
  </si>
  <si>
    <t>Costo Promedio Ponderado de Capital con riesgo total</t>
  </si>
  <si>
    <r>
      <rPr>
        <b/>
        <sz val="11"/>
        <color rgb="FF000000"/>
        <rFont val="IBM Plex Mono"/>
        <family val="3"/>
      </rPr>
      <t xml:space="preserve">Kert = Rfusa + </t>
    </r>
    <r>
      <rPr>
        <b/>
        <sz val="11"/>
        <color rgb="FF000000"/>
        <rFont val="IBM Plex Mono"/>
        <family val="3"/>
      </rPr>
      <t xml:space="preserve">brl total </t>
    </r>
    <r>
      <rPr>
        <b/>
        <vertAlign val="subscript"/>
        <sz val="11"/>
        <color rgb="FF000000"/>
        <rFont val="IBM Plex Mono"/>
        <family val="3"/>
      </rPr>
      <t>PERÚ</t>
    </r>
    <r>
      <rPr>
        <b/>
        <sz val="11"/>
        <color rgb="FF000000"/>
        <rFont val="IBM Plex Mono"/>
        <family val="3"/>
      </rPr>
      <t xml:space="preserve">* (Rm- Rf )usa+ Rp </t>
    </r>
    <r>
      <rPr>
        <b/>
        <vertAlign val="subscript"/>
        <sz val="11"/>
        <color rgb="FF000000"/>
        <rFont val="IBM Plex Mono"/>
        <family val="3"/>
      </rPr>
      <t xml:space="preserve">PERÚ </t>
    </r>
    <r>
      <rPr>
        <b/>
        <sz val="11"/>
        <color rgb="FF000000"/>
        <rFont val="IBM Plex Mono"/>
        <family val="3"/>
      </rPr>
      <t xml:space="preserve">                                                </t>
    </r>
  </si>
  <si>
    <t xml:space="preserve">Kwacc rt= E/V * Kert + D/V * Kd(1-t)                                                         </t>
  </si>
  <si>
    <t>Dónde:</t>
  </si>
  <si>
    <t>Rfusa =</t>
  </si>
  <si>
    <t>Promedio geométrico 1928-2020* los últimos 30 años</t>
  </si>
  <si>
    <r>
      <rPr>
        <b/>
        <sz val="11"/>
        <color rgb="FF000000"/>
        <rFont val="IBM Plex Mono"/>
        <family val="3"/>
      </rPr>
      <t>E/V*</t>
    </r>
    <r>
      <rPr>
        <b/>
        <i/>
        <sz val="11"/>
        <color rgb="FF000000"/>
        <rFont val="IBM Plex Mono"/>
        <family val="3"/>
      </rPr>
      <t xml:space="preserve"> </t>
    </r>
    <r>
      <rPr>
        <sz val="11"/>
        <color rgb="FF000000"/>
        <rFont val="IBM Plex Mono"/>
        <family val="3"/>
      </rPr>
      <t>=</t>
    </r>
  </si>
  <si>
    <t>E:</t>
  </si>
  <si>
    <r>
      <rPr>
        <sz val="11"/>
        <color rgb="FF000000"/>
        <rFont val="IBM Plex Mono"/>
        <family val="3"/>
      </rPr>
      <t>b</t>
    </r>
    <r>
      <rPr>
        <sz val="11"/>
        <color rgb="FF000000"/>
        <rFont val="IBM Plex Mono"/>
        <family val="3"/>
      </rPr>
      <t>rl total</t>
    </r>
    <r>
      <rPr>
        <vertAlign val="subscript"/>
        <sz val="11"/>
        <color rgb="FF000000"/>
        <rFont val="IBM Plex Mono"/>
        <family val="3"/>
      </rPr>
      <t xml:space="preserve"> PERÚ</t>
    </r>
    <r>
      <rPr>
        <sz val="11"/>
        <color rgb="FF000000"/>
        <rFont val="IBM Plex Mono"/>
        <family val="3"/>
      </rPr>
      <t xml:space="preserve">= </t>
    </r>
  </si>
  <si>
    <t>Kert =</t>
  </si>
  <si>
    <t>D:</t>
  </si>
  <si>
    <t>Deuda</t>
  </si>
  <si>
    <t>(Rm – Rf)usa =</t>
  </si>
  <si>
    <r>
      <rPr>
        <b/>
        <sz val="11"/>
        <color rgb="FF000000"/>
        <rFont val="IBM Plex Mono"/>
        <family val="3"/>
      </rPr>
      <t>D/V*</t>
    </r>
    <r>
      <rPr>
        <b/>
        <i/>
        <sz val="11"/>
        <color rgb="FF000000"/>
        <rFont val="IBM Plex Mono"/>
        <family val="3"/>
      </rPr>
      <t xml:space="preserve"> </t>
    </r>
    <r>
      <rPr>
        <sz val="11"/>
        <color rgb="FF000000"/>
        <rFont val="IBM Plex Mono"/>
        <family val="3"/>
      </rPr>
      <t xml:space="preserve">= </t>
    </r>
  </si>
  <si>
    <t>Kert:</t>
  </si>
  <si>
    <t>Costo de capital propio apalancado</t>
  </si>
  <si>
    <t xml:space="preserve">Rp = </t>
  </si>
  <si>
    <r>
      <rPr>
        <b/>
        <sz val="11"/>
        <color rgb="FF000000"/>
        <rFont val="IBM Plex Mono"/>
        <family val="3"/>
      </rPr>
      <t>K</t>
    </r>
    <r>
      <rPr>
        <b/>
        <sz val="11"/>
        <color rgb="FF000000"/>
        <rFont val="IBM Plex Mono"/>
        <family val="3"/>
      </rPr>
      <t>d =</t>
    </r>
    <r>
      <rPr>
        <sz val="11"/>
        <color rgb="FF000000"/>
        <rFont val="IBM Plex Mono"/>
        <family val="3"/>
      </rPr>
      <t xml:space="preserve"> </t>
    </r>
  </si>
  <si>
    <t>Kd:</t>
  </si>
  <si>
    <t>Costo de la deuda</t>
  </si>
  <si>
    <t>t:</t>
  </si>
  <si>
    <t>Tasa de impuesto a la renta</t>
  </si>
  <si>
    <t>COK des apalancado con riesgo total</t>
  </si>
  <si>
    <t>V=</t>
  </si>
  <si>
    <t>D + E</t>
  </si>
  <si>
    <t>Beta Re apalancado para el proyecto</t>
  </si>
  <si>
    <r>
      <rPr>
        <b/>
        <sz val="11"/>
        <color rgb="FF000000"/>
        <rFont val="IBM Plex Mono"/>
        <family val="3"/>
      </rPr>
      <t xml:space="preserve">             b</t>
    </r>
    <r>
      <rPr>
        <b/>
        <vertAlign val="subscript"/>
        <sz val="11"/>
        <color rgb="FF000000"/>
        <rFont val="IBM Plex Mono"/>
        <family val="3"/>
      </rPr>
      <t xml:space="preserve">rl total  </t>
    </r>
    <r>
      <rPr>
        <b/>
        <sz val="11"/>
        <color rgb="FF000000"/>
        <rFont val="IBM Plex Mono"/>
        <family val="3"/>
      </rPr>
      <t>=  b</t>
    </r>
    <r>
      <rPr>
        <b/>
        <vertAlign val="subscript"/>
        <sz val="11"/>
        <color rgb="FF000000"/>
        <rFont val="IBM Plex Mono"/>
        <family val="3"/>
      </rPr>
      <t>u total ME *</t>
    </r>
    <r>
      <rPr>
        <b/>
        <sz val="11"/>
        <color rgb="FF000000"/>
        <rFont val="IBM Plex Mono"/>
        <family val="3"/>
      </rPr>
      <t>( 1+(D/E*)*( 1-t))</t>
    </r>
    <r>
      <rPr>
        <b/>
        <vertAlign val="subscript"/>
        <sz val="11"/>
        <color rgb="FF000000"/>
        <rFont val="IBM Plex Mono"/>
        <family val="3"/>
      </rPr>
      <t xml:space="preserve">PERÚ                                                                             </t>
    </r>
    <r>
      <rPr>
        <sz val="11"/>
        <color rgb="FF000000"/>
        <rFont val="IBM Plex Mono"/>
        <family val="3"/>
      </rPr>
      <t xml:space="preserve"> </t>
    </r>
  </si>
  <si>
    <r>
      <rPr>
        <sz val="11"/>
        <color rgb="FF000000"/>
        <rFont val="IBM Plex Mono"/>
        <family val="3"/>
      </rPr>
      <t>Donde:</t>
    </r>
    <r>
      <rPr>
        <sz val="11"/>
        <color rgb="FF000000"/>
        <rFont val="IBM Plex Mono"/>
        <family val="3"/>
      </rPr>
      <t xml:space="preserve">                                                                               </t>
    </r>
  </si>
  <si>
    <t xml:space="preserve">* La tasa de descuento de </t>
  </si>
  <si>
    <t>, se encuentra entre ambas tasas de COK (Ku y Ke)</t>
  </si>
  <si>
    <r>
      <rPr>
        <sz val="11"/>
        <color rgb="FF000000"/>
        <rFont val="IBM Plex Mono"/>
        <family val="3"/>
      </rPr>
      <t>b</t>
    </r>
    <r>
      <rPr>
        <vertAlign val="subscript"/>
        <sz val="11"/>
        <color rgb="FF000000"/>
        <rFont val="IBM Plex Mono"/>
        <family val="3"/>
      </rPr>
      <t xml:space="preserve">u total ME </t>
    </r>
    <r>
      <rPr>
        <sz val="11"/>
        <color rgb="FF000000"/>
        <rFont val="IBM Plex Mono"/>
        <family val="3"/>
      </rPr>
      <t xml:space="preserve">= </t>
    </r>
  </si>
  <si>
    <r>
      <rPr>
        <sz val="11"/>
        <color rgb="FF000000"/>
        <rFont val="IBM Plex Mono"/>
        <family val="3"/>
      </rPr>
      <t>D/E*</t>
    </r>
    <r>
      <rPr>
        <vertAlign val="subscript"/>
        <sz val="11"/>
        <color rgb="FF000000"/>
        <rFont val="IBM Plex Mono"/>
        <family val="3"/>
      </rPr>
      <t xml:space="preserve">PERÚ </t>
    </r>
    <r>
      <rPr>
        <sz val="11"/>
        <color rgb="FF000000"/>
        <rFont val="IBM Plex Mono"/>
        <family val="3"/>
      </rPr>
      <t xml:space="preserve">= </t>
    </r>
  </si>
  <si>
    <t xml:space="preserve">t* = </t>
  </si>
  <si>
    <t xml:space="preserve">βrl total Perú </t>
  </si>
  <si>
    <t>INTERPRETACIÓN</t>
  </si>
  <si>
    <t>Asumiendo el riesgo total, la rentabilidad mínima del inversionista es de 22.42%</t>
  </si>
  <si>
    <t xml:space="preserve">ACTIVIDAD TALLER N°4  COSTO DE CAPITAL </t>
  </si>
  <si>
    <t>1.1</t>
  </si>
  <si>
    <t>Ku con Riesgo sistemático</t>
  </si>
  <si>
    <t xml:space="preserve">Kurt = Rf usa+  be ME* (Rm- Rf) usa+ Rp PERÚ </t>
  </si>
  <si>
    <t>Rf usa</t>
  </si>
  <si>
    <t>be me</t>
  </si>
  <si>
    <t>(Rm - Rf)usa</t>
  </si>
  <si>
    <t>Rp Perú</t>
  </si>
  <si>
    <t>Kurt</t>
  </si>
  <si>
    <t>sin apalancamiento</t>
  </si>
  <si>
    <t xml:space="preserve">1.2  </t>
  </si>
  <si>
    <t>Ku con riesgo total</t>
  </si>
  <si>
    <t xml:space="preserve">Kurt = Rf usa+  be total ME* (Rm- Rf) usa+ Rp PERÚ </t>
  </si>
  <si>
    <t>be total me</t>
  </si>
  <si>
    <t>(Rm-Rf)usa</t>
  </si>
  <si>
    <t>2.1</t>
  </si>
  <si>
    <t>Ke con Riesgo Sistemático</t>
  </si>
  <si>
    <t>Kers = Rfusa + beta rl PERÚ *(Rm- Rf )usa + Rp PERÚ</t>
  </si>
  <si>
    <t>beta rl PERÚ</t>
  </si>
  <si>
    <t xml:space="preserve">Kers </t>
  </si>
  <si>
    <t>2.2.</t>
  </si>
  <si>
    <t>Ke con riesgo total</t>
  </si>
  <si>
    <t>Kert = Rfusa + βrl total PERÚ* (Rm- Rf )usa+ Rp PERÚ        </t>
  </si>
  <si>
    <t>βrl total PERÚ</t>
  </si>
  <si>
    <t>0.8678</t>
  </si>
  <si>
    <t>Rfusa</t>
  </si>
  <si>
    <t>(Rm- Rf )usa</t>
  </si>
  <si>
    <t>Kert</t>
  </si>
  <si>
    <t xml:space="preserve">3.1 </t>
  </si>
  <si>
    <t>Kwacc con Riesgo Sistemático</t>
  </si>
  <si>
    <t>Con un Régimen Especial Tributario</t>
  </si>
  <si>
    <t>Kwacc rs=D/V* Kd+E/V *Kers</t>
  </si>
  <si>
    <t>D/V</t>
  </si>
  <si>
    <t>Kd</t>
  </si>
  <si>
    <t>E/V</t>
  </si>
  <si>
    <t>Kwacc rs</t>
  </si>
  <si>
    <t xml:space="preserve">3.2 </t>
  </si>
  <si>
    <t>Kwacc con Riesgo Total</t>
  </si>
  <si>
    <t>Kwacc rt=D/V*Kd+E/V*Kert</t>
  </si>
  <si>
    <t>i)</t>
  </si>
  <si>
    <t>beta rl total</t>
  </si>
  <si>
    <t>ii)</t>
  </si>
  <si>
    <t>Kwacc rt</t>
  </si>
  <si>
    <t xml:space="preserve">DATOS </t>
  </si>
  <si>
    <t>Activo Fijo</t>
  </si>
  <si>
    <t>Vida útil</t>
  </si>
  <si>
    <t>Cantidad de ventas año 1</t>
  </si>
  <si>
    <t xml:space="preserve">tasa crecimiento </t>
  </si>
  <si>
    <t>costo variable unitario</t>
  </si>
  <si>
    <t xml:space="preserve">Tasa de impuesto </t>
  </si>
  <si>
    <t>COK = Ku</t>
  </si>
  <si>
    <t xml:space="preserve">PEC </t>
  </si>
  <si>
    <t xml:space="preserve">1.- ANÁLISIS DE PUNTOS CRÍTICOS </t>
  </si>
  <si>
    <t>¿Qué precio debe tener el produccto para que  el VANE=0?</t>
  </si>
  <si>
    <t>Variable</t>
  </si>
  <si>
    <t>Valor Actual</t>
  </si>
  <si>
    <t>Valor Marginal</t>
  </si>
  <si>
    <t xml:space="preserve"> Soporte %</t>
  </si>
  <si>
    <t xml:space="preserve">Precio </t>
  </si>
  <si>
    <t>Tasa Crec.</t>
  </si>
  <si>
    <t>Precio MP</t>
  </si>
  <si>
    <t>Costo MO</t>
  </si>
  <si>
    <t xml:space="preserve">2.- ANÁLISIS DE SENSIBILIDAD </t>
  </si>
  <si>
    <t>¿Cómo varia el VANE, TIRE y PEC al modificarse el precio del producto?</t>
  </si>
  <si>
    <t>RESULTADOS</t>
  </si>
  <si>
    <t>PRECIO</t>
  </si>
  <si>
    <t>BASE</t>
  </si>
  <si>
    <t>PRECIO MP</t>
  </si>
  <si>
    <t>COSTO MO</t>
  </si>
  <si>
    <t>Comentario:</t>
  </si>
  <si>
    <t xml:space="preserve">El valor del VANE es muy sensible ante una variacion en el precio, por tanto el </t>
  </si>
  <si>
    <t>precio del producto no debe ser menor de … para que tenga la rentabilidad económica esperada</t>
  </si>
  <si>
    <t>3. ANÁLISIS DE SENSIBILDAD BIDEMIENSIONAL</t>
  </si>
  <si>
    <t>A. PRECIO VS PRECIO MP</t>
  </si>
  <si>
    <t>¿Cómo varía el VANE al modificarse el precio y el precio de MP?</t>
  </si>
  <si>
    <t>B. PRECIO VS CANTIDAD VENDIDA</t>
  </si>
  <si>
    <t>¿Cómo varía el VANE al modificarse el precio y la cantidad vendida?</t>
  </si>
  <si>
    <t>C. PRECIO MATERIA PRIMA VS COSTO DE MANO DE OBRA</t>
  </si>
  <si>
    <t>¿Cómo varía el TIRE al modificarse el precio de la materia prima y la mano de obra?</t>
  </si>
  <si>
    <t>3. ANÁLISIS DE ESCENARIO</t>
  </si>
  <si>
    <t>A. ESCENARIO 1</t>
  </si>
  <si>
    <t>Variables Críticas</t>
  </si>
  <si>
    <t>Probable</t>
  </si>
  <si>
    <t>Optimista</t>
  </si>
  <si>
    <t>Pesimista</t>
  </si>
  <si>
    <t>B. ESCENARIO 2</t>
  </si>
  <si>
    <t>Resumen del escenario</t>
  </si>
  <si>
    <t>Valores actuales:</t>
  </si>
  <si>
    <t>OPTIMISTA</t>
  </si>
  <si>
    <t>PESIMISTA</t>
  </si>
  <si>
    <t>Creado por Edison Achalma el 15/07/2021</t>
  </si>
  <si>
    <t>Celdas cambiantes:</t>
  </si>
  <si>
    <t>MATERIA PRIMA</t>
  </si>
  <si>
    <t>CANTIDAD DE VENTAS AÑO 1</t>
  </si>
  <si>
    <t>Celdas de resultado:</t>
  </si>
  <si>
    <t>Notas: La columna de valores actuales representa los valores de las celdas cambiantes</t>
  </si>
  <si>
    <t>en el momento en que se creó el Informe resumen de escenario. Las celdas cambiantes de</t>
  </si>
  <si>
    <t>cada escenario se muestran en gris.</t>
  </si>
  <si>
    <t>BALANCE GENERAL</t>
  </si>
  <si>
    <t>TÉRMINOS CONSTANTES</t>
  </si>
  <si>
    <t>ACTIVO CORRIENTE</t>
  </si>
  <si>
    <t>Bancos</t>
  </si>
  <si>
    <t>Inventarios</t>
  </si>
  <si>
    <t>TOTAL ACTIVO CORRIENTE</t>
  </si>
  <si>
    <t>ACTIVOS FIJOS</t>
  </si>
  <si>
    <t>Muebles y Enseres</t>
  </si>
  <si>
    <t>Mobiliario y Decoración</t>
  </si>
  <si>
    <t>TOTAL ACTIVOS FIJOS</t>
  </si>
  <si>
    <t>Adecuación Física</t>
  </si>
  <si>
    <t>Gastos Preoperativos</t>
  </si>
  <si>
    <t>TOTAL ACTIVOS DIFERIDOS</t>
  </si>
  <si>
    <t>TOTAL ACTIVOS</t>
  </si>
  <si>
    <t>PASIVOS</t>
  </si>
  <si>
    <t>PASIVOS A LARGO PLAZO</t>
  </si>
  <si>
    <t>Prestamos por Pagar</t>
  </si>
  <si>
    <t>TOTAL PASIVO A LARGO PLAZO</t>
  </si>
  <si>
    <t>PATRIMONIO</t>
  </si>
  <si>
    <t>TOTAL PATRIMONIO</t>
  </si>
  <si>
    <t>TOTAL PASIVO Y PATRIMONIO</t>
  </si>
  <si>
    <t>ESTADO DE RESULTADOS</t>
  </si>
  <si>
    <t>1 DE ENERO AL 31 DE DICIEMBRE</t>
  </si>
  <si>
    <t>Costos de Producción</t>
  </si>
  <si>
    <t>Utilidad Bruta en Ventas</t>
  </si>
  <si>
    <t>TOTAL GASTOS OPERACIONALES</t>
  </si>
  <si>
    <t>UTILIDAD OPERACIONAL</t>
  </si>
  <si>
    <t>Gastos Financieros</t>
  </si>
  <si>
    <t>UTILIDAD ANTES DE IMPUESTOS</t>
  </si>
  <si>
    <t>Provisión para impuestos</t>
  </si>
  <si>
    <t>UTILIDAD NETA</t>
  </si>
  <si>
    <t>EVALUACIÓN DE PROYECTO</t>
  </si>
  <si>
    <t>TASA DE INTERÉS DE OPORTUNIDAD TIO</t>
  </si>
  <si>
    <t>TIO = i + f +if</t>
  </si>
  <si>
    <t>i = Premio al riesgo (Se considera entre el 10% y el 15%)</t>
  </si>
  <si>
    <t>f= Inflación</t>
  </si>
  <si>
    <t>f</t>
  </si>
  <si>
    <t>TIO = (0,15)+(0,0645)+(0,15*0,0645)</t>
  </si>
  <si>
    <t>TASA DE OPORTUNIDAD</t>
  </si>
  <si>
    <t>VALOR PRESENTE NETO VPN</t>
  </si>
  <si>
    <t xml:space="preserve">VALOR PRESENTE DE LOS INGRESOS </t>
  </si>
  <si>
    <t>P= Valor Presente en el período cero</t>
  </si>
  <si>
    <t>F= Valor Futuro</t>
  </si>
  <si>
    <t>n = Número de Periodos Transcurridos a partir de cero</t>
  </si>
  <si>
    <t>AÑO</t>
  </si>
  <si>
    <t>Valor Presente Ingresos</t>
  </si>
  <si>
    <t>VALOR PRESENTE</t>
  </si>
  <si>
    <t>VALOR PRESENTE DE LOS EGRESOS</t>
  </si>
  <si>
    <t>Se toma el valor de las inversiones, para este caso</t>
  </si>
  <si>
    <t>29.583.729/(1+0.224175)^0</t>
  </si>
  <si>
    <t>Valor Presente Egresos</t>
  </si>
  <si>
    <t>VPN =</t>
  </si>
  <si>
    <t>MENOS</t>
  </si>
  <si>
    <t>VPN</t>
  </si>
  <si>
    <t>Este resultado indica que:</t>
  </si>
  <si>
    <t>1. Se puede aceptar el proyecto</t>
  </si>
  <si>
    <t>2. El dinero invertido en el proyecto ofrece un rendimiento superior al 22.42%</t>
  </si>
  <si>
    <t>3. El VPN para el inversionista sin financiamiento es igual al VPN del proyecto</t>
  </si>
  <si>
    <t xml:space="preserve">4. VPN para el inversionista es de </t>
  </si>
  <si>
    <t xml:space="preserve">CALCULO DEL VPN UTILIZANDO EXCEL </t>
  </si>
  <si>
    <t xml:space="preserve">Se recomienda ver el vídeo </t>
  </si>
  <si>
    <t>https://www.youtube.com/watch?v=5Z_prLbH2fA</t>
  </si>
  <si>
    <t>https://www.youtube.com/watch?v=W9r7Cs_6M0A</t>
  </si>
  <si>
    <t>Formulación de Datos</t>
  </si>
  <si>
    <t>IO (Inversión Inicial)</t>
  </si>
  <si>
    <t>Flujo año 1</t>
  </si>
  <si>
    <t>Flujo año 2</t>
  </si>
  <si>
    <t>Flujo año 3</t>
  </si>
  <si>
    <t>Flujo año 4</t>
  </si>
  <si>
    <t>Flujo año 5</t>
  </si>
  <si>
    <t>n (años)</t>
  </si>
  <si>
    <t>i (TIO)</t>
  </si>
  <si>
    <t>TASA INTERNA DE RENTABILIDAD -TIR-</t>
  </si>
  <si>
    <t>Cuadro 52. Datos para cálculo de la TIR del proyecto sin Financiamiento</t>
  </si>
  <si>
    <t>Flujo Financiero Neto Sin Financiamiento</t>
  </si>
  <si>
    <t>Cuadro 53. Calculo de la TIR sin financiamiento en términos constantes</t>
  </si>
  <si>
    <t>NEGATIVO</t>
  </si>
  <si>
    <t>F=</t>
  </si>
  <si>
    <t>i=</t>
  </si>
  <si>
    <t>n=</t>
  </si>
  <si>
    <t># de años</t>
  </si>
  <si>
    <t>potencia</t>
  </si>
  <si>
    <t>Valor presente egresos</t>
  </si>
  <si>
    <t>POSITIVO</t>
  </si>
  <si>
    <t>Cuadro 54. Ajuste de la TIR por Interpolación</t>
  </si>
  <si>
    <t>DIFERENCIA ENTRE TASAS UTILIZADAS</t>
  </si>
  <si>
    <t>SUMA DEL VPN EN VALORES ABSOLUTOS</t>
  </si>
  <si>
    <t>% DEL TOTAL</t>
  </si>
  <si>
    <t>AJUSTE AL PORCENTAJE DE DIFERENCIA</t>
  </si>
  <si>
    <t>TASAS AJUSTADAS TIR</t>
  </si>
  <si>
    <t xml:space="preserve">CALCULO DE LA TIR UTILIZANDO EXCEL </t>
  </si>
  <si>
    <t>Inversión</t>
  </si>
  <si>
    <t>Flujo Año 1</t>
  </si>
  <si>
    <t>Flujo Año 2</t>
  </si>
  <si>
    <t>TIR</t>
  </si>
  <si>
    <t>Flujo Año 3</t>
  </si>
  <si>
    <t>Flujo Año 4</t>
  </si>
  <si>
    <t>Flujo Año 5</t>
  </si>
  <si>
    <t>VPN Y TIR para el proyecto con financiamiento</t>
  </si>
  <si>
    <t>Cuadro 55. Tasa Mínima del Rendimiento del Proyecto con Financiamiento</t>
  </si>
  <si>
    <t>Fuente</t>
  </si>
  <si>
    <t>Valor Financiado</t>
  </si>
  <si>
    <t>Costo</t>
  </si>
  <si>
    <t>Participación Fuente</t>
  </si>
  <si>
    <t>Ponderación</t>
  </si>
  <si>
    <t>Antes Impuestos</t>
  </si>
  <si>
    <t>Después Impuestos</t>
  </si>
  <si>
    <t>Aporte Inversionista</t>
  </si>
  <si>
    <t>Costo Después de Impuestos</t>
  </si>
  <si>
    <t>K`=K*(1-t)</t>
  </si>
  <si>
    <t>K` = Costo del crédito</t>
  </si>
  <si>
    <t>t= Tasa de Tributación</t>
  </si>
  <si>
    <t>K`=0,2387 * (1-0,33)</t>
  </si>
  <si>
    <t>Tasa de Rendimiento con Financiamiento</t>
  </si>
  <si>
    <t>Tasa de Rendimiento Real</t>
  </si>
  <si>
    <t>1+ir= (1+ ic)/(1+i)</t>
  </si>
  <si>
    <t>ir= Tasa de rendimiento Real</t>
  </si>
  <si>
    <t>ic= Tasa de rendimiento con financiamiento</t>
  </si>
  <si>
    <t>i= inflación</t>
  </si>
  <si>
    <t>1+ir = (1+0,1856)/(1+0,0645)</t>
  </si>
  <si>
    <t>1+ir = 1,1856/1,0645=</t>
  </si>
  <si>
    <t>ir=</t>
  </si>
  <si>
    <t>Cuadro 56. VPN con Financiamiento</t>
  </si>
  <si>
    <t>VPN Con financiamiento</t>
  </si>
  <si>
    <t>Cuadro 57.Cálculo de la  TIR con Financiamiento</t>
  </si>
  <si>
    <t>F= P * (1+i)</t>
  </si>
  <si>
    <t>VPN Con Financiamiento Proyecto</t>
  </si>
  <si>
    <t>Concepto</t>
  </si>
  <si>
    <t>Flujo Financiero</t>
  </si>
  <si>
    <t>Con financiamiento</t>
  </si>
  <si>
    <t>Potencia=</t>
  </si>
  <si>
    <t>VPN Egresos</t>
  </si>
  <si>
    <t>El proyecto es viable dado que VPN es Positivo</t>
  </si>
  <si>
    <t>Cuadro 58. TIR con Financiamiento</t>
  </si>
  <si>
    <t>VPN Con Financiamiento Inversionista</t>
  </si>
  <si>
    <t>Comparación de los Resultados Obtenidos en Cada Situación</t>
  </si>
  <si>
    <t>Situación sin Financiamiento</t>
  </si>
  <si>
    <t>VPN para el proyecto</t>
  </si>
  <si>
    <t>Como el VPN es mayor a 1, el proyecto es viable</t>
  </si>
  <si>
    <t>VPN para el inversionista</t>
  </si>
  <si>
    <t>Situación con Financiamiento</t>
  </si>
  <si>
    <t>Como es mayor a la TIO (22,41%) el proyecto es viable</t>
  </si>
  <si>
    <t>Cálculo de la TIR para el Inversionista</t>
  </si>
  <si>
    <t>En este ejemplo la TIR es alta, dado que el precio de venta es superior</t>
  </si>
  <si>
    <t>veces al costo variable unitario</t>
  </si>
  <si>
    <t>Además las inversiones son muy bajas</t>
  </si>
  <si>
    <t>VALOR PRESENTE DE LOS INGRESOS</t>
  </si>
  <si>
    <t>VALOR</t>
  </si>
  <si>
    <t>RBC</t>
  </si>
  <si>
    <t>Interpretación: Es mayor a uno, es viable el proyecto</t>
  </si>
  <si>
    <t>ANÁLISIS DE SENSIBILIDAD</t>
  </si>
  <si>
    <t>PRESABERES</t>
  </si>
  <si>
    <t>OBJETIVO FUNDAMENTAL DE CUALQUIER EMPRESA: Permanecer en el tiempo</t>
  </si>
  <si>
    <t>OBJETIVO FINANCIERO: Rentabilidad</t>
  </si>
  <si>
    <t xml:space="preserve">Cuadro 51. Objetivos de interés al evaluar un proyecto. </t>
  </si>
  <si>
    <t>EVALUACIÓN PRIVADA</t>
  </si>
  <si>
    <t>EVALUACIÓN SOCIAL</t>
  </si>
  <si>
    <t>Disminuir el Riesgo o Incertidumbre</t>
  </si>
  <si>
    <t>Maximizar Bienestar de la comunidad</t>
  </si>
  <si>
    <t>Maximizar Utilidades</t>
  </si>
  <si>
    <t>Mayor B/C, VPN, TIR Social (Tasa de Descuento)</t>
  </si>
  <si>
    <t>Máxima VPN, TIR, B/C (individual)</t>
  </si>
  <si>
    <t>Cumplimiento de los objetivos del plan de desarrollo</t>
  </si>
  <si>
    <t>Asignar recursos para obtener máximo rendimiento sobre la inversión (Activos, Pasivos, Patrimonio)</t>
  </si>
  <si>
    <t>TASAS QUE INTERVIENEN</t>
  </si>
  <si>
    <t xml:space="preserve">En el proyecto con financiamiento intervienen diferentes fuentes como inversionistas e instituciones financieras, lo cual implica calcular el costo de capital promedio ponderado, que es la tasa mínima de oportunidad que acepta el proyecto con financiamiento. </t>
  </si>
  <si>
    <t xml:space="preserve">El costo del aporte del inversionista se ha tomado su tasa de oportunidad en términos corriente y es la misma después de impuestos ya que legalmente no causa gastos financieros. </t>
  </si>
  <si>
    <t xml:space="preserve">La ponderación se obtiene del producto entre el costo después de impuestos y la participación de la fuente. El total del costo ponderado se constituye en la tasa mínima de rendimiento para el proyecto con financiamiento </t>
  </si>
  <si>
    <t xml:space="preserve">Cuando se trabaja con términos constantes y sin financiamiento se asume una tasa de interés real. </t>
  </si>
  <si>
    <t xml:space="preserve">Para el proyecto con financiamiento la tasa que se utiliza es la corriente, lo que conlleva a realizar la equivalencia </t>
  </si>
  <si>
    <t>En el libro de Luz Marina Dávila (2009, p,100) , que hace parte de la bibliografía del curso, se tiene el siguiente ejemplo para calcular la tasa mínima de rendimiento con financiamiento (ver cuadro a continuación):</t>
  </si>
  <si>
    <t>Tasa mínima de rendimiento</t>
  </si>
  <si>
    <t>Una vez realizada la evaluación del proyecto, conviene realizar el análisis de sensibilidad, que consiste en identificar las variables que tienen mayor incidencia en el proyecto, aplicarles variaciones y establecer los efectos producidos en el VPN y la TIR.</t>
  </si>
  <si>
    <t>CRITERIOS</t>
  </si>
  <si>
    <r>
      <rPr>
        <b/>
        <sz val="11"/>
        <color theme="1"/>
        <rFont val="IBM Plex Mono"/>
        <family val="3"/>
      </rPr>
      <t xml:space="preserve">1. Nivel de Incertidumbre </t>
    </r>
    <r>
      <rPr>
        <sz val="11"/>
        <color rgb="FF000000"/>
        <rFont val="IBM Plex Mono"/>
        <family val="3"/>
      </rPr>
      <t>(Escenarios: Optimista - Pesimista) (Viabilidad de Mercado)</t>
    </r>
  </si>
  <si>
    <r>
      <rPr>
        <b/>
        <sz val="11"/>
        <color theme="1"/>
        <rFont val="IBM Plex Mono"/>
        <family val="3"/>
      </rPr>
      <t xml:space="preserve">2. Control por parte de la Empresa </t>
    </r>
    <r>
      <rPr>
        <sz val="11"/>
        <color rgb="FF000000"/>
        <rFont val="IBM Plex Mono"/>
        <family val="3"/>
      </rPr>
      <t>(Hacia las 5 fuerzas del Mercado)</t>
    </r>
  </si>
  <si>
    <t xml:space="preserve">El análisis de sensibilidad se debe aplicar en las variables que tengan mayor incertidumbre y menos control por la empresa, como son la disminución en las cantidades demandadas y disminución o incrementos en el nivel de financiamiento. También se realiza el análisis de sensibilidad en la disminución en el precio de ventas o incrementos en los costos de insumo. </t>
  </si>
  <si>
    <t>VARIABLES:</t>
  </si>
  <si>
    <r>
      <rPr>
        <sz val="11"/>
        <color theme="1"/>
        <rFont val="IBM Plex Mono"/>
        <family val="3"/>
      </rPr>
      <t xml:space="preserve">Se relacionan con las 5 fuerzas del mercado de Porter (1986): 1) </t>
    </r>
    <r>
      <rPr>
        <b/>
        <sz val="11"/>
        <color rgb="FF000000"/>
        <rFont val="IBM Plex Mono"/>
        <family val="3"/>
      </rPr>
      <t>Compradores</t>
    </r>
    <r>
      <rPr>
        <sz val="11"/>
        <color rgb="FF000000"/>
        <rFont val="IBM Plex Mono"/>
        <family val="3"/>
      </rPr>
      <t xml:space="preserve">, 2) </t>
    </r>
    <r>
      <rPr>
        <b/>
        <sz val="11"/>
        <color rgb="FF000000"/>
        <rFont val="IBM Plex Mono"/>
        <family val="3"/>
      </rPr>
      <t>Proveedores,</t>
    </r>
    <r>
      <rPr>
        <sz val="11"/>
        <color rgb="FF000000"/>
        <rFont val="IBM Plex Mono"/>
        <family val="3"/>
      </rPr>
      <t xml:space="preserve"> 3) </t>
    </r>
    <r>
      <rPr>
        <b/>
        <sz val="11"/>
        <color rgb="FF000000"/>
        <rFont val="IBM Plex Mono"/>
        <family val="3"/>
      </rPr>
      <t>Sustitutos,</t>
    </r>
    <r>
      <rPr>
        <sz val="11"/>
        <color rgb="FF000000"/>
        <rFont val="IBM Plex Mono"/>
        <family val="3"/>
      </rPr>
      <t xml:space="preserve"> 4) </t>
    </r>
    <r>
      <rPr>
        <b/>
        <sz val="11"/>
        <color rgb="FF000000"/>
        <rFont val="IBM Plex Mono"/>
        <family val="3"/>
      </rPr>
      <t>Competidores,</t>
    </r>
    <r>
      <rPr>
        <sz val="11"/>
        <color rgb="FF000000"/>
        <rFont val="IBM Plex Mono"/>
        <family val="3"/>
      </rPr>
      <t xml:space="preserve">  5) </t>
    </r>
    <r>
      <rPr>
        <b/>
        <sz val="11"/>
        <color rgb="FF000000"/>
        <rFont val="IBM Plex Mono"/>
        <family val="3"/>
      </rPr>
      <t>Rivales</t>
    </r>
    <r>
      <rPr>
        <sz val="11"/>
        <color rgb="FF000000"/>
        <rFont val="IBM Plex Mono"/>
        <family val="3"/>
      </rPr>
      <t xml:space="preserve"> </t>
    </r>
    <r>
      <rPr>
        <b/>
        <sz val="11"/>
        <color rgb="FF000000"/>
        <rFont val="IBM Plex Mono"/>
        <family val="3"/>
      </rPr>
      <t>potenciales</t>
    </r>
  </si>
  <si>
    <r>
      <rPr>
        <sz val="11"/>
        <color theme="1"/>
        <rFont val="IBM Plex Mono"/>
        <family val="3"/>
      </rPr>
      <t xml:space="preserve">1. </t>
    </r>
    <r>
      <rPr>
        <b/>
        <sz val="11"/>
        <color rgb="FF000000"/>
        <rFont val="IBM Plex Mono"/>
        <family val="3"/>
      </rPr>
      <t>Demanda del producto</t>
    </r>
  </si>
  <si>
    <r>
      <rPr>
        <sz val="11"/>
        <color theme="1"/>
        <rFont val="IBM Plex Mono"/>
        <family val="3"/>
      </rPr>
      <t xml:space="preserve">2. </t>
    </r>
    <r>
      <rPr>
        <b/>
        <sz val="11"/>
        <color rgb="FF000000"/>
        <rFont val="IBM Plex Mono"/>
        <family val="3"/>
      </rPr>
      <t>Nivel de financiamiento</t>
    </r>
  </si>
  <si>
    <r>
      <rPr>
        <sz val="11"/>
        <color theme="1"/>
        <rFont val="IBM Plex Mono"/>
        <family val="3"/>
      </rPr>
      <t xml:space="preserve">3. </t>
    </r>
    <r>
      <rPr>
        <b/>
        <sz val="11"/>
        <color rgb="FF000000"/>
        <rFont val="IBM Plex Mono"/>
        <family val="3"/>
      </rPr>
      <t>Precio del producto</t>
    </r>
  </si>
  <si>
    <r>
      <rPr>
        <sz val="11"/>
        <color theme="1"/>
        <rFont val="IBM Plex Mono"/>
        <family val="3"/>
      </rPr>
      <t xml:space="preserve">4. </t>
    </r>
    <r>
      <rPr>
        <b/>
        <sz val="11"/>
        <color rgb="FF000000"/>
        <rFont val="IBM Plex Mono"/>
        <family val="3"/>
      </rPr>
      <t>Costos de los insumos</t>
    </r>
  </si>
  <si>
    <t>El porcentaje de disminución o incremento va de acuerdo con el nivel de incertidumbre, entre mayor sea ésta mayor será el porcentaje. Las variaciones suelen estar en el intervalo de 5% a 20%</t>
  </si>
  <si>
    <t>Elementos que intervienen en el Análisis de Sensibilidad</t>
  </si>
  <si>
    <t xml:space="preserve">1. Variable de mayor incidencia en el proyecto y con mayor grado de incertidumbre </t>
  </si>
  <si>
    <t xml:space="preserve">2. Porcentaje para realizar las modificaciones </t>
  </si>
  <si>
    <t>3. Los flujos de fondos modificados</t>
  </si>
  <si>
    <t>4. Cálculo del valor presente neto (VPN) y de la Tasa Interna de Retorno TIR con el nuevo flujo     financiero neto</t>
  </si>
  <si>
    <t>5. Interpretación de los resultados (Comparar con resultados de evaluación inicial u original)</t>
  </si>
  <si>
    <t xml:space="preserve">El análisis de sensibilidad se puede realizar en una variable o en varias al mismo tiempo. </t>
  </si>
  <si>
    <t>En proyectos de tamaño pequeño no es aconsejable realizar variaciones simultaneas en distintas variables (el análisis individual facilita interpretación)</t>
  </si>
  <si>
    <t xml:space="preserve">A manera de ejemplo se desarrolla un análisis de sensibilidad para un proyecto de ventas de productos textiles donde la variable de mayor incidencia es "cantidades vendidas". </t>
  </si>
  <si>
    <t>Simulamos en el Análisis de Sensibilidad con un porcentaje de disminución del 9% en ventas (Cuadro 59)</t>
  </si>
  <si>
    <r>
      <rPr>
        <b/>
        <sz val="11"/>
        <color rgb="FF000000"/>
        <rFont val="IBM Plex Mono"/>
        <family val="3"/>
      </rPr>
      <t xml:space="preserve">El análisis de sensibilidad consiste en </t>
    </r>
    <r>
      <rPr>
        <b/>
        <sz val="11"/>
        <color rgb="FFFF0000"/>
        <rFont val="IBM Plex Mono"/>
        <family val="3"/>
      </rPr>
      <t>identificar las variables que tienen mayor incidencia en el proyecto</t>
    </r>
    <r>
      <rPr>
        <b/>
        <sz val="11"/>
        <color rgb="FF000000"/>
        <rFont val="IBM Plex Mono"/>
        <family val="3"/>
      </rPr>
      <t>, aplicarles variaciones y establecer los efectos producidos en el VPN y la TIR</t>
    </r>
  </si>
  <si>
    <t>Pregunta a resolver en cada situación de modificación planteada:</t>
  </si>
  <si>
    <t>INVERSIÓN REALIZADA &lt; LO QUE GENERA LA OPERACIÓN?</t>
  </si>
  <si>
    <t>El proyecto es viable de acuerdo a los indicadores financieros?</t>
  </si>
  <si>
    <t>Para la sensibilidad se debe elaborar un cuadro resumen, como el siguiente:</t>
  </si>
  <si>
    <t>-5% y -5%</t>
  </si>
  <si>
    <t>En el módulo de Luz Marina Dávila (2009, pp. 112-116) , que hace parte de las referencias del curso, se tiene el siguiente ejemplo:</t>
  </si>
  <si>
    <t>Cuadro 59. PRESUPUESTO DE INGRESOS POR VENTA DE PRODUCTOS</t>
  </si>
  <si>
    <t>Términos Corrientes</t>
  </si>
  <si>
    <t>Producto</t>
  </si>
  <si>
    <t>Precio Unitario</t>
  </si>
  <si>
    <t>Valor</t>
  </si>
  <si>
    <t>TIO</t>
  </si>
  <si>
    <t>ESCENARIO PESIMISTA (NEGATIVO)</t>
  </si>
  <si>
    <t>Cuadro 60. PRESUPUESTO DE INGRESOS POR VENTA DE PRODUCTOS</t>
  </si>
  <si>
    <t>Términos Constantes</t>
  </si>
  <si>
    <t>Unidades iniciales</t>
  </si>
  <si>
    <t>Modificación porcentual</t>
  </si>
  <si>
    <t>Unidades modificadas</t>
  </si>
  <si>
    <t>Observar que al aumentar o disminuir  el número de unidades de producción o venta o el precio de venta, automáticamente se modifica el flujo de operaciones porque los ingresos aumentan o disminuyen proporcionalmente al valor aumentado o disminuido. Mirar también, que solo podemos aumentar las unidades hasta la capacidad instalada; de lo contrario, tendriamos que aumentar también las inversiones en la planta de producción, modificándose el flujo de inversiones.</t>
  </si>
  <si>
    <t xml:space="preserve">Cuadro 61. Flujo Neto Operaciones sin Financiamiento                                                                   </t>
  </si>
  <si>
    <t xml:space="preserve">Viene del Cuadro 60 </t>
  </si>
  <si>
    <t>Viene del Cuadro 48 Flujo fondos para el Inversionista, total costos operacionales</t>
  </si>
  <si>
    <t>Tasa impositiva</t>
  </si>
  <si>
    <t>Flujo Neto de Operaciones sf</t>
  </si>
  <si>
    <t xml:space="preserve">Cuadro 62. Flujo Financiero Neto sin Financiamiento. </t>
  </si>
  <si>
    <t>Flujo Neto de Inversión sf</t>
  </si>
  <si>
    <t>Flujo Neto de operación sf</t>
  </si>
  <si>
    <t>Flujo Financiero Neto del Proyecto sf</t>
  </si>
  <si>
    <t>CALCULO DEL VPN CON ESCENARIO PESIMISTA, DISMINUCIÓN 9%</t>
  </si>
  <si>
    <t>Es mayor a 0, disminuir las cantidades vendidas en 9%  es viable</t>
  </si>
  <si>
    <t>CALCULO DE LA  TIR CON ESCENARIO PESIMISTA, DISMINUCIÓN 9%</t>
  </si>
  <si>
    <t>Es mayor a laTIO 22,4%  es viable</t>
  </si>
  <si>
    <t>ESCENARIO OPTIMISTA (POSITIVO)</t>
  </si>
  <si>
    <t xml:space="preserve"> PRESUPUESTO DE INGRESOS POR VENTA DE PRODUCTOS</t>
  </si>
  <si>
    <t xml:space="preserve">Flujo Neto Operaciones sin Financiamiento                                                                   </t>
  </si>
  <si>
    <t xml:space="preserve">Cuadro 63. Flujo Financiero Neto sin Financiamiento. </t>
  </si>
  <si>
    <t>CALCULO DEL VPN CON ESCENARIO OPTIMISTA AUMENTO 9%</t>
  </si>
  <si>
    <t>Es mayor a 0, aumentar las cantidades vendidas en 9% si es viable</t>
  </si>
  <si>
    <t>Es mayor a laTIO 22,4% si es viable</t>
  </si>
  <si>
    <t>#REF!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</si>
</sst>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;[Red]\-&quot;$&quot;#,##0.00"/>
    <numFmt numFmtId="165" formatCode="0.0%"/>
    <numFmt numFmtId="166" formatCode="&quot;$&quot;\ #,##0_);[Red]\(&quot;$&quot;\ #,##0\)"/>
    <numFmt numFmtId="167" formatCode="#,##0;[Red]#,##0"/>
    <numFmt numFmtId="168" formatCode="_ &quot;$&quot;\ * #,##0_ ;_ &quot;$&quot;\ * \-#,##0_ ;_ &quot;$&quot;\ * &quot;-&quot;????_ ;_ @_ "/>
    <numFmt numFmtId="169" formatCode="_-&quot;$&quot;* #,##0_-;\-&quot;$&quot;* #,##0_-;_-&quot;$&quot;* &quot;-&quot;_-;_-@"/>
    <numFmt numFmtId="170" formatCode="_(&quot;$&quot;\ * #,##0_);_(&quot;$&quot;\ * \(#,##0\);_(&quot;$&quot;\ * &quot;-&quot;??_);_(@_)"/>
    <numFmt numFmtId="171" formatCode="&quot;S/.&quot;#,##0.00"/>
    <numFmt numFmtId="172" formatCode="_ &quot;$&quot;\ * #,##0_ ;_ &quot;$&quot;\ * \-#,##0_ ;_ &quot;$&quot;\ * &quot;-&quot;??_ ;_ @_ "/>
    <numFmt numFmtId="173" formatCode="_ &quot;$&quot;\ * #,##0.0_ ;_ &quot;$&quot;\ * \-#,##0.0_ ;_ &quot;$&quot;\ * &quot;-&quot;??_ ;_ @_ "/>
    <numFmt numFmtId="174" formatCode="d/m/yyyy"/>
    <numFmt numFmtId="175" formatCode="##\ ##0.00"/>
    <numFmt numFmtId="176" formatCode="0.000"/>
    <numFmt numFmtId="177" formatCode="_(* #,##0_);_(* \(#,##0\);_(* &quot;-&quot;??_);_(@_)"/>
    <numFmt numFmtId="178" formatCode="0.0000%"/>
    <numFmt numFmtId="179" formatCode="&quot;$&quot;\ #,##0"/>
    <numFmt numFmtId="180" formatCode="&quot;$&quot;\ #,##0.00000"/>
    <numFmt numFmtId="181" formatCode="_(&quot;$&quot;\ * #,##0.00_);_(&quot;$&quot;\ * \(#,##0.00\);_(&quot;$&quot;\ * &quot;-&quot;??_);_(@_)"/>
    <numFmt numFmtId="182" formatCode="0.000%"/>
    <numFmt numFmtId="183" formatCode="0.00000"/>
    <numFmt numFmtId="184" formatCode="_-* #,##0.00000_-;\-* #,##0.00000_-;_-* &quot;-&quot;_-;_-@"/>
    <numFmt numFmtId="185" formatCode="_-* #,##0_-;\-* #,##0_-;_-* &quot;-&quot;_-;_-@"/>
    <numFmt numFmtId="186" formatCode="_-* #,##0.00000_-;\-* #,##0.00000_-;_-* &quot;-&quot;?????_-;_-@"/>
  </numFmts>
  <fonts count="37">
    <font>
      <sz val="11"/>
      <color theme="1"/>
      <name val="Arial"/>
    </font>
    <font>
      <sz val="11"/>
      <color theme="1"/>
      <name val="IBM Plex Mono"/>
      <family val="3"/>
    </font>
    <font>
      <b/>
      <sz val="11"/>
      <color theme="1"/>
      <name val="IBM Plex Mono"/>
      <family val="3"/>
    </font>
    <font>
      <sz val="11"/>
      <name val="Arial"/>
      <family val="2"/>
    </font>
    <font>
      <sz val="11"/>
      <color theme="0"/>
      <name val="IBM Plex Mono"/>
      <family val="3"/>
    </font>
    <font>
      <b/>
      <sz val="11"/>
      <color theme="0"/>
      <name val="IBM Plex Mono"/>
      <family val="3"/>
    </font>
    <font>
      <b/>
      <sz val="15"/>
      <color rgb="FF373545"/>
      <name val="IBM Plex Mono"/>
      <family val="3"/>
    </font>
    <font>
      <b/>
      <sz val="11"/>
      <color theme="0"/>
      <name val="Ibm plex sans regular"/>
    </font>
    <font>
      <b/>
      <sz val="11"/>
      <color rgb="FFFF0000"/>
      <name val="IBM Plex Mono"/>
      <family val="3"/>
    </font>
    <font>
      <sz val="11"/>
      <color rgb="FFFF0000"/>
      <name val="IBM Plex Mono"/>
      <family val="3"/>
    </font>
    <font>
      <sz val="8"/>
      <color theme="1"/>
      <name val="IBM Plex Mono"/>
      <family val="3"/>
    </font>
    <font>
      <b/>
      <sz val="11"/>
      <color rgb="FF000000"/>
      <name val="IBM Plex Mono"/>
      <family val="3"/>
    </font>
    <font>
      <sz val="11"/>
      <color rgb="FF000000"/>
      <name val="IBM Plex Mono"/>
      <family val="3"/>
    </font>
    <font>
      <sz val="8"/>
      <color rgb="FFFF0000"/>
      <name val="IBM Plex Mono"/>
      <family val="3"/>
    </font>
    <font>
      <b/>
      <sz val="8"/>
      <color theme="1"/>
      <name val="IBM Plex Mono"/>
      <family val="3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color rgb="FFFF0000"/>
      <name val="Calibri"/>
      <family val="2"/>
    </font>
    <font>
      <sz val="11"/>
      <color theme="1"/>
      <name val="Calibri"/>
      <family val="2"/>
    </font>
    <font>
      <b/>
      <sz val="14"/>
      <color theme="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rgb="FFFFFFFF"/>
      <name val="IBM Plex Mono"/>
      <family val="3"/>
    </font>
    <font>
      <sz val="11"/>
      <color rgb="FF444444"/>
      <name val="IBM Plex Mono"/>
      <family val="3"/>
    </font>
    <font>
      <b/>
      <sz val="12"/>
      <color rgb="FFFFFFFF"/>
      <name val="Calibri"/>
      <family val="2"/>
    </font>
    <font>
      <sz val="10"/>
      <color rgb="FFFFFFFF"/>
      <name val="Calibri"/>
      <family val="2"/>
    </font>
    <font>
      <b/>
      <sz val="11"/>
      <color rgb="FF000000"/>
      <name val="Calibri"/>
      <family val="2"/>
    </font>
    <font>
      <sz val="8"/>
      <color theme="1"/>
      <name val="Calibri"/>
      <family val="2"/>
    </font>
    <font>
      <b/>
      <sz val="11"/>
      <color rgb="FF000080"/>
      <name val="Calibri"/>
      <family val="2"/>
    </font>
    <font>
      <u/>
      <sz val="11"/>
      <color theme="10"/>
      <name val="IBM Plex Mono"/>
      <family val="3"/>
    </font>
    <font>
      <u/>
      <sz val="11"/>
      <color theme="10"/>
      <name val="IBM Plex Mono"/>
      <family val="3"/>
    </font>
    <font>
      <b/>
      <sz val="11"/>
      <color rgb="FFFFFFFF"/>
      <name val="IBM Plex Mono"/>
      <family val="3"/>
    </font>
    <font>
      <vertAlign val="subscript"/>
      <sz val="11"/>
      <color rgb="FF000000"/>
      <name val="IBM Plex Mono"/>
      <family val="3"/>
    </font>
    <font>
      <b/>
      <vertAlign val="subscript"/>
      <sz val="11"/>
      <color rgb="FF000000"/>
      <name val="IBM Plex Mono"/>
      <family val="3"/>
    </font>
    <font>
      <b/>
      <i/>
      <sz val="11"/>
      <color rgb="FF000000"/>
      <name val="IBM Plex Mono"/>
      <family val="3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C6294"/>
        <bgColor rgb="FF1C6294"/>
      </patternFill>
    </fill>
    <fill>
      <patternFill patternType="solid">
        <fgColor rgb="FFA3CEED"/>
        <bgColor rgb="FFA3CEED"/>
      </patternFill>
    </fill>
    <fill>
      <patternFill patternType="solid">
        <fgColor rgb="FFFFFF00"/>
        <bgColor rgb="FFFFFF00"/>
      </patternFill>
    </fill>
    <fill>
      <patternFill patternType="solid">
        <fgColor rgb="FFE6EEF0"/>
        <bgColor rgb="FFE6EEF0"/>
      </patternFill>
    </fill>
    <fill>
      <patternFill patternType="solid">
        <fgColor theme="5"/>
        <bgColor theme="5"/>
      </patternFill>
    </fill>
    <fill>
      <patternFill patternType="solid">
        <fgColor rgb="FF398F98"/>
        <bgColor rgb="FF398F98"/>
      </patternFill>
    </fill>
    <fill>
      <patternFill patternType="solid">
        <fgColor rgb="FFC6EFCE"/>
        <bgColor rgb="FFC6EFCE"/>
      </patternFill>
    </fill>
    <fill>
      <patternFill patternType="solid">
        <fgColor rgb="FF75B5E4"/>
        <bgColor rgb="FF75B5E4"/>
      </patternFill>
    </fill>
    <fill>
      <patternFill patternType="solid">
        <fgColor rgb="FFC7E4DB"/>
        <bgColor rgb="FFC7E4DB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BCE1E5"/>
        <bgColor rgb="FFBCE1E5"/>
      </patternFill>
    </fill>
    <fill>
      <patternFill patternType="solid">
        <fgColor rgb="FFACD7CA"/>
        <bgColor rgb="FFACD7CA"/>
      </patternFill>
    </fill>
    <fill>
      <patternFill patternType="solid">
        <fgColor rgb="FFBDD7EE"/>
        <bgColor rgb="FFBDD7EE"/>
      </patternFill>
    </fill>
    <fill>
      <patternFill patternType="solid">
        <fgColor rgb="FFFFFF99"/>
        <bgColor rgb="FFFFFF99"/>
      </patternFill>
    </fill>
    <fill>
      <patternFill patternType="solid">
        <fgColor rgb="FFFFC000"/>
        <bgColor rgb="FFFFC000"/>
      </patternFill>
    </fill>
    <fill>
      <patternFill patternType="solid">
        <fgColor rgb="FF4A9B82"/>
        <bgColor rgb="FF4A9B82"/>
      </patternFill>
    </fill>
    <fill>
      <patternFill patternType="solid">
        <fgColor rgb="FFF9F9F9"/>
        <bgColor rgb="FFF9F9F9"/>
      </patternFill>
    </fill>
    <fill>
      <patternFill patternType="solid">
        <fgColor rgb="FFD8D8D8"/>
        <bgColor rgb="FFD8D8D8"/>
      </patternFill>
    </fill>
    <fill>
      <patternFill patternType="solid">
        <fgColor theme="6"/>
        <bgColor theme="6"/>
      </patternFill>
    </fill>
    <fill>
      <patternFill patternType="solid">
        <fgColor rgb="FF800080"/>
        <bgColor rgb="FF800080"/>
      </patternFill>
    </fill>
    <fill>
      <patternFill patternType="solid">
        <fgColor rgb="FFC0C0C0"/>
        <bgColor rgb="FFC0C0C0"/>
      </patternFill>
    </fill>
    <fill>
      <patternFill patternType="solid">
        <fgColor rgb="FFE4E7E8"/>
        <bgColor rgb="FFE4E7E8"/>
      </patternFill>
    </fill>
    <fill>
      <patternFill patternType="solid">
        <fgColor rgb="FFB5CDD3"/>
        <bgColor rgb="FFB5CDD3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D1E6F6"/>
        <bgColor rgb="FFD1E6F6"/>
      </patternFill>
    </fill>
    <fill>
      <patternFill patternType="solid">
        <fgColor rgb="FFCDDDE1"/>
        <bgColor rgb="FFCDDDE1"/>
      </patternFill>
    </fill>
    <fill>
      <patternFill patternType="solid">
        <fgColor rgb="FFC9D0D1"/>
        <bgColor rgb="FFC9D0D1"/>
      </patternFill>
    </fill>
    <fill>
      <patternFill patternType="solid">
        <fgColor rgb="FFDDF0F2"/>
        <bgColor rgb="FFDDF0F2"/>
      </patternFill>
    </fill>
  </fills>
  <borders count="10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9" fontId="36" fillId="0" borderId="0" applyFont="0" applyFill="0" applyBorder="0" applyAlignment="0" applyProtection="0"/>
  </cellStyleXfs>
  <cellXfs count="583">
    <xf numFmtId="0" fontId="0" fillId="0" borderId="0" xfId="0" applyFont="1" applyAlignment="1"/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/>
    <xf numFmtId="0" fontId="4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9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vertical="center"/>
    </xf>
    <xf numFmtId="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vertical="center"/>
    </xf>
    <xf numFmtId="1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9" fontId="1" fillId="0" borderId="0" xfId="0" applyNumberFormat="1" applyFont="1" applyAlignment="1">
      <alignment vertical="center"/>
    </xf>
    <xf numFmtId="0" fontId="4" fillId="3" borderId="1" xfId="0" applyFont="1" applyFill="1" applyBorder="1" applyAlignment="1">
      <alignment vertical="center"/>
    </xf>
    <xf numFmtId="4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1" fontId="5" fillId="3" borderId="1" xfId="0" applyNumberFormat="1" applyFont="1" applyFill="1" applyBorder="1" applyAlignment="1">
      <alignment horizontal="center" vertical="center"/>
    </xf>
    <xf numFmtId="2" fontId="5" fillId="3" borderId="1" xfId="0" applyNumberFormat="1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10" fontId="4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10" fontId="4" fillId="3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1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0" fontId="2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1" fontId="1" fillId="6" borderId="1" xfId="0" applyNumberFormat="1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" fillId="0" borderId="0" xfId="0" applyNumberFormat="1" applyFont="1" applyAlignment="1">
      <alignment vertical="center"/>
    </xf>
    <xf numFmtId="1" fontId="5" fillId="3" borderId="1" xfId="0" applyNumberFormat="1" applyFont="1" applyFill="1" applyBorder="1" applyAlignment="1">
      <alignment vertical="center"/>
    </xf>
    <xf numFmtId="2" fontId="5" fillId="3" borderId="1" xfId="0" applyNumberFormat="1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0" fontId="2" fillId="4" borderId="1" xfId="0" applyFont="1" applyFill="1" applyBorder="1" applyAlignment="1">
      <alignment horizontal="left" vertical="center"/>
    </xf>
    <xf numFmtId="2" fontId="2" fillId="4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2" fontId="2" fillId="0" borderId="0" xfId="0" applyNumberFormat="1" applyFont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1" fontId="1" fillId="4" borderId="1" xfId="0" applyNumberFormat="1" applyFont="1" applyFill="1" applyBorder="1" applyAlignment="1">
      <alignment horizontal="center" vertical="center"/>
    </xf>
    <xf numFmtId="2" fontId="1" fillId="4" borderId="1" xfId="0" applyNumberFormat="1" applyFont="1" applyFill="1" applyBorder="1" applyAlignment="1">
      <alignment horizontal="center" vertical="center"/>
    </xf>
    <xf numFmtId="1" fontId="1" fillId="2" borderId="13" xfId="0" applyNumberFormat="1" applyFont="1" applyFill="1" applyBorder="1" applyAlignment="1">
      <alignment horizontal="center" vertical="center"/>
    </xf>
    <xf numFmtId="2" fontId="1" fillId="2" borderId="13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5" fillId="7" borderId="1" xfId="0" applyFont="1" applyFill="1" applyBorder="1" applyAlignment="1">
      <alignment vertical="center"/>
    </xf>
    <xf numFmtId="166" fontId="5" fillId="7" borderId="1" xfId="0" applyNumberFormat="1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3" fontId="1" fillId="0" borderId="0" xfId="0" applyNumberFormat="1" applyFont="1" applyAlignment="1">
      <alignment vertical="center"/>
    </xf>
    <xf numFmtId="166" fontId="5" fillId="7" borderId="1" xfId="0" applyNumberFormat="1" applyFont="1" applyFill="1" applyBorder="1" applyAlignment="1">
      <alignment horizontal="left" vertical="center"/>
    </xf>
    <xf numFmtId="166" fontId="5" fillId="2" borderId="1" xfId="0" applyNumberFormat="1" applyFont="1" applyFill="1" applyBorder="1" applyAlignment="1">
      <alignment horizontal="left" vertical="center"/>
    </xf>
    <xf numFmtId="166" fontId="2" fillId="2" borderId="1" xfId="0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2" fillId="0" borderId="0" xfId="0" applyFont="1" applyAlignment="1">
      <alignment vertical="center" wrapText="1"/>
    </xf>
    <xf numFmtId="2" fontId="1" fillId="0" borderId="0" xfId="0" applyNumberFormat="1" applyFont="1" applyAlignment="1">
      <alignment horizontal="right" vertical="center"/>
    </xf>
    <xf numFmtId="0" fontId="2" fillId="0" borderId="15" xfId="0" applyFont="1" applyBorder="1" applyAlignment="1">
      <alignment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vertical="center"/>
    </xf>
    <xf numFmtId="9" fontId="1" fillId="0" borderId="15" xfId="0" applyNumberFormat="1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2" fontId="5" fillId="3" borderId="1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2" fontId="1" fillId="5" borderId="1" xfId="0" applyNumberFormat="1" applyFont="1" applyFill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5" borderId="1" xfId="0" applyFont="1" applyFill="1" applyBorder="1" applyAlignment="1">
      <alignment vertical="center"/>
    </xf>
    <xf numFmtId="8" fontId="1" fillId="0" borderId="0" xfId="0" applyNumberFormat="1" applyFont="1" applyAlignment="1">
      <alignment vertical="center"/>
    </xf>
    <xf numFmtId="0" fontId="1" fillId="0" borderId="0" xfId="0" applyFont="1" applyAlignment="1">
      <alignment horizontal="right" vertical="center"/>
    </xf>
    <xf numFmtId="167" fontId="1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vertical="center"/>
    </xf>
    <xf numFmtId="168" fontId="1" fillId="0" borderId="0" xfId="0" applyNumberFormat="1" applyFont="1" applyAlignment="1">
      <alignment vertical="center"/>
    </xf>
    <xf numFmtId="0" fontId="5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3" fontId="5" fillId="2" borderId="1" xfId="0" applyNumberFormat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15" xfId="0" applyFont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vertical="center" wrapText="1"/>
    </xf>
    <xf numFmtId="0" fontId="5" fillId="3" borderId="19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2" fontId="9" fillId="9" borderId="1" xfId="0" applyNumberFormat="1" applyFont="1" applyFill="1" applyBorder="1" applyAlignment="1">
      <alignment horizontal="center" vertical="center"/>
    </xf>
    <xf numFmtId="9" fontId="1" fillId="5" borderId="13" xfId="0" applyNumberFormat="1" applyFont="1" applyFill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9" fontId="5" fillId="3" borderId="1" xfId="0" applyNumberFormat="1" applyFont="1" applyFill="1" applyBorder="1" applyAlignment="1">
      <alignment horizontal="center" vertical="center"/>
    </xf>
    <xf numFmtId="44" fontId="1" fillId="0" borderId="0" xfId="0" applyNumberFormat="1" applyFont="1" applyAlignment="1">
      <alignment vertical="center"/>
    </xf>
    <xf numFmtId="38" fontId="1" fillId="0" borderId="0" xfId="0" applyNumberFormat="1" applyFont="1" applyAlignment="1">
      <alignment vertical="center"/>
    </xf>
    <xf numFmtId="38" fontId="5" fillId="3" borderId="1" xfId="0" applyNumberFormat="1" applyFont="1" applyFill="1" applyBorder="1" applyAlignment="1">
      <alignment horizontal="center" vertical="center"/>
    </xf>
    <xf numFmtId="3" fontId="1" fillId="0" borderId="21" xfId="0" applyNumberFormat="1" applyFont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13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1" fillId="0" borderId="15" xfId="0" applyFont="1" applyBorder="1" applyAlignment="1">
      <alignment vertical="center" wrapText="1"/>
    </xf>
    <xf numFmtId="0" fontId="1" fillId="2" borderId="13" xfId="0" applyFont="1" applyFill="1" applyBorder="1" applyAlignment="1">
      <alignment horizontal="left" vertical="center"/>
    </xf>
    <xf numFmtId="0" fontId="2" fillId="0" borderId="15" xfId="0" applyFont="1" applyBorder="1" applyAlignment="1">
      <alignment horizontal="center" vertical="center"/>
    </xf>
    <xf numFmtId="1" fontId="1" fillId="0" borderId="15" xfId="0" applyNumberFormat="1" applyFont="1" applyBorder="1" applyAlignment="1">
      <alignment horizontal="center" vertical="center"/>
    </xf>
    <xf numFmtId="0" fontId="1" fillId="10" borderId="1" xfId="0" applyFont="1" applyFill="1" applyBorder="1" applyAlignment="1">
      <alignment vertical="center"/>
    </xf>
    <xf numFmtId="1" fontId="1" fillId="10" borderId="1" xfId="0" applyNumberFormat="1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15" xfId="0" applyNumberFormat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left" vertical="center" wrapText="1"/>
    </xf>
    <xf numFmtId="1" fontId="2" fillId="11" borderId="1" xfId="0" applyNumberFormat="1" applyFont="1" applyFill="1" applyBorder="1" applyAlignment="1">
      <alignment horizontal="center" vertical="center" wrapText="1"/>
    </xf>
    <xf numFmtId="2" fontId="1" fillId="11" borderId="1" xfId="0" applyNumberFormat="1" applyFont="1" applyFill="1" applyBorder="1" applyAlignment="1">
      <alignment horizontal="center" vertical="center"/>
    </xf>
    <xf numFmtId="2" fontId="2" fillId="11" borderId="1" xfId="0" applyNumberFormat="1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left" vertical="center"/>
    </xf>
    <xf numFmtId="1" fontId="1" fillId="11" borderId="1" xfId="0" applyNumberFormat="1" applyFont="1" applyFill="1" applyBorder="1" applyAlignment="1">
      <alignment horizontal="center" vertical="center"/>
    </xf>
    <xf numFmtId="2" fontId="2" fillId="11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 wrapText="1"/>
    </xf>
    <xf numFmtId="2" fontId="11" fillId="4" borderId="1" xfId="0" applyNumberFormat="1" applyFont="1" applyFill="1" applyBorder="1" applyAlignment="1">
      <alignment horizontal="center" vertical="center" wrapText="1"/>
    </xf>
    <xf numFmtId="1" fontId="12" fillId="4" borderId="1" xfId="0" applyNumberFormat="1" applyFont="1" applyFill="1" applyBorder="1" applyAlignment="1">
      <alignment horizontal="center" vertical="center" wrapText="1"/>
    </xf>
    <xf numFmtId="1" fontId="11" fillId="0" borderId="0" xfId="0" applyNumberFormat="1" applyFont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2" fontId="12" fillId="0" borderId="0" xfId="0" applyNumberFormat="1" applyFont="1" applyAlignment="1">
      <alignment horizontal="center" vertical="center" wrapText="1"/>
    </xf>
    <xf numFmtId="1" fontId="12" fillId="0" borderId="0" xfId="0" applyNumberFormat="1" applyFont="1" applyAlignment="1">
      <alignment horizontal="center" vertical="center" wrapText="1"/>
    </xf>
    <xf numFmtId="1" fontId="11" fillId="4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1" fontId="1" fillId="5" borderId="1" xfId="0" applyNumberFormat="1" applyFont="1" applyFill="1" applyBorder="1" applyAlignment="1">
      <alignment horizontal="center" vertical="center"/>
    </xf>
    <xf numFmtId="1" fontId="9" fillId="5" borderId="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2" fontId="2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1" fontId="5" fillId="3" borderId="1" xfId="0" applyNumberFormat="1" applyFont="1" applyFill="1" applyBorder="1" applyAlignment="1">
      <alignment horizontal="left" vertical="center"/>
    </xf>
    <xf numFmtId="2" fontId="1" fillId="5" borderId="1" xfId="0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1" fontId="2" fillId="4" borderId="1" xfId="0" applyNumberFormat="1" applyFont="1" applyFill="1" applyBorder="1" applyAlignment="1">
      <alignment horizontal="center" vertical="center"/>
    </xf>
    <xf numFmtId="4" fontId="2" fillId="4" borderId="1" xfId="0" applyNumberFormat="1" applyFont="1" applyFill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2" fontId="12" fillId="0" borderId="0" xfId="0" applyNumberFormat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0" fontId="2" fillId="12" borderId="1" xfId="0" applyFont="1" applyFill="1" applyBorder="1" applyAlignment="1">
      <alignment horizontal="left" vertical="center"/>
    </xf>
    <xf numFmtId="2" fontId="2" fillId="12" borderId="1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2" fontId="10" fillId="0" borderId="0" xfId="0" applyNumberFormat="1" applyFont="1" applyAlignment="1">
      <alignment horizontal="center" vertical="center"/>
    </xf>
    <xf numFmtId="0" fontId="5" fillId="3" borderId="26" xfId="0" applyFont="1" applyFill="1" applyBorder="1" applyAlignment="1">
      <alignment vertical="center"/>
    </xf>
    <xf numFmtId="0" fontId="5" fillId="3" borderId="26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left" vertical="center"/>
    </xf>
    <xf numFmtId="1" fontId="1" fillId="0" borderId="26" xfId="0" applyNumberFormat="1" applyFont="1" applyBorder="1" applyAlignment="1">
      <alignment horizontal="center" vertical="center"/>
    </xf>
    <xf numFmtId="2" fontId="1" fillId="0" borderId="26" xfId="0" applyNumberFormat="1" applyFont="1" applyBorder="1" applyAlignment="1">
      <alignment horizontal="center" vertical="center"/>
    </xf>
    <xf numFmtId="2" fontId="2" fillId="0" borderId="26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3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0" fontId="15" fillId="13" borderId="28" xfId="0" applyFont="1" applyFill="1" applyBorder="1"/>
    <xf numFmtId="0" fontId="15" fillId="13" borderId="29" xfId="0" applyFont="1" applyFill="1" applyBorder="1" applyAlignment="1">
      <alignment wrapText="1"/>
    </xf>
    <xf numFmtId="0" fontId="15" fillId="13" borderId="30" xfId="0" applyFont="1" applyFill="1" applyBorder="1" applyAlignment="1">
      <alignment wrapText="1"/>
    </xf>
    <xf numFmtId="0" fontId="16" fillId="14" borderId="31" xfId="0" applyFont="1" applyFill="1" applyBorder="1"/>
    <xf numFmtId="0" fontId="16" fillId="14" borderId="32" xfId="0" applyFont="1" applyFill="1" applyBorder="1" applyAlignment="1">
      <alignment wrapText="1"/>
    </xf>
    <xf numFmtId="0" fontId="16" fillId="14" borderId="32" xfId="0" applyFont="1" applyFill="1" applyBorder="1"/>
    <xf numFmtId="0" fontId="16" fillId="14" borderId="33" xfId="0" applyFont="1" applyFill="1" applyBorder="1"/>
    <xf numFmtId="2" fontId="1" fillId="10" borderId="1" xfId="0" applyNumberFormat="1" applyFont="1" applyFill="1" applyBorder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172" fontId="1" fillId="0" borderId="0" xfId="0" applyNumberFormat="1" applyFont="1" applyAlignment="1">
      <alignment vertical="center"/>
    </xf>
    <xf numFmtId="173" fontId="1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2" fillId="15" borderId="1" xfId="0" applyFont="1" applyFill="1" applyBorder="1" applyAlignment="1">
      <alignment horizontal="left" vertical="center" wrapText="1"/>
    </xf>
    <xf numFmtId="2" fontId="1" fillId="15" borderId="1" xfId="0" applyNumberFormat="1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left" vertical="center" wrapText="1"/>
    </xf>
    <xf numFmtId="2" fontId="1" fillId="16" borderId="1" xfId="0" applyNumberFormat="1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left" vertical="center" wrapText="1"/>
    </xf>
    <xf numFmtId="2" fontId="1" fillId="17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2" fontId="1" fillId="18" borderId="1" xfId="0" applyNumberFormat="1" applyFont="1" applyFill="1" applyBorder="1" applyAlignment="1">
      <alignment horizontal="center" vertical="center"/>
    </xf>
    <xf numFmtId="10" fontId="1" fillId="3" borderId="1" xfId="0" applyNumberFormat="1" applyFont="1" applyFill="1" applyBorder="1" applyAlignment="1">
      <alignment horizontal="center" vertical="center"/>
    </xf>
    <xf numFmtId="10" fontId="1" fillId="18" borderId="1" xfId="0" applyNumberFormat="1" applyFont="1" applyFill="1" applyBorder="1" applyAlignment="1">
      <alignment horizontal="center" vertical="center"/>
    </xf>
    <xf numFmtId="165" fontId="10" fillId="0" borderId="0" xfId="0" applyNumberFormat="1" applyFont="1" applyAlignment="1">
      <alignment vertical="center"/>
    </xf>
    <xf numFmtId="165" fontId="1" fillId="3" borderId="1" xfId="0" applyNumberFormat="1" applyFont="1" applyFill="1" applyBorder="1" applyAlignment="1">
      <alignment horizontal="center" vertical="center"/>
    </xf>
    <xf numFmtId="0" fontId="1" fillId="18" borderId="1" xfId="0" applyFont="1" applyFill="1" applyBorder="1" applyAlignment="1">
      <alignment horizontal="center" vertical="center"/>
    </xf>
    <xf numFmtId="174" fontId="1" fillId="4" borderId="1" xfId="0" applyNumberFormat="1" applyFont="1" applyFill="1" applyBorder="1" applyAlignment="1">
      <alignment vertical="center"/>
    </xf>
    <xf numFmtId="10" fontId="10" fillId="0" borderId="0" xfId="0" applyNumberFormat="1" applyFont="1" applyAlignment="1">
      <alignment vertical="center"/>
    </xf>
    <xf numFmtId="2" fontId="14" fillId="0" borderId="0" xfId="0" applyNumberFormat="1" applyFont="1" applyAlignment="1">
      <alignment vertical="center"/>
    </xf>
    <xf numFmtId="0" fontId="10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74" fontId="1" fillId="4" borderId="1" xfId="0" applyNumberFormat="1" applyFont="1" applyFill="1" applyBorder="1" applyAlignment="1">
      <alignment horizontal="center" vertical="center"/>
    </xf>
    <xf numFmtId="174" fontId="1" fillId="0" borderId="0" xfId="0" applyNumberFormat="1" applyFont="1" applyAlignment="1">
      <alignment horizontal="center" vertical="center"/>
    </xf>
    <xf numFmtId="2" fontId="9" fillId="5" borderId="1" xfId="0" applyNumberFormat="1" applyFont="1" applyFill="1" applyBorder="1" applyAlignment="1">
      <alignment horizontal="center" vertical="center"/>
    </xf>
    <xf numFmtId="175" fontId="1" fillId="0" borderId="0" xfId="0" applyNumberFormat="1" applyFont="1" applyAlignment="1">
      <alignment horizontal="right" vertical="center"/>
    </xf>
    <xf numFmtId="2" fontId="1" fillId="3" borderId="1" xfId="0" applyNumberFormat="1" applyFont="1" applyFill="1" applyBorder="1" applyAlignment="1">
      <alignment vertical="center"/>
    </xf>
    <xf numFmtId="2" fontId="4" fillId="3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10" fillId="5" borderId="1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 readingOrder="1"/>
    </xf>
    <xf numFmtId="0" fontId="17" fillId="0" borderId="0" xfId="0" applyFont="1" applyAlignment="1">
      <alignment vertical="center"/>
    </xf>
    <xf numFmtId="0" fontId="1" fillId="5" borderId="1" xfId="0" applyFont="1" applyFill="1" applyBorder="1" applyAlignment="1">
      <alignment horizontal="right" vertical="center"/>
    </xf>
    <xf numFmtId="8" fontId="1" fillId="0" borderId="0" xfId="0" applyNumberFormat="1" applyFont="1" applyAlignment="1">
      <alignment horizontal="center" vertical="center"/>
    </xf>
    <xf numFmtId="0" fontId="1" fillId="14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9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  <xf numFmtId="0" fontId="21" fillId="3" borderId="1" xfId="0" applyFont="1" applyFill="1" applyBorder="1" applyAlignment="1">
      <alignment horizontal="left" vertical="center"/>
    </xf>
    <xf numFmtId="0" fontId="21" fillId="3" borderId="1" xfId="0" applyFont="1" applyFill="1" applyBorder="1" applyAlignment="1">
      <alignment horizontal="center" vertical="center"/>
    </xf>
    <xf numFmtId="0" fontId="18" fillId="0" borderId="15" xfId="0" applyFont="1" applyBorder="1" applyAlignment="1">
      <alignment horizontal="left" vertical="center"/>
    </xf>
    <xf numFmtId="2" fontId="18" fillId="0" borderId="15" xfId="0" applyNumberFormat="1" applyFont="1" applyBorder="1" applyAlignment="1">
      <alignment horizontal="center" vertical="center"/>
    </xf>
    <xf numFmtId="0" fontId="22" fillId="4" borderId="1" xfId="0" applyFont="1" applyFill="1" applyBorder="1" applyAlignment="1">
      <alignment horizontal="left" vertical="center"/>
    </xf>
    <xf numFmtId="2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0" fontId="18" fillId="14" borderId="13" xfId="0" applyFont="1" applyFill="1" applyBorder="1" applyAlignment="1">
      <alignment horizontal="left" vertical="center"/>
    </xf>
    <xf numFmtId="2" fontId="18" fillId="14" borderId="13" xfId="0" applyNumberFormat="1" applyFont="1" applyFill="1" applyBorder="1" applyAlignment="1">
      <alignment horizontal="center" vertical="center"/>
    </xf>
    <xf numFmtId="0" fontId="18" fillId="14" borderId="1" xfId="0" applyFont="1" applyFill="1" applyBorder="1" applyAlignment="1">
      <alignment horizontal="left" vertical="center"/>
    </xf>
    <xf numFmtId="0" fontId="18" fillId="14" borderId="1" xfId="0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174" fontId="1" fillId="0" borderId="0" xfId="0" applyNumberFormat="1" applyFont="1" applyAlignment="1">
      <alignment horizontal="left" vertical="center"/>
    </xf>
    <xf numFmtId="0" fontId="1" fillId="14" borderId="1" xfId="0" applyFont="1" applyFill="1" applyBorder="1" applyAlignment="1">
      <alignment horizontal="left" vertical="center" wrapText="1"/>
    </xf>
    <xf numFmtId="1" fontId="1" fillId="14" borderId="1" xfId="0" applyNumberFormat="1" applyFont="1" applyFill="1" applyBorder="1" applyAlignment="1">
      <alignment horizontal="center" vertical="center" wrapText="1"/>
    </xf>
    <xf numFmtId="10" fontId="1" fillId="5" borderId="1" xfId="0" applyNumberFormat="1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left" vertical="center" wrapText="1"/>
    </xf>
    <xf numFmtId="1" fontId="1" fillId="21" borderId="1" xfId="0" applyNumberFormat="1" applyFont="1" applyFill="1" applyBorder="1" applyAlignment="1">
      <alignment horizontal="center" vertical="center" wrapText="1"/>
    </xf>
    <xf numFmtId="174" fontId="1" fillId="21" borderId="1" xfId="0" applyNumberFormat="1" applyFont="1" applyFill="1" applyBorder="1" applyAlignment="1">
      <alignment horizontal="left" vertical="center" wrapText="1"/>
    </xf>
    <xf numFmtId="174" fontId="1" fillId="14" borderId="1" xfId="0" applyNumberFormat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right" vertical="center"/>
    </xf>
    <xf numFmtId="10" fontId="2" fillId="4" borderId="1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1" fillId="0" borderId="0" xfId="0" applyFont="1" applyAlignment="1">
      <alignment horizontal="right" vertical="center"/>
    </xf>
    <xf numFmtId="0" fontId="11" fillId="10" borderId="1" xfId="0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11" fillId="10" borderId="1" xfId="0" applyFont="1" applyFill="1" applyBorder="1" applyAlignment="1">
      <alignment vertical="center"/>
    </xf>
    <xf numFmtId="2" fontId="2" fillId="10" borderId="1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center" vertical="center"/>
    </xf>
    <xf numFmtId="10" fontId="1" fillId="4" borderId="1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left" vertical="center" wrapText="1"/>
    </xf>
    <xf numFmtId="0" fontId="1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vertical="center" wrapText="1"/>
    </xf>
    <xf numFmtId="10" fontId="12" fillId="14" borderId="1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 readingOrder="1"/>
    </xf>
    <xf numFmtId="9" fontId="9" fillId="0" borderId="0" xfId="0" applyNumberFormat="1" applyFont="1" applyAlignment="1">
      <alignment horizontal="center" vertical="center"/>
    </xf>
    <xf numFmtId="0" fontId="1" fillId="16" borderId="1" xfId="0" applyFont="1" applyFill="1" applyBorder="1" applyAlignment="1">
      <alignment horizontal="left" vertical="center"/>
    </xf>
    <xf numFmtId="10" fontId="1" fillId="2" borderId="1" xfId="0" applyNumberFormat="1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177" fontId="1" fillId="0" borderId="0" xfId="0" applyNumberFormat="1" applyFont="1" applyAlignment="1">
      <alignment vertical="center"/>
    </xf>
    <xf numFmtId="2" fontId="2" fillId="16" borderId="1" xfId="0" applyNumberFormat="1" applyFont="1" applyFill="1" applyBorder="1" applyAlignment="1">
      <alignment horizontal="center" vertical="center"/>
    </xf>
    <xf numFmtId="9" fontId="2" fillId="16" borderId="1" xfId="0" applyNumberFormat="1" applyFont="1" applyFill="1" applyBorder="1" applyAlignment="1">
      <alignment horizontal="center" vertical="center"/>
    </xf>
    <xf numFmtId="10" fontId="2" fillId="16" borderId="1" xfId="0" applyNumberFormat="1" applyFont="1" applyFill="1" applyBorder="1" applyAlignment="1">
      <alignment horizontal="center" vertical="center"/>
    </xf>
    <xf numFmtId="0" fontId="25" fillId="24" borderId="36" xfId="0" applyFont="1" applyFill="1" applyBorder="1" applyAlignment="1">
      <alignment horizontal="left" vertical="center"/>
    </xf>
    <xf numFmtId="0" fontId="26" fillId="24" borderId="36" xfId="0" applyFont="1" applyFill="1" applyBorder="1" applyAlignment="1">
      <alignment horizontal="right" vertical="center"/>
    </xf>
    <xf numFmtId="0" fontId="25" fillId="24" borderId="13" xfId="0" applyFont="1" applyFill="1" applyBorder="1" applyAlignment="1">
      <alignment horizontal="left" vertical="center"/>
    </xf>
    <xf numFmtId="0" fontId="26" fillId="24" borderId="13" xfId="0" applyFont="1" applyFill="1" applyBorder="1" applyAlignment="1">
      <alignment horizontal="right" vertical="center"/>
    </xf>
    <xf numFmtId="0" fontId="27" fillId="25" borderId="1" xfId="0" applyFont="1" applyFill="1" applyBorder="1" applyAlignment="1">
      <alignment horizontal="left" vertical="center"/>
    </xf>
    <xf numFmtId="0" fontId="28" fillId="0" borderId="0" xfId="0" applyFont="1" applyAlignment="1">
      <alignment vertical="center" wrapText="1"/>
    </xf>
    <xf numFmtId="0" fontId="29" fillId="25" borderId="37" xfId="0" applyFont="1" applyFill="1" applyBorder="1" applyAlignment="1">
      <alignment horizontal="left" vertical="center"/>
    </xf>
    <xf numFmtId="0" fontId="18" fillId="0" borderId="24" xfId="0" applyFont="1" applyBorder="1" applyAlignment="1">
      <alignment vertical="center"/>
    </xf>
    <xf numFmtId="1" fontId="18" fillId="25" borderId="1" xfId="0" applyNumberFormat="1" applyFont="1" applyFill="1" applyBorder="1" applyAlignment="1">
      <alignment horizontal="center" vertical="center"/>
    </xf>
    <xf numFmtId="2" fontId="18" fillId="25" borderId="1" xfId="0" applyNumberFormat="1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171" fontId="18" fillId="0" borderId="0" xfId="0" applyNumberFormat="1" applyFont="1" applyAlignment="1">
      <alignment horizontal="center" vertical="center"/>
    </xf>
    <xf numFmtId="0" fontId="27" fillId="25" borderId="38" xfId="0" applyFont="1" applyFill="1" applyBorder="1" applyAlignment="1">
      <alignment horizontal="left" vertical="center"/>
    </xf>
    <xf numFmtId="10" fontId="18" fillId="0" borderId="39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1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10" fontId="1" fillId="0" borderId="0" xfId="0" applyNumberFormat="1" applyFont="1" applyAlignment="1">
      <alignment horizontal="center" vertical="center" wrapText="1"/>
    </xf>
    <xf numFmtId="10" fontId="1" fillId="5" borderId="1" xfId="0" applyNumberFormat="1" applyFont="1" applyFill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26" xfId="0" applyFont="1" applyBorder="1" applyAlignment="1">
      <alignment vertical="center" wrapText="1"/>
    </xf>
    <xf numFmtId="2" fontId="1" fillId="0" borderId="26" xfId="0" applyNumberFormat="1" applyFont="1" applyBorder="1" applyAlignment="1">
      <alignment horizontal="center" vertical="center" wrapText="1"/>
    </xf>
    <xf numFmtId="0" fontId="2" fillId="26" borderId="26" xfId="0" applyFont="1" applyFill="1" applyBorder="1" applyAlignment="1">
      <alignment vertical="center" wrapText="1"/>
    </xf>
    <xf numFmtId="2" fontId="2" fillId="26" borderId="26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 wrapText="1"/>
    </xf>
    <xf numFmtId="0" fontId="1" fillId="7" borderId="1" xfId="0" applyFont="1" applyFill="1" applyBorder="1" applyAlignment="1">
      <alignment vertical="center" wrapText="1"/>
    </xf>
    <xf numFmtId="0" fontId="1" fillId="27" borderId="1" xfId="0" applyFont="1" applyFill="1" applyBorder="1" applyAlignment="1">
      <alignment vertical="center" wrapText="1"/>
    </xf>
    <xf numFmtId="2" fontId="1" fillId="27" borderId="1" xfId="0" applyNumberFormat="1" applyFont="1" applyFill="1" applyBorder="1" applyAlignment="1">
      <alignment horizontal="center" vertical="center" wrapText="1"/>
    </xf>
    <xf numFmtId="164" fontId="2" fillId="5" borderId="42" xfId="0" applyNumberFormat="1" applyFont="1" applyFill="1" applyBorder="1" applyAlignment="1">
      <alignment horizontal="center" vertical="center" wrapText="1"/>
    </xf>
    <xf numFmtId="2" fontId="2" fillId="5" borderId="43" xfId="0" applyNumberFormat="1" applyFont="1" applyFill="1" applyBorder="1" applyAlignment="1">
      <alignment horizontal="center" vertical="center" wrapText="1"/>
    </xf>
    <xf numFmtId="178" fontId="1" fillId="0" borderId="0" xfId="0" applyNumberFormat="1" applyFont="1" applyAlignment="1">
      <alignment horizontal="center" vertical="center" wrapText="1"/>
    </xf>
    <xf numFmtId="172" fontId="1" fillId="0" borderId="0" xfId="0" applyNumberFormat="1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vertical="center" wrapText="1"/>
    </xf>
    <xf numFmtId="0" fontId="1" fillId="4" borderId="26" xfId="0" applyFont="1" applyFill="1" applyBorder="1" applyAlignment="1">
      <alignment horizontal="center" vertical="center" wrapText="1"/>
    </xf>
    <xf numFmtId="179" fontId="1" fillId="0" borderId="26" xfId="0" applyNumberFormat="1" applyFont="1" applyBorder="1" applyAlignment="1">
      <alignment vertical="center" wrapText="1"/>
    </xf>
    <xf numFmtId="9" fontId="1" fillId="29" borderId="26" xfId="0" applyNumberFormat="1" applyFont="1" applyFill="1" applyBorder="1" applyAlignment="1">
      <alignment horizontal="center" vertical="center" wrapText="1"/>
    </xf>
    <xf numFmtId="179" fontId="1" fillId="0" borderId="26" xfId="0" applyNumberFormat="1" applyFont="1" applyBorder="1" applyAlignment="1">
      <alignment horizontal="center" vertical="center" wrapText="1"/>
    </xf>
    <xf numFmtId="170" fontId="1" fillId="0" borderId="26" xfId="0" applyNumberFormat="1" applyFont="1" applyBorder="1" applyAlignment="1">
      <alignment vertical="center" wrapText="1"/>
    </xf>
    <xf numFmtId="179" fontId="1" fillId="0" borderId="0" xfId="0" applyNumberFormat="1" applyFont="1" applyAlignment="1">
      <alignment vertical="center" wrapText="1"/>
    </xf>
    <xf numFmtId="180" fontId="1" fillId="0" borderId="0" xfId="0" applyNumberFormat="1" applyFont="1" applyAlignment="1">
      <alignment vertical="center" wrapText="1"/>
    </xf>
    <xf numFmtId="181" fontId="1" fillId="0" borderId="0" xfId="0" applyNumberFormat="1" applyFont="1" applyAlignment="1">
      <alignment vertical="center" wrapText="1"/>
    </xf>
    <xf numFmtId="9" fontId="1" fillId="0" borderId="26" xfId="0" applyNumberFormat="1" applyFont="1" applyBorder="1" applyAlignment="1">
      <alignment horizontal="center" vertical="center" wrapText="1"/>
    </xf>
    <xf numFmtId="9" fontId="2" fillId="5" borderId="42" xfId="0" applyNumberFormat="1" applyFont="1" applyFill="1" applyBorder="1" applyAlignment="1">
      <alignment horizontal="center" vertical="center" wrapText="1"/>
    </xf>
    <xf numFmtId="2" fontId="2" fillId="5" borderId="37" xfId="0" applyNumberFormat="1" applyFont="1" applyFill="1" applyBorder="1" applyAlignment="1">
      <alignment horizontal="center" vertical="center" wrapText="1"/>
    </xf>
    <xf numFmtId="182" fontId="2" fillId="5" borderId="43" xfId="0" applyNumberFormat="1" applyFont="1" applyFill="1" applyBorder="1" applyAlignment="1">
      <alignment horizontal="center" vertical="center" wrapText="1"/>
    </xf>
    <xf numFmtId="10" fontId="1" fillId="0" borderId="26" xfId="0" applyNumberFormat="1" applyFont="1" applyBorder="1" applyAlignment="1">
      <alignment horizontal="center" vertical="center" wrapText="1"/>
    </xf>
    <xf numFmtId="178" fontId="1" fillId="0" borderId="26" xfId="0" applyNumberFormat="1" applyFont="1" applyBorder="1" applyAlignment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183" fontId="1" fillId="0" borderId="0" xfId="0" applyNumberFormat="1" applyFont="1" applyAlignment="1">
      <alignment vertical="center" wrapText="1"/>
    </xf>
    <xf numFmtId="183" fontId="5" fillId="3" borderId="1" xfId="0" applyNumberFormat="1" applyFont="1" applyFill="1" applyBorder="1" applyAlignment="1">
      <alignment vertical="center" wrapText="1"/>
    </xf>
    <xf numFmtId="2" fontId="1" fillId="0" borderId="15" xfId="0" applyNumberFormat="1" applyFont="1" applyBorder="1" applyAlignment="1">
      <alignment vertical="center" wrapText="1"/>
    </xf>
    <xf numFmtId="172" fontId="5" fillId="3" borderId="1" xfId="0" applyNumberFormat="1" applyFont="1" applyFill="1" applyBorder="1" applyAlignment="1">
      <alignment vertical="center" wrapText="1"/>
    </xf>
    <xf numFmtId="172" fontId="2" fillId="0" borderId="0" xfId="0" applyNumberFormat="1" applyFont="1" applyAlignment="1">
      <alignment vertical="center" wrapText="1"/>
    </xf>
    <xf numFmtId="2" fontId="1" fillId="0" borderId="15" xfId="0" applyNumberFormat="1" applyFont="1" applyBorder="1" applyAlignment="1">
      <alignment horizontal="center" vertical="center" wrapText="1"/>
    </xf>
    <xf numFmtId="3" fontId="1" fillId="0" borderId="26" xfId="0" applyNumberFormat="1" applyFont="1" applyBorder="1" applyAlignment="1">
      <alignment horizontal="center" vertical="center" wrapText="1"/>
    </xf>
    <xf numFmtId="2" fontId="2" fillId="4" borderId="1" xfId="0" applyNumberFormat="1" applyFont="1" applyFill="1" applyBorder="1" applyAlignment="1">
      <alignment horizontal="center" vertical="center" wrapText="1"/>
    </xf>
    <xf numFmtId="178" fontId="1" fillId="0" borderId="0" xfId="0" applyNumberFormat="1" applyFont="1" applyAlignment="1">
      <alignment vertical="center" wrapText="1"/>
    </xf>
    <xf numFmtId="0" fontId="1" fillId="0" borderId="54" xfId="0" applyFont="1" applyBorder="1" applyAlignment="1">
      <alignment horizontal="left" vertical="center"/>
    </xf>
    <xf numFmtId="0" fontId="1" fillId="0" borderId="55" xfId="0" applyFont="1" applyBorder="1" applyAlignment="1">
      <alignment horizontal="left" vertical="center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49" fontId="1" fillId="0" borderId="26" xfId="0" applyNumberFormat="1" applyFont="1" applyBorder="1" applyAlignment="1">
      <alignment horizontal="center" vertical="center"/>
    </xf>
    <xf numFmtId="10" fontId="1" fillId="0" borderId="26" xfId="0" applyNumberFormat="1" applyFont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2" fontId="1" fillId="31" borderId="26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2" fontId="1" fillId="0" borderId="67" xfId="0" applyNumberFormat="1" applyFont="1" applyBorder="1" applyAlignment="1">
      <alignment horizontal="center" vertical="center"/>
    </xf>
    <xf numFmtId="2" fontId="1" fillId="5" borderId="26" xfId="0" applyNumberFormat="1" applyFont="1" applyFill="1" applyBorder="1" applyAlignment="1">
      <alignment horizontal="center" vertical="center"/>
    </xf>
    <xf numFmtId="184" fontId="1" fillId="0" borderId="0" xfId="0" applyNumberFormat="1" applyFont="1" applyAlignment="1">
      <alignment vertical="center"/>
    </xf>
    <xf numFmtId="185" fontId="1" fillId="0" borderId="0" xfId="0" applyNumberFormat="1" applyFont="1" applyAlignment="1">
      <alignment vertical="center"/>
    </xf>
    <xf numFmtId="0" fontId="1" fillId="0" borderId="68" xfId="0" applyFont="1" applyBorder="1" applyAlignment="1">
      <alignment horizontal="center" vertical="center"/>
    </xf>
    <xf numFmtId="2" fontId="1" fillId="0" borderId="69" xfId="0" applyNumberFormat="1" applyFont="1" applyBorder="1" applyAlignment="1">
      <alignment horizontal="center" vertical="center"/>
    </xf>
    <xf numFmtId="2" fontId="1" fillId="0" borderId="7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3" borderId="73" xfId="0" applyFont="1" applyFill="1" applyBorder="1" applyAlignment="1">
      <alignment horizontal="center" vertical="center"/>
    </xf>
    <xf numFmtId="9" fontId="1" fillId="5" borderId="76" xfId="0" applyNumberFormat="1" applyFont="1" applyFill="1" applyBorder="1" applyAlignment="1">
      <alignment horizontal="center" vertical="center"/>
    </xf>
    <xf numFmtId="0" fontId="5" fillId="3" borderId="68" xfId="0" applyFont="1" applyFill="1" applyBorder="1" applyAlignment="1">
      <alignment horizontal="center" vertical="center"/>
    </xf>
    <xf numFmtId="0" fontId="1" fillId="0" borderId="79" xfId="0" applyFont="1" applyBorder="1" applyAlignment="1">
      <alignment horizontal="center" vertical="center"/>
    </xf>
    <xf numFmtId="2" fontId="1" fillId="0" borderId="27" xfId="0" applyNumberFormat="1" applyFont="1" applyBorder="1" applyAlignment="1">
      <alignment horizontal="center" vertical="center"/>
    </xf>
    <xf numFmtId="2" fontId="1" fillId="0" borderId="66" xfId="0" applyNumberFormat="1" applyFont="1" applyBorder="1" applyAlignment="1">
      <alignment horizontal="center" vertical="center"/>
    </xf>
    <xf numFmtId="185" fontId="12" fillId="0" borderId="0" xfId="0" applyNumberFormat="1" applyFont="1" applyAlignment="1">
      <alignment horizontal="center" vertical="center"/>
    </xf>
    <xf numFmtId="185" fontId="12" fillId="0" borderId="0" xfId="0" applyNumberFormat="1" applyFont="1" applyAlignment="1">
      <alignment vertical="center"/>
    </xf>
    <xf numFmtId="185" fontId="1" fillId="0" borderId="0" xfId="0" applyNumberFormat="1" applyFont="1" applyAlignment="1">
      <alignment horizontal="center" vertical="center"/>
    </xf>
    <xf numFmtId="2" fontId="1" fillId="0" borderId="77" xfId="0" applyNumberFormat="1" applyFont="1" applyBorder="1" applyAlignment="1">
      <alignment horizontal="center" vertical="center"/>
    </xf>
    <xf numFmtId="0" fontId="4" fillId="3" borderId="88" xfId="0" applyFont="1" applyFill="1" applyBorder="1" applyAlignment="1">
      <alignment horizontal="center" vertical="center"/>
    </xf>
    <xf numFmtId="0" fontId="4" fillId="3" borderId="89" xfId="0" applyFont="1" applyFill="1" applyBorder="1" applyAlignment="1">
      <alignment horizontal="center" vertical="center"/>
    </xf>
    <xf numFmtId="2" fontId="1" fillId="0" borderId="58" xfId="0" applyNumberFormat="1" applyFont="1" applyBorder="1" applyAlignment="1">
      <alignment horizontal="center" vertical="center"/>
    </xf>
    <xf numFmtId="2" fontId="1" fillId="0" borderId="90" xfId="0" applyNumberFormat="1" applyFont="1" applyBorder="1" applyAlignment="1">
      <alignment horizontal="center" vertical="center"/>
    </xf>
    <xf numFmtId="2" fontId="1" fillId="0" borderId="55" xfId="0" applyNumberFormat="1" applyFont="1" applyBorder="1" applyAlignment="1">
      <alignment horizontal="center" vertical="center"/>
    </xf>
    <xf numFmtId="186" fontId="1" fillId="0" borderId="0" xfId="0" applyNumberFormat="1" applyFont="1" applyAlignment="1">
      <alignment vertical="center"/>
    </xf>
    <xf numFmtId="2" fontId="1" fillId="32" borderId="76" xfId="0" applyNumberFormat="1" applyFont="1" applyFill="1" applyBorder="1" applyAlignment="1">
      <alignment horizontal="center" vertical="center"/>
    </xf>
    <xf numFmtId="2" fontId="2" fillId="0" borderId="92" xfId="0" applyNumberFormat="1" applyFont="1" applyBorder="1" applyAlignment="1">
      <alignment horizontal="center" vertical="center"/>
    </xf>
    <xf numFmtId="2" fontId="2" fillId="0" borderId="93" xfId="0" applyNumberFormat="1" applyFont="1" applyBorder="1" applyAlignment="1">
      <alignment horizontal="center" vertical="center"/>
    </xf>
    <xf numFmtId="0" fontId="5" fillId="3" borderId="67" xfId="0" applyFont="1" applyFill="1" applyBorder="1" applyAlignment="1">
      <alignment horizontal="center" vertical="center"/>
    </xf>
    <xf numFmtId="2" fontId="9" fillId="0" borderId="26" xfId="0" applyNumberFormat="1" applyFont="1" applyBorder="1" applyAlignment="1">
      <alignment horizontal="center" vertical="center"/>
    </xf>
    <xf numFmtId="185" fontId="2" fillId="0" borderId="0" xfId="0" applyNumberFormat="1" applyFont="1" applyAlignment="1">
      <alignment vertical="center"/>
    </xf>
    <xf numFmtId="164" fontId="2" fillId="5" borderId="102" xfId="0" applyNumberFormat="1" applyFont="1" applyFill="1" applyBorder="1" applyAlignment="1">
      <alignment horizontal="center" vertical="center"/>
    </xf>
    <xf numFmtId="2" fontId="2" fillId="5" borderId="103" xfId="0" applyNumberFormat="1" applyFont="1" applyFill="1" applyBorder="1" applyAlignment="1">
      <alignment horizontal="center" vertical="center"/>
    </xf>
    <xf numFmtId="0" fontId="1" fillId="0" borderId="21" xfId="0" applyFont="1" applyBorder="1" applyAlignment="1">
      <alignment vertical="center"/>
    </xf>
    <xf numFmtId="9" fontId="2" fillId="5" borderId="42" xfId="0" applyNumberFormat="1" applyFont="1" applyFill="1" applyBorder="1" applyAlignment="1">
      <alignment horizontal="center" vertical="center"/>
    </xf>
    <xf numFmtId="2" fontId="2" fillId="5" borderId="37" xfId="0" applyNumberFormat="1" applyFont="1" applyFill="1" applyBorder="1" applyAlignment="1">
      <alignment horizontal="center" vertical="center"/>
    </xf>
    <xf numFmtId="182" fontId="2" fillId="5" borderId="43" xfId="0" applyNumberFormat="1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0" fontId="4" fillId="3" borderId="67" xfId="0" applyFont="1" applyFill="1" applyBorder="1" applyAlignment="1">
      <alignment horizontal="center" vertical="center"/>
    </xf>
    <xf numFmtId="0" fontId="1" fillId="32" borderId="76" xfId="0" applyFont="1" applyFill="1" applyBorder="1" applyAlignment="1">
      <alignment horizontal="center" vertical="center"/>
    </xf>
    <xf numFmtId="0" fontId="2" fillId="0" borderId="83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 vertical="center" wrapText="1"/>
    </xf>
    <xf numFmtId="185" fontId="2" fillId="0" borderId="58" xfId="0" applyNumberFormat="1" applyFont="1" applyBorder="1" applyAlignment="1">
      <alignment vertical="center"/>
    </xf>
    <xf numFmtId="164" fontId="2" fillId="5" borderId="42" xfId="0" applyNumberFormat="1" applyFont="1" applyFill="1" applyBorder="1" applyAlignment="1">
      <alignment horizontal="center" vertical="center"/>
    </xf>
    <xf numFmtId="2" fontId="2" fillId="5" borderId="43" xfId="0" applyNumberFormat="1" applyFont="1" applyFill="1" applyBorder="1" applyAlignment="1">
      <alignment horizontal="center" vertical="center"/>
    </xf>
    <xf numFmtId="9" fontId="1" fillId="0" borderId="0" xfId="0" applyNumberFormat="1" applyFont="1" applyAlignment="1">
      <alignment horizontal="left" vertical="center"/>
    </xf>
    <xf numFmtId="0" fontId="1" fillId="0" borderId="104" xfId="0" applyFont="1" applyBorder="1" applyAlignment="1">
      <alignment vertical="center"/>
    </xf>
    <xf numFmtId="9" fontId="18" fillId="0" borderId="0" xfId="1" applyFont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/>
    <xf numFmtId="0" fontId="5" fillId="3" borderId="3" xfId="0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0" fontId="5" fillId="3" borderId="3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3" fillId="0" borderId="7" xfId="0" applyFont="1" applyBorder="1"/>
    <xf numFmtId="0" fontId="5" fillId="3" borderId="16" xfId="0" applyFont="1" applyFill="1" applyBorder="1" applyAlignment="1">
      <alignment horizontal="center" vertical="center"/>
    </xf>
    <xf numFmtId="0" fontId="3" fillId="0" borderId="17" xfId="0" applyFont="1" applyBorder="1"/>
    <xf numFmtId="0" fontId="3" fillId="0" borderId="18" xfId="0" applyFont="1" applyBorder="1"/>
    <xf numFmtId="170" fontId="5" fillId="3" borderId="3" xfId="0" applyNumberFormat="1" applyFont="1" applyFill="1" applyBorder="1" applyAlignment="1">
      <alignment horizontal="center" vertical="center"/>
    </xf>
    <xf numFmtId="38" fontId="5" fillId="3" borderId="3" xfId="0" applyNumberFormat="1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166" fontId="5" fillId="7" borderId="3" xfId="0" applyNumberFormat="1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3" fillId="0" borderId="27" xfId="0" applyFont="1" applyBorder="1"/>
    <xf numFmtId="0" fontId="5" fillId="3" borderId="23" xfId="0" applyFont="1" applyFill="1" applyBorder="1" applyAlignment="1">
      <alignment horizontal="center" vertical="center"/>
    </xf>
    <xf numFmtId="0" fontId="3" fillId="0" borderId="24" xfId="0" applyFont="1" applyBorder="1"/>
    <xf numFmtId="0" fontId="3" fillId="0" borderId="25" xfId="0" applyFont="1" applyBorder="1"/>
    <xf numFmtId="0" fontId="1" fillId="19" borderId="3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vertical="center"/>
    </xf>
    <xf numFmtId="0" fontId="1" fillId="19" borderId="3" xfId="0" applyFont="1" applyFill="1" applyBorder="1" applyAlignment="1">
      <alignment vertical="center"/>
    </xf>
    <xf numFmtId="0" fontId="4" fillId="3" borderId="3" xfId="0" applyFont="1" applyFill="1" applyBorder="1" applyAlignment="1">
      <alignment horizontal="center" vertical="center" wrapText="1"/>
    </xf>
    <xf numFmtId="0" fontId="20" fillId="3" borderId="34" xfId="0" applyFont="1" applyFill="1" applyBorder="1" applyAlignment="1">
      <alignment horizontal="center" vertical="center"/>
    </xf>
    <xf numFmtId="2" fontId="22" fillId="4" borderId="3" xfId="0" applyNumberFormat="1" applyFont="1" applyFill="1" applyBorder="1" applyAlignment="1">
      <alignment horizontal="center" vertical="center"/>
    </xf>
    <xf numFmtId="10" fontId="22" fillId="4" borderId="3" xfId="0" applyNumberFormat="1" applyFont="1" applyFill="1" applyBorder="1" applyAlignment="1">
      <alignment horizontal="center" vertical="center"/>
    </xf>
    <xf numFmtId="0" fontId="19" fillId="20" borderId="3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1" fontId="22" fillId="4" borderId="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2" fillId="14" borderId="3" xfId="0" applyFont="1" applyFill="1" applyBorder="1" applyAlignment="1">
      <alignment vertical="center" wrapText="1"/>
    </xf>
    <xf numFmtId="0" fontId="11" fillId="14" borderId="3" xfId="0" applyFont="1" applyFill="1" applyBorder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23" borderId="6" xfId="0" applyFont="1" applyFill="1" applyBorder="1" applyAlignment="1">
      <alignment horizontal="center" vertical="center"/>
    </xf>
    <xf numFmtId="0" fontId="3" fillId="0" borderId="35" xfId="0" applyFont="1" applyBorder="1"/>
    <xf numFmtId="2" fontId="4" fillId="3" borderId="3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5" fillId="28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5" fillId="3" borderId="44" xfId="0" applyFont="1" applyFill="1" applyBorder="1" applyAlignment="1">
      <alignment horizontal="center" vertical="center" wrapText="1"/>
    </xf>
    <xf numFmtId="0" fontId="3" fillId="0" borderId="45" xfId="0" applyFont="1" applyBorder="1"/>
    <xf numFmtId="0" fontId="3" fillId="0" borderId="46" xfId="0" applyFont="1" applyBorder="1"/>
    <xf numFmtId="0" fontId="4" fillId="3" borderId="22" xfId="0" applyFont="1" applyFill="1" applyBorder="1" applyAlignment="1">
      <alignment horizontal="center" vertical="center" wrapText="1"/>
    </xf>
    <xf numFmtId="0" fontId="4" fillId="3" borderId="23" xfId="0" applyFont="1" applyFill="1" applyBorder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1" fillId="5" borderId="3" xfId="0" applyFont="1" applyFill="1" applyBorder="1" applyAlignment="1">
      <alignment horizontal="center" vertical="center" wrapText="1"/>
    </xf>
    <xf numFmtId="9" fontId="1" fillId="0" borderId="0" xfId="0" applyNumberFormat="1" applyFont="1" applyAlignment="1">
      <alignment horizontal="left" vertical="center" wrapText="1"/>
    </xf>
    <xf numFmtId="9" fontId="1" fillId="0" borderId="0" xfId="0" applyNumberFormat="1" applyFont="1" applyAlignment="1">
      <alignment horizontal="center" vertical="center" wrapText="1"/>
    </xf>
    <xf numFmtId="9" fontId="5" fillId="3" borderId="3" xfId="0" applyNumberFormat="1" applyFont="1" applyFill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3" fillId="0" borderId="15" xfId="0" applyFont="1" applyBorder="1"/>
    <xf numFmtId="0" fontId="3" fillId="0" borderId="49" xfId="0" applyFont="1" applyBorder="1"/>
    <xf numFmtId="0" fontId="1" fillId="0" borderId="0" xfId="0" applyFont="1" applyAlignment="1">
      <alignment horizontal="center" vertical="center" wrapText="1"/>
    </xf>
    <xf numFmtId="0" fontId="5" fillId="3" borderId="94" xfId="0" applyFont="1" applyFill="1" applyBorder="1" applyAlignment="1">
      <alignment horizontal="center" vertical="center"/>
    </xf>
    <xf numFmtId="0" fontId="3" fillId="0" borderId="95" xfId="0" applyFont="1" applyBorder="1"/>
    <xf numFmtId="0" fontId="3" fillId="0" borderId="97" xfId="0" applyFont="1" applyBorder="1"/>
    <xf numFmtId="0" fontId="2" fillId="0" borderId="98" xfId="0" applyFont="1" applyBorder="1" applyAlignment="1">
      <alignment horizontal="center" vertical="center" wrapText="1"/>
    </xf>
    <xf numFmtId="0" fontId="1" fillId="0" borderId="98" xfId="0" applyFont="1" applyBorder="1" applyAlignment="1">
      <alignment horizontal="center" vertical="center" wrapText="1"/>
    </xf>
    <xf numFmtId="0" fontId="3" fillId="0" borderId="96" xfId="0" applyFont="1" applyBorder="1"/>
    <xf numFmtId="0" fontId="1" fillId="0" borderId="99" xfId="0" applyFont="1" applyBorder="1" applyAlignment="1">
      <alignment horizontal="center" vertical="center"/>
    </xf>
    <xf numFmtId="0" fontId="3" fillId="0" borderId="100" xfId="0" applyFont="1" applyBorder="1"/>
    <xf numFmtId="0" fontId="3" fillId="0" borderId="101" xfId="0" applyFont="1" applyBorder="1"/>
    <xf numFmtId="0" fontId="2" fillId="0" borderId="50" xfId="0" applyFont="1" applyBorder="1" applyAlignment="1">
      <alignment horizontal="center" vertical="center" wrapText="1"/>
    </xf>
    <xf numFmtId="0" fontId="3" fillId="0" borderId="91" xfId="0" applyFont="1" applyBorder="1"/>
    <xf numFmtId="0" fontId="5" fillId="3" borderId="75" xfId="0" applyFont="1" applyFill="1" applyBorder="1" applyAlignment="1">
      <alignment horizontal="center" vertical="center"/>
    </xf>
    <xf numFmtId="0" fontId="3" fillId="0" borderId="78" xfId="0" applyFont="1" applyBorder="1"/>
    <xf numFmtId="0" fontId="5" fillId="3" borderId="80" xfId="0" applyFont="1" applyFill="1" applyBorder="1" applyAlignment="1">
      <alignment horizontal="center" vertical="center" wrapText="1"/>
    </xf>
    <xf numFmtId="0" fontId="3" fillId="0" borderId="81" xfId="0" applyFont="1" applyBorder="1"/>
    <xf numFmtId="0" fontId="3" fillId="0" borderId="82" xfId="0" applyFont="1" applyBorder="1"/>
    <xf numFmtId="0" fontId="4" fillId="3" borderId="83" xfId="0" applyFont="1" applyFill="1" applyBorder="1" applyAlignment="1">
      <alignment horizontal="center" vertical="center"/>
    </xf>
    <xf numFmtId="0" fontId="3" fillId="0" borderId="84" xfId="0" applyFont="1" applyBorder="1"/>
    <xf numFmtId="0" fontId="4" fillId="3" borderId="85" xfId="0" applyFont="1" applyFill="1" applyBorder="1" applyAlignment="1">
      <alignment horizontal="center" vertical="center"/>
    </xf>
    <xf numFmtId="0" fontId="3" fillId="0" borderId="60" xfId="0" applyFont="1" applyBorder="1"/>
    <xf numFmtId="0" fontId="3" fillId="0" borderId="61" xfId="0" applyFont="1" applyBorder="1"/>
    <xf numFmtId="0" fontId="1" fillId="0" borderId="94" xfId="0" applyFont="1" applyBorder="1" applyAlignment="1">
      <alignment horizontal="left" vertical="center"/>
    </xf>
    <xf numFmtId="0" fontId="3" fillId="0" borderId="104" xfId="0" applyFont="1" applyBorder="1"/>
    <xf numFmtId="0" fontId="1" fillId="0" borderId="0" xfId="0" applyFont="1" applyAlignment="1">
      <alignment horizontal="left" vertical="center" shrinkToFit="1"/>
    </xf>
    <xf numFmtId="0" fontId="1" fillId="0" borderId="54" xfId="0" applyFont="1" applyBorder="1" applyAlignment="1">
      <alignment horizontal="center" vertical="center" wrapText="1"/>
    </xf>
    <xf numFmtId="0" fontId="3" fillId="0" borderId="55" xfId="0" applyFont="1" applyBorder="1"/>
    <xf numFmtId="0" fontId="1" fillId="0" borderId="54" xfId="0" applyFont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 wrapText="1"/>
    </xf>
    <xf numFmtId="0" fontId="1" fillId="0" borderId="54" xfId="0" applyFont="1" applyBorder="1" applyAlignment="1">
      <alignment horizontal="left" vertical="center" wrapText="1"/>
    </xf>
    <xf numFmtId="0" fontId="2" fillId="0" borderId="54" xfId="0" applyFont="1" applyBorder="1" applyAlignment="1">
      <alignment horizontal="left" vertical="center"/>
    </xf>
    <xf numFmtId="0" fontId="2" fillId="0" borderId="98" xfId="0" applyFont="1" applyBorder="1" applyAlignment="1">
      <alignment horizontal="left" vertical="center" wrapText="1"/>
    </xf>
    <xf numFmtId="0" fontId="2" fillId="0" borderId="50" xfId="0" applyFont="1" applyBorder="1" applyAlignment="1">
      <alignment horizontal="left" vertical="center" wrapText="1"/>
    </xf>
    <xf numFmtId="0" fontId="1" fillId="0" borderId="54" xfId="0" applyFont="1" applyBorder="1" applyAlignment="1">
      <alignment horizontal="left" vertical="center"/>
    </xf>
    <xf numFmtId="0" fontId="1" fillId="0" borderId="56" xfId="0" applyFont="1" applyBorder="1" applyAlignment="1">
      <alignment vertical="center" wrapText="1"/>
    </xf>
    <xf numFmtId="0" fontId="3" fillId="0" borderId="39" xfId="0" applyFont="1" applyBorder="1"/>
    <xf numFmtId="0" fontId="1" fillId="0" borderId="104" xfId="0" applyFont="1" applyBorder="1" applyAlignment="1">
      <alignment horizontal="left" vertical="center" wrapText="1"/>
    </xf>
    <xf numFmtId="0" fontId="1" fillId="0" borderId="104" xfId="0" applyFont="1" applyBorder="1" applyAlignment="1">
      <alignment horizontal="left" vertical="center"/>
    </xf>
    <xf numFmtId="0" fontId="5" fillId="20" borderId="3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 shrinkToFit="1"/>
    </xf>
    <xf numFmtId="0" fontId="5" fillId="3" borderId="98" xfId="0" applyFont="1" applyFill="1" applyBorder="1" applyAlignment="1">
      <alignment horizontal="center" vertical="center"/>
    </xf>
    <xf numFmtId="0" fontId="5" fillId="3" borderId="71" xfId="0" applyFont="1" applyFill="1" applyBorder="1" applyAlignment="1">
      <alignment horizontal="center" vertical="center"/>
    </xf>
    <xf numFmtId="0" fontId="3" fillId="0" borderId="72" xfId="0" applyFont="1" applyBorder="1"/>
    <xf numFmtId="0" fontId="5" fillId="3" borderId="74" xfId="0" applyFont="1" applyFill="1" applyBorder="1" applyAlignment="1">
      <alignment horizontal="center" vertical="center"/>
    </xf>
    <xf numFmtId="0" fontId="3" fillId="0" borderId="77" xfId="0" applyFont="1" applyBorder="1"/>
    <xf numFmtId="0" fontId="11" fillId="0" borderId="0" xfId="0" applyFont="1" applyAlignment="1">
      <alignment horizontal="left" vertical="center" shrinkToFit="1"/>
    </xf>
    <xf numFmtId="0" fontId="2" fillId="0" borderId="0" xfId="0" applyFont="1" applyAlignment="1">
      <alignment horizontal="left" vertical="center"/>
    </xf>
    <xf numFmtId="0" fontId="3" fillId="0" borderId="86" xfId="0" applyFont="1" applyBorder="1"/>
    <xf numFmtId="0" fontId="3" fillId="0" borderId="87" xfId="0" applyFont="1" applyBorder="1"/>
    <xf numFmtId="0" fontId="1" fillId="0" borderId="83" xfId="0" applyFont="1" applyBorder="1" applyAlignment="1">
      <alignment horizontal="left" vertical="center"/>
    </xf>
    <xf numFmtId="0" fontId="3" fillId="0" borderId="58" xfId="0" applyFont="1" applyBorder="1"/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shrinkToFit="1"/>
    </xf>
    <xf numFmtId="0" fontId="1" fillId="11" borderId="3" xfId="0" applyFont="1" applyFill="1" applyBorder="1" applyAlignment="1">
      <alignment horizontal="left" vertical="center" shrinkToFit="1"/>
    </xf>
    <xf numFmtId="0" fontId="1" fillId="4" borderId="3" xfId="0" applyFont="1" applyFill="1" applyBorder="1" applyAlignment="1">
      <alignment horizontal="left" vertical="center" shrinkToFit="1"/>
    </xf>
    <xf numFmtId="0" fontId="1" fillId="31" borderId="3" xfId="0" applyFont="1" applyFill="1" applyBorder="1" applyAlignment="1">
      <alignment horizontal="left" vertical="center" shrinkToFit="1"/>
    </xf>
    <xf numFmtId="0" fontId="1" fillId="26" borderId="3" xfId="0" applyFont="1" applyFill="1" applyBorder="1" applyAlignment="1">
      <alignment horizontal="left" vertical="center" shrinkToFit="1"/>
    </xf>
    <xf numFmtId="0" fontId="11" fillId="0" borderId="50" xfId="0" applyFont="1" applyBorder="1" applyAlignment="1">
      <alignment horizontal="left" vertical="center" shrinkToFit="1"/>
    </xf>
    <xf numFmtId="0" fontId="3" fillId="0" borderId="51" xfId="0" applyFont="1" applyBorder="1"/>
    <xf numFmtId="0" fontId="3" fillId="0" borderId="52" xfId="0" applyFont="1" applyBorder="1"/>
    <xf numFmtId="0" fontId="2" fillId="0" borderId="39" xfId="0" applyFont="1" applyBorder="1" applyAlignment="1">
      <alignment horizontal="center" vertical="center"/>
    </xf>
    <xf numFmtId="0" fontId="5" fillId="20" borderId="50" xfId="0" applyFont="1" applyFill="1" applyBorder="1" applyAlignment="1">
      <alignment horizontal="center" vertical="center"/>
    </xf>
    <xf numFmtId="0" fontId="5" fillId="8" borderId="53" xfId="0" applyFont="1" applyFill="1" applyBorder="1" applyAlignment="1">
      <alignment horizontal="center" vertical="center"/>
    </xf>
    <xf numFmtId="0" fontId="1" fillId="0" borderId="54" xfId="0" applyFont="1" applyBorder="1" applyAlignment="1">
      <alignment horizontal="left" vertical="center" shrinkToFit="1"/>
    </xf>
    <xf numFmtId="0" fontId="3" fillId="0" borderId="56" xfId="0" applyFont="1" applyBorder="1"/>
    <xf numFmtId="0" fontId="3" fillId="0" borderId="57" xfId="0" applyFont="1" applyBorder="1"/>
    <xf numFmtId="0" fontId="1" fillId="0" borderId="56" xfId="0" applyFont="1" applyBorder="1" applyAlignment="1">
      <alignment horizontal="left" vertical="center" shrinkToFit="1"/>
    </xf>
    <xf numFmtId="0" fontId="1" fillId="0" borderId="58" xfId="0" applyFont="1" applyBorder="1" applyAlignment="1">
      <alignment horizontal="center" vertical="center"/>
    </xf>
    <xf numFmtId="0" fontId="1" fillId="30" borderId="3" xfId="0" applyFont="1" applyFill="1" applyBorder="1" applyAlignment="1">
      <alignment horizontal="left" vertical="center" shrinkToFit="1"/>
    </xf>
    <xf numFmtId="0" fontId="5" fillId="3" borderId="62" xfId="0" applyFont="1" applyFill="1" applyBorder="1" applyAlignment="1">
      <alignment horizontal="center" vertical="center"/>
    </xf>
    <xf numFmtId="0" fontId="3" fillId="0" borderId="63" xfId="0" applyFont="1" applyBorder="1"/>
    <xf numFmtId="0" fontId="5" fillId="3" borderId="65" xfId="0" applyFont="1" applyFill="1" applyBorder="1" applyAlignment="1">
      <alignment horizontal="center" vertical="center"/>
    </xf>
    <xf numFmtId="0" fontId="3" fillId="0" borderId="66" xfId="0" applyFont="1" applyBorder="1"/>
    <xf numFmtId="0" fontId="1" fillId="32" borderId="3" xfId="0" applyFont="1" applyFill="1" applyBorder="1" applyAlignment="1">
      <alignment horizontal="left" vertical="center" shrinkToFit="1"/>
    </xf>
    <xf numFmtId="0" fontId="1" fillId="33" borderId="3" xfId="0" applyFont="1" applyFill="1" applyBorder="1" applyAlignment="1">
      <alignment horizontal="left" vertical="center" shrinkToFit="1"/>
    </xf>
    <xf numFmtId="0" fontId="5" fillId="3" borderId="3" xfId="0" applyFont="1" applyFill="1" applyBorder="1" applyAlignment="1">
      <alignment horizontal="center" vertical="center" shrinkToFit="1"/>
    </xf>
  </cellXfs>
  <cellStyles count="2">
    <cellStyle name="Normal" xfId="0" builtinId="0"/>
    <cellStyle name="Porcentaje" xfId="1" builtinId="5"/>
  </cellStyles>
  <dxfs count="8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v>COSTO FIJO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'Punto de Equilibrio'!$B$5:$B$21</c:f>
              <c:numCache>
                <c:formatCode>0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125</c:v>
                </c:pt>
                <c:pt idx="3">
                  <c:v>150</c:v>
                </c:pt>
                <c:pt idx="4">
                  <c:v>154.71376274307448</c:v>
                </c:pt>
                <c:pt idx="5">
                  <c:v>300</c:v>
                </c:pt>
                <c:pt idx="6">
                  <c:v>334</c:v>
                </c:pt>
                <c:pt idx="7">
                  <c:v>339</c:v>
                </c:pt>
                <c:pt idx="8">
                  <c:v>341</c:v>
                </c:pt>
                <c:pt idx="9">
                  <c:v>354</c:v>
                </c:pt>
                <c:pt idx="10">
                  <c:v>443</c:v>
                </c:pt>
                <c:pt idx="11">
                  <c:v>364</c:v>
                </c:pt>
                <c:pt idx="12">
                  <c:v>414</c:v>
                </c:pt>
                <c:pt idx="13">
                  <c:v>314</c:v>
                </c:pt>
                <c:pt idx="14">
                  <c:v>444</c:v>
                </c:pt>
                <c:pt idx="15">
                  <c:v>384</c:v>
                </c:pt>
                <c:pt idx="16">
                  <c:v>337</c:v>
                </c:pt>
              </c:numCache>
            </c:numRef>
          </c:xVal>
          <c:yVal>
            <c:numRef>
              <c:f>'Punto de Equilibrio'!$C$5:$C$21</c:f>
              <c:numCache>
                <c:formatCode>0.00</c:formatCode>
                <c:ptCount val="17"/>
                <c:pt idx="0">
                  <c:v>4411.7145158730164</c:v>
                </c:pt>
                <c:pt idx="1">
                  <c:v>4411.7145158730164</c:v>
                </c:pt>
                <c:pt idx="2">
                  <c:v>4411.7145158730164</c:v>
                </c:pt>
                <c:pt idx="3">
                  <c:v>4411.7145158730164</c:v>
                </c:pt>
                <c:pt idx="4">
                  <c:v>4411.7145158730164</c:v>
                </c:pt>
                <c:pt idx="5">
                  <c:v>4411.7145158730164</c:v>
                </c:pt>
                <c:pt idx="6">
                  <c:v>4411.7145158730164</c:v>
                </c:pt>
                <c:pt idx="7">
                  <c:v>4411.7145158730164</c:v>
                </c:pt>
                <c:pt idx="8">
                  <c:v>4411.7145158730164</c:v>
                </c:pt>
                <c:pt idx="9">
                  <c:v>4411.7145158730164</c:v>
                </c:pt>
                <c:pt idx="10">
                  <c:v>4411.7145158730164</c:v>
                </c:pt>
                <c:pt idx="11">
                  <c:v>4411.7145158730164</c:v>
                </c:pt>
                <c:pt idx="12">
                  <c:v>4411.7145158730164</c:v>
                </c:pt>
                <c:pt idx="13">
                  <c:v>4411.7145158730164</c:v>
                </c:pt>
                <c:pt idx="14">
                  <c:v>4411.7145158730164</c:v>
                </c:pt>
                <c:pt idx="15">
                  <c:v>4411.7145158730164</c:v>
                </c:pt>
                <c:pt idx="16">
                  <c:v>4411.7145158730164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D9-4DE8-9CD0-75D4E3485F48}"/>
            </c:ext>
          </c:extLst>
        </c:ser>
        <c:ser>
          <c:idx val="1"/>
          <c:order val="1"/>
          <c:tx>
            <c:v>COSTO TOTAL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'Punto de Equilibrio'!$B$5:$B$21</c:f>
              <c:numCache>
                <c:formatCode>0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125</c:v>
                </c:pt>
                <c:pt idx="3">
                  <c:v>150</c:v>
                </c:pt>
                <c:pt idx="4">
                  <c:v>154.71376274307448</c:v>
                </c:pt>
                <c:pt idx="5">
                  <c:v>300</c:v>
                </c:pt>
                <c:pt idx="6">
                  <c:v>334</c:v>
                </c:pt>
                <c:pt idx="7">
                  <c:v>339</c:v>
                </c:pt>
                <c:pt idx="8">
                  <c:v>341</c:v>
                </c:pt>
                <c:pt idx="9">
                  <c:v>354</c:v>
                </c:pt>
                <c:pt idx="10">
                  <c:v>443</c:v>
                </c:pt>
                <c:pt idx="11">
                  <c:v>364</c:v>
                </c:pt>
                <c:pt idx="12">
                  <c:v>414</c:v>
                </c:pt>
                <c:pt idx="13">
                  <c:v>314</c:v>
                </c:pt>
                <c:pt idx="14">
                  <c:v>444</c:v>
                </c:pt>
                <c:pt idx="15">
                  <c:v>384</c:v>
                </c:pt>
                <c:pt idx="16">
                  <c:v>337</c:v>
                </c:pt>
              </c:numCache>
            </c:numRef>
          </c:xVal>
          <c:yVal>
            <c:numRef>
              <c:f>'Punto de Equilibrio'!$E$5:$E$21</c:f>
              <c:numCache>
                <c:formatCode>0.00</c:formatCode>
                <c:ptCount val="17"/>
                <c:pt idx="0">
                  <c:v>4411.7145158730164</c:v>
                </c:pt>
                <c:pt idx="1">
                  <c:v>6860.1811825396835</c:v>
                </c:pt>
                <c:pt idx="2">
                  <c:v>7472.2978492063494</c:v>
                </c:pt>
                <c:pt idx="3">
                  <c:v>8084.4145158730162</c:v>
                </c:pt>
                <c:pt idx="4">
                  <c:v>8199.8294253829481</c:v>
                </c:pt>
                <c:pt idx="5">
                  <c:v>11757.114515873016</c:v>
                </c:pt>
                <c:pt idx="6">
                  <c:v>12589.593182539684</c:v>
                </c:pt>
                <c:pt idx="7">
                  <c:v>12712.016515873016</c:v>
                </c:pt>
                <c:pt idx="8">
                  <c:v>12760.985849206349</c:v>
                </c:pt>
                <c:pt idx="9">
                  <c:v>13079.286515873016</c:v>
                </c:pt>
                <c:pt idx="10">
                  <c:v>15258.42184920635</c:v>
                </c:pt>
                <c:pt idx="11">
                  <c:v>13324.133182539683</c:v>
                </c:pt>
                <c:pt idx="12">
                  <c:v>14548.366515873016</c:v>
                </c:pt>
                <c:pt idx="13">
                  <c:v>12099.899849206349</c:v>
                </c:pt>
                <c:pt idx="14">
                  <c:v>15282.906515873015</c:v>
                </c:pt>
                <c:pt idx="15">
                  <c:v>13813.826515873016</c:v>
                </c:pt>
                <c:pt idx="16">
                  <c:v>12663.047182539683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D9-4DE8-9CD0-75D4E3485F48}"/>
            </c:ext>
          </c:extLst>
        </c:ser>
        <c:ser>
          <c:idx val="2"/>
          <c:order val="2"/>
          <c:tx>
            <c:v>INGRESO TOTAL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'Punto de Equilibrio'!$B$5:$B$21</c:f>
              <c:numCache>
                <c:formatCode>0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125</c:v>
                </c:pt>
                <c:pt idx="3">
                  <c:v>150</c:v>
                </c:pt>
                <c:pt idx="4">
                  <c:v>154.71376274307448</c:v>
                </c:pt>
                <c:pt idx="5">
                  <c:v>300</c:v>
                </c:pt>
                <c:pt idx="6">
                  <c:v>334</c:v>
                </c:pt>
                <c:pt idx="7">
                  <c:v>339</c:v>
                </c:pt>
                <c:pt idx="8">
                  <c:v>341</c:v>
                </c:pt>
                <c:pt idx="9">
                  <c:v>354</c:v>
                </c:pt>
                <c:pt idx="10">
                  <c:v>443</c:v>
                </c:pt>
                <c:pt idx="11">
                  <c:v>364</c:v>
                </c:pt>
                <c:pt idx="12">
                  <c:v>414</c:v>
                </c:pt>
                <c:pt idx="13">
                  <c:v>314</c:v>
                </c:pt>
                <c:pt idx="14">
                  <c:v>444</c:v>
                </c:pt>
                <c:pt idx="15">
                  <c:v>384</c:v>
                </c:pt>
                <c:pt idx="16">
                  <c:v>337</c:v>
                </c:pt>
              </c:numCache>
            </c:numRef>
          </c:xVal>
          <c:yVal>
            <c:numRef>
              <c:f>'Punto de Equilibrio'!$F$5:$F$21</c:f>
              <c:numCache>
                <c:formatCode>0.00</c:formatCode>
                <c:ptCount val="17"/>
                <c:pt idx="0">
                  <c:v>0</c:v>
                </c:pt>
                <c:pt idx="1">
                  <c:v>5300</c:v>
                </c:pt>
                <c:pt idx="2">
                  <c:v>6625</c:v>
                </c:pt>
                <c:pt idx="3">
                  <c:v>7950</c:v>
                </c:pt>
                <c:pt idx="4">
                  <c:v>8199.8294253829481</c:v>
                </c:pt>
                <c:pt idx="5">
                  <c:v>15900</c:v>
                </c:pt>
                <c:pt idx="6">
                  <c:v>17702</c:v>
                </c:pt>
                <c:pt idx="7">
                  <c:v>17967</c:v>
                </c:pt>
                <c:pt idx="8">
                  <c:v>18073</c:v>
                </c:pt>
                <c:pt idx="9">
                  <c:v>18762</c:v>
                </c:pt>
                <c:pt idx="10">
                  <c:v>23479</c:v>
                </c:pt>
                <c:pt idx="11">
                  <c:v>19292</c:v>
                </c:pt>
                <c:pt idx="12">
                  <c:v>21942</c:v>
                </c:pt>
                <c:pt idx="13">
                  <c:v>16642</c:v>
                </c:pt>
                <c:pt idx="14">
                  <c:v>23532</c:v>
                </c:pt>
                <c:pt idx="15">
                  <c:v>20352</c:v>
                </c:pt>
                <c:pt idx="16">
                  <c:v>17861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D9-4DE8-9CD0-75D4E348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016496"/>
        <c:axId val="568776639"/>
      </c:scatterChart>
      <c:valAx>
        <c:axId val="1152016496"/>
        <c:scaling>
          <c:orientation val="minMax"/>
          <c:max val="45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ES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568776639"/>
        <c:crosses val="autoZero"/>
        <c:crossBetween val="midCat"/>
      </c:valAx>
      <c:valAx>
        <c:axId val="568776639"/>
        <c:scaling>
          <c:orientation val="minMax"/>
          <c:max val="18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E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15201649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200025</xdr:colOff>
      <xdr:row>177</xdr:row>
      <xdr:rowOff>9525</xdr:rowOff>
    </xdr:from>
    <xdr:ext cx="6772275" cy="33051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964625" y="2132175"/>
          <a:ext cx="6762750" cy="3295650"/>
        </a:xfrm>
        <a:prstGeom prst="rect">
          <a:avLst/>
        </a:prstGeom>
        <a:solidFill>
          <a:srgbClr val="1C6294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PUNTO DE EQUILIBRIO:  </a:t>
          </a:r>
          <a:r>
            <a:rPr lang="en-US" sz="1100" b="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Punto en el cual los ingresos totales son iguales a los costos totales, la empresa no obtiene ni utilidad ni perdida.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Para su cálculo hay que tener determinados los cotos fijos y variable.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 Fijos. </a:t>
          </a:r>
          <a:r>
            <a:rPr lang="en-US" sz="1100" b="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Se presentan en igual magnitud y valor independiente de los niveles de producción de la empresa. Ej. Depreciación,  Gastos de Administración como arrendamiento, sueldos del personal administrativo.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C. Variables. </a:t>
          </a:r>
          <a:r>
            <a:rPr lang="en-US" sz="1100" b="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Presentan variación ante cambios en los niveles de producción. Ej. Materiales directos e indirectos, servicios asociados a la planta de producción,  Mano de obra directa (operarios, supervisores de producción)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Qo = _____________</a:t>
          </a:r>
          <a:r>
            <a:rPr lang="en-US" sz="1100" b="0" u="sng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_Costos Fijos___________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u="none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          Precio de Venta-Costo de Variable unitario</a:t>
          </a:r>
          <a:endParaRPr sz="1100" b="0" u="none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1466850</xdr:colOff>
      <xdr:row>517</xdr:row>
      <xdr:rowOff>47625</xdr:rowOff>
    </xdr:from>
    <xdr:ext cx="4943475" cy="5143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879025" y="3527588"/>
          <a:ext cx="4933950" cy="504825"/>
        </a:xfrm>
        <a:prstGeom prst="rect">
          <a:avLst/>
        </a:prstGeom>
        <a:solidFill>
          <a:srgbClr val="CFE6F6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Para este proyecto, el crédito es a través de un banco mediante la modalidad de crédito ordinario de libre inversión a 5 años con una tasa anual de 23,87%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495300</xdr:colOff>
      <xdr:row>2</xdr:row>
      <xdr:rowOff>0</xdr:rowOff>
    </xdr:from>
    <xdr:ext cx="3857625" cy="1733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381000</xdr:colOff>
      <xdr:row>27</xdr:row>
      <xdr:rowOff>171450</xdr:rowOff>
    </xdr:from>
    <xdr:ext cx="7258050" cy="14763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371475</xdr:colOff>
      <xdr:row>3</xdr:row>
      <xdr:rowOff>19050</xdr:rowOff>
    </xdr:from>
    <xdr:ext cx="4714875" cy="9906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514350</xdr:colOff>
      <xdr:row>5</xdr:row>
      <xdr:rowOff>104775</xdr:rowOff>
    </xdr:from>
    <xdr:ext cx="5248275" cy="47339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19050</xdr:colOff>
      <xdr:row>4</xdr:row>
      <xdr:rowOff>200025</xdr:rowOff>
    </xdr:from>
    <xdr:ext cx="5248275" cy="14859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1000125</xdr:colOff>
      <xdr:row>10</xdr:row>
      <xdr:rowOff>152400</xdr:rowOff>
    </xdr:from>
    <xdr:ext cx="5829300" cy="414337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476250</xdr:colOff>
      <xdr:row>22</xdr:row>
      <xdr:rowOff>9525</xdr:rowOff>
    </xdr:from>
    <xdr:ext cx="0" cy="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26</xdr:row>
      <xdr:rowOff>85725</xdr:rowOff>
    </xdr:from>
    <xdr:ext cx="3181350" cy="2028825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28</xdr:row>
      <xdr:rowOff>76200</xdr:rowOff>
    </xdr:from>
    <xdr:ext cx="5248275" cy="1609725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219075</xdr:colOff>
      <xdr:row>2</xdr:row>
      <xdr:rowOff>0</xdr:rowOff>
    </xdr:from>
    <xdr:ext cx="8220075" cy="74485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123825</xdr:colOff>
      <xdr:row>22</xdr:row>
      <xdr:rowOff>66675</xdr:rowOff>
    </xdr:from>
    <xdr:ext cx="2181225" cy="3524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4260150" y="3604439"/>
          <a:ext cx="2171700" cy="351122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5</xdr:col>
      <xdr:colOff>685800</xdr:colOff>
      <xdr:row>44</xdr:row>
      <xdr:rowOff>9525</xdr:rowOff>
    </xdr:from>
    <xdr:ext cx="4714875" cy="30861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2993325" y="2241713"/>
          <a:ext cx="4705350" cy="3076575"/>
        </a:xfrm>
        <a:prstGeom prst="roundRect">
          <a:avLst>
            <a:gd name="adj" fmla="val 16667"/>
          </a:avLst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El punto de equilibrio se define como el momento en el cual las ventas igualan el valor total de los costos (Costo fijo + Costo variable) para este caso en particular se tendría el punto de equilibrio en 1.218 unidades  y unas ventas de 160.723.081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Por debajo de 1.218unidades se presentan perdidas para la empresa, dado que los ingresos serían menores que los costos y gastos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>
            <a:latin typeface="Arial"/>
            <a:ea typeface="Arial"/>
            <a:cs typeface="Arial"/>
            <a:sym typeface="Arial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Por encima de 1.218 unidades se  empiezan a presentar utilidades dado que los ingresos son mayores a los costos y gastos.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>
            <a:latin typeface="Arial"/>
            <a:ea typeface="Arial"/>
            <a:cs typeface="Arial"/>
            <a:sym typeface="Arial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El punto de equilibrio es correcto dado que 1.218 unidades son menores a las unidades a producir que son de  1.650 unidades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>
            <a:latin typeface="Arial"/>
            <a:ea typeface="Arial"/>
            <a:cs typeface="Arial"/>
            <a:sym typeface="Arial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EL precio de venta es de $132.000 y el costo variable unitario es de  $58.099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800">
            <a:latin typeface="Arial"/>
            <a:ea typeface="Arial"/>
            <a:cs typeface="Arial"/>
            <a:sym typeface="Arial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Se cumplen todas las condiciones para afirmar que el  punto de equilibrio es correcto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8</xdr:col>
      <xdr:colOff>352425</xdr:colOff>
      <xdr:row>21</xdr:row>
      <xdr:rowOff>123825</xdr:rowOff>
    </xdr:from>
    <xdr:ext cx="2266950" cy="45339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pSpPr/>
      </xdr:nvGrpSpPr>
      <xdr:grpSpPr>
        <a:xfrm>
          <a:off x="9496425" y="4133850"/>
          <a:ext cx="2266950" cy="4533900"/>
          <a:chOff x="4217288" y="1517813"/>
          <a:chExt cx="2257425" cy="4524375"/>
        </a:xfrm>
      </xdr:grpSpPr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CxnSpPr/>
        </xdr:nvCxnSpPr>
        <xdr:spPr>
          <a:xfrm rot="10800000" flipH="1">
            <a:off x="4217288" y="1517813"/>
            <a:ext cx="2257425" cy="4524375"/>
          </a:xfrm>
          <a:prstGeom prst="straightConnector1">
            <a:avLst/>
          </a:prstGeom>
          <a:noFill/>
          <a:ln w="9525" cap="flat" cmpd="sng">
            <a:solidFill>
              <a:srgbClr val="2E91B8"/>
            </a:solidFill>
            <a:prstDash val="dash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1019175</xdr:colOff>
      <xdr:row>29</xdr:row>
      <xdr:rowOff>123825</xdr:rowOff>
    </xdr:from>
    <xdr:ext cx="5572125" cy="29241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pSpPr/>
      </xdr:nvGrpSpPr>
      <xdr:grpSpPr>
        <a:xfrm>
          <a:off x="3914775" y="5734050"/>
          <a:ext cx="5572125" cy="2924175"/>
          <a:chOff x="2559938" y="2322675"/>
          <a:chExt cx="5572125" cy="2914650"/>
        </a:xfrm>
      </xdr:grpSpPr>
      <xdr:cxnSp macro="">
        <xdr:nvCxnSpPr>
          <xdr:cNvPr id="8" name="Shape 8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CxnSpPr/>
        </xdr:nvCxnSpPr>
        <xdr:spPr>
          <a:xfrm rot="10800000">
            <a:off x="2559938" y="2322675"/>
            <a:ext cx="5572125" cy="2914650"/>
          </a:xfrm>
          <a:prstGeom prst="straightConnector1">
            <a:avLst/>
          </a:prstGeom>
          <a:noFill/>
          <a:ln w="9525" cap="flat" cmpd="sng">
            <a:solidFill>
              <a:srgbClr val="2E91B8"/>
            </a:solidFill>
            <a:prstDash val="dash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47625</xdr:colOff>
      <xdr:row>33</xdr:row>
      <xdr:rowOff>161925</xdr:rowOff>
    </xdr:from>
    <xdr:ext cx="5162550" cy="1209675"/>
    <xdr:pic>
      <xdr:nvPicPr>
        <xdr:cNvPr id="9" name="image10.png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</xdr:row>
      <xdr:rowOff>161925</xdr:rowOff>
    </xdr:from>
    <xdr:ext cx="5162550" cy="120967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95250</xdr:colOff>
      <xdr:row>2</xdr:row>
      <xdr:rowOff>57150</xdr:rowOff>
    </xdr:from>
    <xdr:ext cx="1276350" cy="3524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 txBox="1"/>
      </xdr:nvSpPr>
      <xdr:spPr>
        <a:xfrm>
          <a:off x="4710698" y="3607100"/>
          <a:ext cx="1270604" cy="3458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57150</xdr:colOff>
      <xdr:row>13</xdr:row>
      <xdr:rowOff>0</xdr:rowOff>
    </xdr:from>
    <xdr:ext cx="676275" cy="1809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 txBox="1"/>
      </xdr:nvSpPr>
      <xdr:spPr>
        <a:xfrm>
          <a:off x="5009562" y="3693887"/>
          <a:ext cx="672877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104775</xdr:colOff>
      <xdr:row>16</xdr:row>
      <xdr:rowOff>171450</xdr:rowOff>
    </xdr:from>
    <xdr:ext cx="800100" cy="1809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 txBox="1"/>
      </xdr:nvSpPr>
      <xdr:spPr>
        <a:xfrm>
          <a:off x="4949225" y="3693887"/>
          <a:ext cx="793551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47625</xdr:colOff>
      <xdr:row>24</xdr:row>
      <xdr:rowOff>152400</xdr:rowOff>
    </xdr:from>
    <xdr:ext cx="1009650" cy="1809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 txBox="1"/>
      </xdr:nvSpPr>
      <xdr:spPr>
        <a:xfrm>
          <a:off x="4845094" y="3693887"/>
          <a:ext cx="1001813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447675</xdr:colOff>
      <xdr:row>13</xdr:row>
      <xdr:rowOff>0</xdr:rowOff>
    </xdr:from>
    <xdr:ext cx="7334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 txBox="1"/>
      </xdr:nvSpPr>
      <xdr:spPr>
        <a:xfrm>
          <a:off x="4981349" y="3693887"/>
          <a:ext cx="729302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12</xdr:col>
      <xdr:colOff>133350</xdr:colOff>
      <xdr:row>7</xdr:row>
      <xdr:rowOff>9525</xdr:rowOff>
    </xdr:from>
    <xdr:ext cx="9525" cy="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304800</xdr:colOff>
      <xdr:row>12</xdr:row>
      <xdr:rowOff>66675</xdr:rowOff>
    </xdr:from>
    <xdr:ext cx="0" cy="0"/>
    <xdr:pic>
      <xdr:nvPicPr>
        <xdr:cNvPr id="3" name="image16.png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29</xdr:row>
      <xdr:rowOff>66675</xdr:rowOff>
    </xdr:from>
    <xdr:ext cx="333375" cy="180975"/>
    <xdr:pic>
      <xdr:nvPicPr>
        <xdr:cNvPr id="4" name="image23.png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666750</xdr:colOff>
      <xdr:row>29</xdr:row>
      <xdr:rowOff>114300</xdr:rowOff>
    </xdr:from>
    <xdr:ext cx="152400" cy="85725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276225</xdr:colOff>
      <xdr:row>28</xdr:row>
      <xdr:rowOff>0</xdr:rowOff>
    </xdr:from>
    <xdr:ext cx="1476375" cy="447675"/>
    <xdr:pic>
      <xdr:nvPicPr>
        <xdr:cNvPr id="6" name="image15.png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30</xdr:row>
      <xdr:rowOff>19050</xdr:rowOff>
    </xdr:from>
    <xdr:ext cx="161925" cy="47625"/>
    <xdr:pic>
      <xdr:nvPicPr>
        <xdr:cNvPr id="7" name="image24.png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561975</xdr:colOff>
      <xdr:row>29</xdr:row>
      <xdr:rowOff>57150</xdr:rowOff>
    </xdr:from>
    <xdr:ext cx="123825" cy="219075"/>
    <xdr:pic>
      <xdr:nvPicPr>
        <xdr:cNvPr id="8" name="image12.png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381000</xdr:colOff>
      <xdr:row>29</xdr:row>
      <xdr:rowOff>66675</xdr:rowOff>
    </xdr:from>
    <xdr:ext cx="114300" cy="171450"/>
    <xdr:pic>
      <xdr:nvPicPr>
        <xdr:cNvPr id="14" name="image25.png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31</xdr:row>
      <xdr:rowOff>47625</xdr:rowOff>
    </xdr:from>
    <xdr:ext cx="95250" cy="123825"/>
    <xdr:pic>
      <xdr:nvPicPr>
        <xdr:cNvPr id="15" name="image11.png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390525</xdr:colOff>
      <xdr:row>31</xdr:row>
      <xdr:rowOff>66675</xdr:rowOff>
    </xdr:from>
    <xdr:ext cx="133350" cy="142875"/>
    <xdr:pic>
      <xdr:nvPicPr>
        <xdr:cNvPr id="16" name="image19.png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28575</xdr:colOff>
      <xdr:row>31</xdr:row>
      <xdr:rowOff>142875</xdr:rowOff>
    </xdr:from>
    <xdr:ext cx="104775" cy="76200"/>
    <xdr:pic>
      <xdr:nvPicPr>
        <xdr:cNvPr id="17" name="image20.png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323850</xdr:colOff>
      <xdr:row>30</xdr:row>
      <xdr:rowOff>123825</xdr:rowOff>
    </xdr:from>
    <xdr:ext cx="1733550" cy="342900"/>
    <xdr:pic>
      <xdr:nvPicPr>
        <xdr:cNvPr id="18" name="image18.png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581025</xdr:colOff>
      <xdr:row>33</xdr:row>
      <xdr:rowOff>28575</xdr:rowOff>
    </xdr:from>
    <xdr:ext cx="123825" cy="190500"/>
    <xdr:pic>
      <xdr:nvPicPr>
        <xdr:cNvPr id="19" name="image22.png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390525</xdr:colOff>
      <xdr:row>32</xdr:row>
      <xdr:rowOff>95250</xdr:rowOff>
    </xdr:from>
    <xdr:ext cx="371475" cy="342900"/>
    <xdr:pic>
      <xdr:nvPicPr>
        <xdr:cNvPr id="20" name="image17.png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523875</xdr:colOff>
      <xdr:row>2</xdr:row>
      <xdr:rowOff>142875</xdr:rowOff>
    </xdr:from>
    <xdr:ext cx="13125450" cy="6905625"/>
    <xdr:pic>
      <xdr:nvPicPr>
        <xdr:cNvPr id="21" name="image21.png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409575</xdr:colOff>
      <xdr:row>9</xdr:row>
      <xdr:rowOff>85725</xdr:rowOff>
    </xdr:from>
    <xdr:ext cx="5295900" cy="1343025"/>
    <xdr:pic>
      <xdr:nvPicPr>
        <xdr:cNvPr id="2" name="image26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561975</xdr:colOff>
      <xdr:row>2</xdr:row>
      <xdr:rowOff>161925</xdr:rowOff>
    </xdr:from>
    <xdr:ext cx="3305175" cy="2971800"/>
    <xdr:pic>
      <xdr:nvPicPr>
        <xdr:cNvPr id="2" name="image27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428625</xdr:colOff>
      <xdr:row>0</xdr:row>
      <xdr:rowOff>161925</xdr:rowOff>
    </xdr:from>
    <xdr:ext cx="9410700" cy="3400425"/>
    <xdr:pic>
      <xdr:nvPicPr>
        <xdr:cNvPr id="2" name="image28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428625</xdr:colOff>
      <xdr:row>0</xdr:row>
      <xdr:rowOff>161925</xdr:rowOff>
    </xdr:from>
    <xdr:ext cx="9410700" cy="3400425"/>
    <xdr:pic>
      <xdr:nvPicPr>
        <xdr:cNvPr id="3" name="image28.png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76200</xdr:colOff>
      <xdr:row>9</xdr:row>
      <xdr:rowOff>47625</xdr:rowOff>
    </xdr:from>
    <xdr:ext cx="3209925" cy="752475"/>
    <xdr:pic>
      <xdr:nvPicPr>
        <xdr:cNvPr id="2" name="image30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19</xdr:row>
      <xdr:rowOff>161925</xdr:rowOff>
    </xdr:from>
    <xdr:ext cx="2428875" cy="685800"/>
    <xdr:pic>
      <xdr:nvPicPr>
        <xdr:cNvPr id="3" name="image29.png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37</xdr:row>
      <xdr:rowOff>142875</xdr:rowOff>
    </xdr:from>
    <xdr:ext cx="3057525" cy="781050"/>
    <xdr:pic>
      <xdr:nvPicPr>
        <xdr:cNvPr id="4" name="image31.png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48</xdr:row>
      <xdr:rowOff>0</xdr:rowOff>
    </xdr:from>
    <xdr:ext cx="2571750" cy="800100"/>
    <xdr:pic>
      <xdr:nvPicPr>
        <xdr:cNvPr id="5" name="image32.pn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361950</xdr:colOff>
      <xdr:row>3</xdr:row>
      <xdr:rowOff>38100</xdr:rowOff>
    </xdr:from>
    <xdr:ext cx="5400675" cy="3248025"/>
    <xdr:pic>
      <xdr:nvPicPr>
        <xdr:cNvPr id="2" name="image33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228600</xdr:colOff>
      <xdr:row>26</xdr:row>
      <xdr:rowOff>161925</xdr:rowOff>
    </xdr:from>
    <xdr:ext cx="4476750" cy="2657475"/>
    <xdr:pic>
      <xdr:nvPicPr>
        <xdr:cNvPr id="2" name="image35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276225</xdr:colOff>
      <xdr:row>43</xdr:row>
      <xdr:rowOff>238125</xdr:rowOff>
    </xdr:from>
    <xdr:ext cx="3695700" cy="2752725"/>
    <xdr:pic>
      <xdr:nvPicPr>
        <xdr:cNvPr id="3" name="image36.png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3</xdr:row>
      <xdr:rowOff>57150</xdr:rowOff>
    </xdr:from>
    <xdr:ext cx="3600450" cy="3362325"/>
    <xdr:pic>
      <xdr:nvPicPr>
        <xdr:cNvPr id="4" name="image34.png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8</xdr:row>
      <xdr:rowOff>114300</xdr:rowOff>
    </xdr:from>
    <xdr:ext cx="8401050" cy="895350"/>
    <xdr:pic>
      <xdr:nvPicPr>
        <xdr:cNvPr id="2" name="image43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19</xdr:row>
      <xdr:rowOff>171450</xdr:rowOff>
    </xdr:from>
    <xdr:ext cx="6724650" cy="5648325"/>
    <xdr:pic>
      <xdr:nvPicPr>
        <xdr:cNvPr id="3" name="image37.png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190500</xdr:rowOff>
    </xdr:from>
    <xdr:ext cx="2590800" cy="1162050"/>
    <xdr:pic>
      <xdr:nvPicPr>
        <xdr:cNvPr id="4" name="image39.png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6457950" cy="771525"/>
    <xdr:pic>
      <xdr:nvPicPr>
        <xdr:cNvPr id="5" name="image44.png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9525</xdr:rowOff>
    </xdr:from>
    <xdr:ext cx="6391275" cy="1323975"/>
    <xdr:pic>
      <xdr:nvPicPr>
        <xdr:cNvPr id="6" name="image38.png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66675</xdr:rowOff>
    </xdr:from>
    <xdr:ext cx="5514975" cy="2847975"/>
    <xdr:pic>
      <xdr:nvPicPr>
        <xdr:cNvPr id="2" name="image41.pn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476875" cy="1800225"/>
    <xdr:pic>
      <xdr:nvPicPr>
        <xdr:cNvPr id="3" name="image42.png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647700</xdr:colOff>
      <xdr:row>26</xdr:row>
      <xdr:rowOff>180975</xdr:rowOff>
    </xdr:from>
    <xdr:ext cx="1133475" cy="466725"/>
    <xdr:pic>
      <xdr:nvPicPr>
        <xdr:cNvPr id="4" name="image40.png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6B9F2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2" personId="{00000000-0000-0000-0000-000000000000}" id="{9AD15DF5-8BDF-4346-A819-FD29D6CD87CD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Vida útil
Construcciones y edificaciones: 20 años
Maquinaria y equipo: 10 años
Vehículos: 5 años
Equipo de computación, herramientas: 5 años
</text>
  </threadedComment>
  <threadedComment ref="F86" personId="{00000000-0000-0000-0000-000000000000}" id="{C01C027C-C932-452E-9DC7-E2C2009D219C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Estudio Técnico: Tener en cuenta los materiales directos e indirectos que el proyecto requiere para realizar el proceso productivo.
</text>
  </threadedComment>
  <threadedComment ref="B170" personId="{00000000-0000-0000-0000-000000000000}" id="{D6E2CE0D-9603-40BA-9790-4869833A1855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Rubros necesarios, para dar a conocer el producto, ej. Pagos al personal de ventas, gastos de distribución, gastos publicitarios y de promoción.
</text>
  </threadedComment>
  <threadedComment ref="B199" personId="{00000000-0000-0000-0000-000000000000}" id="{4BDECDED-FC4A-48B7-9DD5-5D84A4517F37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suledo del personal de venta, no se considera mano de obra.</text>
  </threadedComment>
  <threadedComment ref="D442" personId="{00000000-0000-0000-0000-000000000000}" id="{AF414ADB-3203-4A8F-9323-5C0C9FAE5327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Incremento en ventas de acuerdo a la inflación de 0,0645
</text>
  </threadedComment>
  <threadedComment ref="C449" personId="{00000000-0000-0000-0000-000000000000}" id="{F324DF26-3F88-4EE2-B140-038D99DBA862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8</text>
  </threadedComment>
  <threadedComment ref="D449" personId="{00000000-0000-0000-0000-000000000000}" id="{F13095EC-0465-48F4-8439-6048075997F8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Incremento de acuerdo a la inflación, para este caso 0,0645</text>
  </threadedComment>
  <threadedComment ref="C450" personId="{00000000-0000-0000-0000-000000000000}" id="{D00A7CB9-F4BE-4AA0-9F35-40E3BA3CAED8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6</text>
  </threadedComment>
  <threadedComment ref="C451" personId="{00000000-0000-0000-0000-000000000000}" id="{948E42D8-D76D-46F6-A1D7-66C6C902BDBB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10</text>
  </threadedComment>
  <threadedComment ref="C454" personId="{00000000-0000-0000-0000-000000000000}" id="{04DB8875-0356-4424-B6C9-B680CB4C596B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8</text>
  </threadedComment>
  <threadedComment ref="C456" personId="{00000000-0000-0000-0000-000000000000}" id="{15A8C71F-0EB1-4E90-A673-5C3E657740D8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9</text>
  </threadedComment>
  <threadedComment ref="C464" personId="{00000000-0000-0000-0000-000000000000}" id="{850471F8-FA0D-4142-8107-66871A408C5E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12</text>
  </threadedComment>
  <threadedComment ref="C465" personId="{00000000-0000-0000-0000-000000000000}" id="{23824A45-61F7-49CD-9D24-7B8DB5AAF98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13</text>
  </threadedComment>
  <threadedComment ref="C467" personId="{00000000-0000-0000-0000-000000000000}" id="{8BF2C96E-2704-4822-AA21-61997C2E7C25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11</text>
  </threadedComment>
  <threadedComment ref="C468" personId="{00000000-0000-0000-0000-000000000000}" id="{72A22B69-D0EE-4F97-AF70-D5174F8AF55B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14
</text>
  </threadedComment>
  <threadedComment ref="C475" personId="{00000000-0000-0000-0000-000000000000}" id="{52B40627-D163-45B1-B397-F7E6BE6B0D6C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15</text>
  </threadedComment>
  <threadedComment ref="C484" personId="{00000000-0000-0000-0000-000000000000}" id="{9B6C25A1-58A8-4168-90E6-B8ED364A56B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Consolidado del cuadro 32</text>
  </threadedComment>
  <threadedComment ref="C485" personId="{00000000-0000-0000-0000-000000000000}" id="{F0FAE1D3-DC3B-4246-9C25-4685BAFAE28F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Consolidado del cuadro No. 33 Ppto Gtos Admon
</text>
  </threadedComment>
  <threadedComment ref="C486" personId="{00000000-0000-0000-0000-000000000000}" id="{417F2E61-787E-417B-993E-F06F65FBCEEC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Consolidado del cuadro No. 34 Ppto Gtos de Vta</text>
  </threadedComment>
  <threadedComment ref="C493" personId="{00000000-0000-0000-0000-000000000000}" id="{059873A4-CF9E-4235-9247-7C4C94BCCEF0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30 programa de Inversiones
</text>
  </threadedComment>
  <threadedComment ref="D494" personId="{00000000-0000-0000-0000-000000000000}" id="{8BA9C720-5F4B-4A51-8E21-35D0800B7CFF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ext>
  </threadedComment>
  <threadedComment ref="D503" personId="{00000000-0000-0000-0000-000000000000}" id="{CC31A257-D823-4BEA-98B0-3A4D4B0C4DA8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  Inv. Maq y Eq de PN
</text>
  </threadedComment>
  <threadedComment ref="D505" personId="{00000000-0000-0000-0000-000000000000}" id="{EF76CE6E-0455-40FE-A284-4ED0F7812BD1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4 Inv. Muebles enseres y eq Admon</text>
  </threadedComment>
  <threadedComment ref="D508" personId="{00000000-0000-0000-0000-000000000000}" id="{25297C07-A677-452F-9BE2-019928FC1407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5 Inv Act Intangibles
</text>
  </threadedComment>
  <threadedComment ref="D509" personId="{00000000-0000-0000-0000-000000000000}" id="{FE5EB6E4-77BA-4B34-903A-28F7F8D47013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1 Inversión en Obras Físicas
</text>
  </threadedComment>
  <threadedComment ref="D510" personId="{00000000-0000-0000-0000-000000000000}" id="{1DF14650-0643-419E-8579-34053FFA839C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30 Capital de trabajo a términos constantes
</text>
  </threadedComment>
  <threadedComment ref="E510" personId="{00000000-0000-0000-0000-000000000000}" id="{F7561754-A13D-48C2-A55D-A86C108D70A3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ext>
  </threadedComment>
  <threadedComment ref="K517" personId="{00000000-0000-0000-0000-000000000000}" id="{9A6C0278-C1B9-4821-83F1-0BEC0A2ADEE4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¡NO BORRAR!</text>
  </threadedComment>
  <threadedComment ref="C571" personId="{00000000-0000-0000-0000-000000000000}" id="{1E641929-8864-4D83-A217-6751650850C4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24 Costos Operacionales</text>
  </threadedComment>
  <threadedComment ref="C585" personId="{00000000-0000-0000-0000-000000000000}" id="{332BB07A-BFA9-460D-B692-F2F3ACE0476F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Viene del Cuadro 37 Programa de Inversiones con Financiamiento</text>
  </threadedComment>
  <threadedComment ref="D585" personId="{00000000-0000-0000-0000-000000000000}" id="{D1FFFF78-FD26-4A22-9E0D-2045D8835A4B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ext>
  </threadedComment>
  <threadedComment ref="H585" personId="{00000000-0000-0000-0000-000000000000}" id="{9A8C525A-42A2-4527-B5FB-1C48920C7028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36 Flujo neto de inversión
</text>
  </threadedComment>
  <threadedComment ref="C593" personId="{00000000-0000-0000-0000-000000000000}" id="{5D2D0ECA-06A4-4159-8FD4-EDB46FB5FAF1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30 Programa de Inversiones</text>
  </threadedComment>
  <threadedComment ref="C595" personId="{00000000-0000-0000-0000-000000000000}" id="{7F2F74F0-2AF6-4662-A3BF-C89AB05E04FF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36 Flujo neto de inversión sin financiamiento</text>
  </threadedComment>
  <threadedComment ref="D595" personId="{00000000-0000-0000-0000-000000000000}" id="{DE985E28-4584-487E-905E-643072FA5EDA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ext>
  </threadedComment>
  <threadedComment ref="C607" personId="{00000000-0000-0000-0000-000000000000}" id="{65A747B2-AE2D-40F4-8AF6-B4EF0D0CF087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38 
Programa de Amortización de crédito</text>
  </threadedComment>
  <threadedComment ref="C622" personId="{00000000-0000-0000-0000-000000000000}" id="{0D3F07EA-76F9-4945-A605-A1DD43DD673B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42 Flujo neto de inversiones</text>
  </threadedComment>
  <threadedComment ref="D622" personId="{00000000-0000-0000-0000-000000000000}" id="{793E6433-81CB-4046-A446-A211DFBF47B4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25 Proyección Capital de Trabajo términos constantes
</text>
  </threadedComment>
  <threadedComment ref="H622" personId="{00000000-0000-0000-0000-000000000000}" id="{B56C5A9C-F647-4B25-BD77-C117A67CA50F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Cuadro 31Valor residual activos al final del período de evaluación</text>
  </threadedComment>
  <threadedComment ref="C635" personId="{00000000-0000-0000-0000-000000000000}" id="{8C3733E4-AEAB-485A-929C-A2F5AC057197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incluye el valor del credito del cuadro 38
</text>
  </threadedComment>
  <threadedComment ref="C643" personId="{00000000-0000-0000-0000-000000000000}" id="{8BCF2C44-CB1C-450E-8033-163F7A6920A9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Ingresos operacionales del cuadro No. 43 Flujo neto de operaciones con financiamiento
</text>
  </threadedComment>
  <threadedComment ref="H662" personId="{00000000-0000-0000-0000-000000000000}" id="{BB3B954C-816D-4A79-9F42-1742476D0BBC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45 Flujo neto de inversión</text>
  </threadedComment>
  <threadedComment ref="C671" personId="{00000000-0000-0000-0000-000000000000}" id="{23795D12-6B5B-438F-8C11-B49B9AABE22B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Activos Fijos del cuadro 37 Programa de Inversiones con financiamiento</text>
  </threadedComment>
  <threadedComment ref="C672" personId="{00000000-0000-0000-0000-000000000000}" id="{6D299125-CA9B-41BC-8DE7-032C50B8288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Gtos preoperacionales el cuadro 37 Programa de Inversiones con Financiamiento</text>
  </threadedComment>
  <threadedComment ref="C673" personId="{00000000-0000-0000-0000-000000000000}" id="{47EA87BE-3EDA-499D-819F-90C74B9723A0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Obras físicas instalación Cuadro No. 37 programa de Inversiones con Financiamiento </text>
  </threadedComment>
  <threadedComment ref="D680" personId="{00000000-0000-0000-0000-000000000000}" id="{7133FB5B-4F86-4EC8-9CE5-8C011355DE28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Capital Deflactado cuadro No. 39</text>
  </threadedComment>
  <threadedComment ref="D691" personId="{00000000-0000-0000-0000-000000000000}" id="{679F54FA-8E6C-4A48-8811-36B2BD01C110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Gastos operacionales Cuadro No. 24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5" personId="{00000000-0000-0000-0000-000000000000}" id="{F12D7D8C-6D86-4C7F-A431-6E8933EC7CB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Al final de quinto año, todas las lineas o la linea de producción trendran un valor comercial o de salvamiento equivalente a 35% de su valor de adquisisción.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18" personId="{00000000-0000-0000-0000-000000000000}" id="{8A2B7FD7-2297-45D1-A60F-73F762F9516E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Total de costos operativos con IGV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4" personId="{00000000-0000-0000-0000-000000000000}" id="{430C7C25-ED76-4BD0-81BA-7922003E3FFE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Ya incluye Depreciación activo fijo y Amortización de intangibles.</text>
  </threadedComment>
  <threadedComment ref="B7" personId="{00000000-0000-0000-0000-000000000000}" id="{3F68705F-28D9-4285-8ED2-EE3AAC5BFDF1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Costos de producción la parte fija</text>
  </threadedComment>
  <threadedComment ref="B20" personId="{00000000-0000-0000-0000-000000000000}" id="{444FA360-9E8E-4CE7-ACF1-F436AFC8823D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Valor de venta sin IGV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10" personId="{00000000-0000-0000-0000-000000000000}" id="{7A24AB5E-DE9A-438F-85B8-4ED0B7171222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Aqui entra solos los gastos operativos ya que los gastos operativos no tienes las amortizaciones ni depreciaciones.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5" personId="{00000000-0000-0000-0000-000000000000}" id="{F3080CD5-1222-49B6-8EBD-C20E059329D7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Ventas sin IGV</text>
  </threadedComment>
  <threadedComment ref="B8" personId="{00000000-0000-0000-0000-000000000000}" id="{CE7889E9-56CD-4835-AAA3-91BF068B6B43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MDP + MOD +CIP son los costos de producción</text>
  </threadedComment>
  <threadedComment ref="I10" personId="{00000000-0000-0000-0000-000000000000}" id="{7ACBECAF-F760-43AD-AACA-13FAB89A011F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a todos los gastos operativos se aplica IGV. Por ejemplo, al sueldo de personal, CIS</text>
  </threadedComment>
  <threadedComment ref="I12" personId="{00000000-0000-0000-0000-000000000000}" id="{3D60F0DE-DBB7-4E28-822E-8CC0217B5BD6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Enviar a flujo de caja.</text>
  </threadedComment>
  <threadedComment ref="B17" personId="{00000000-0000-0000-0000-000000000000}" id="{E8A9BF40-9458-4F2C-85B5-1714B10C79C2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Gastos finacieros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12" personId="{00000000-0000-0000-0000-000000000000}" id="{70FA7598-761E-44CE-91B5-17B9E5E7D5F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También se le conoce como ANUALIDAD</text>
  </threadedComment>
  <threadedComment ref="G12" personId="{00000000-0000-0000-0000-000000000000}" id="{47CAC106-7032-4AF4-AB69-010D73A56D70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Amortización de capital tambien es lo mismo que Ck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6" personId="{00000000-0000-0000-0000-000000000000}" id="{83E46850-B29D-4FB3-8C2D-EA112557C3B8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Ventas Netas (sin IGV)</text>
  </threadedComment>
  <threadedComment ref="B15" personId="{00000000-0000-0000-0000-000000000000}" id="{45464C81-2AC3-4959-AD72-64CF87F56146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Retención de IGV o IGV recibido</text>
  </threadedComment>
  <threadedComment ref="B17" personId="{00000000-0000-0000-0000-000000000000}" id="{A031D5D4-4056-4479-9651-CABE8CF3EBF1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IGV de compras</text>
  </threadedComment>
  <threadedComment ref="B18" personId="{00000000-0000-0000-0000-000000000000}" id="{7F70FCDA-5C69-485F-A6EF-A98D7662BE41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IGV NETO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B14" personId="{00000000-0000-0000-0000-000000000000}" id="{99E7E187-D10D-455B-BB3C-48E644B6EA35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Este costo de producción no incluye las depreciaciones.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K4" personId="{00000000-0000-0000-0000-000000000000}" id="{FD0CA84C-49E1-4B1D-8258-FD2550C82B7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capital de trabajo varia solo cuando varía las cantidades producidas</text>
  </threadedComment>
  <threadedComment ref="B8" personId="{00000000-0000-0000-0000-000000000000}" id="{990AABDF-AA7C-4502-808A-5A947856BA33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Costos de producción</text>
  </threadedComment>
  <threadedComment ref="B9" personId="{00000000-0000-0000-0000-000000000000}" id="{834450BA-C9DF-4CC0-AE47-F78CB69C50E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Pagos por la franquisisa</text>
  </threadedComment>
  <threadedComment ref="B16" personId="{00000000-0000-0000-0000-000000000000}" id="{830876D9-4109-45E9-AAD6-E303AACA05E5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Utilidad despues de Imp.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8" personId="{00000000-0000-0000-0000-000000000000}" id="{DCD68123-D95E-4FB6-9227-7E9E38362887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Escudo fiscal es positivo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C18" personId="{00000000-0000-0000-0000-000000000000}" id="{8615E201-3AB0-45A0-82B4-ADB188F751C2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es la inversion que se requiere y es 100% capital propio. INVERSION DEL PROYECTO.</text>
  </threadedComment>
  <threadedComment ref="B25" personId="{00000000-0000-0000-0000-000000000000}" id="{0A3FB139-CB8B-4BE4-A40A-523B8A628375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 es negativo, este no va poder pagar sus deudas, entonces se puede ampliar el tiempo de préstamo para volverlo positivo. o incrementar el capital de trabajo.</text>
  </threadedComment>
  <threadedComment ref="C25" personId="{00000000-0000-0000-0000-000000000000}" id="{0E68609A-D46C-489F-A6DC-5DDB51CCA01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invierte en realidad este monto. INVERSIÓN DEL ACCIONISTA.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B29" personId="{00000000-0000-0000-0000-000000000000}" id="{F9765AD8-6438-47E9-85AD-B7E6F5C392E3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Tasa Libre de Riesgo (Rf) lo saco del Bono (Letras) del Tesoro de EEUU en este caso a 5 años ya que es el período del proyecto (lo encuentras en el siguiente link: https://finance.yahoo.com/bonds  )</text>
  </threadedComment>
  <threadedComment ref="B30" personId="{00000000-0000-0000-0000-000000000000}" id="{35BC6972-CCBD-4571-A3A2-CDD2A51D9915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saca de carpeta de DAMODARAN o ir su página.</text>
  </threadedComment>
  <threadedComment ref="B31" personId="{00000000-0000-0000-0000-000000000000}" id="{0C8481ED-25EA-46BE-9C25-D0D4BEA127F9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la rentabilidad del mercado (Rm), necesito un indicador de la rentabilidad del mundo en general, y para ello utilizo el rendimiento del Standar &amp; Poors 500, que es una buena referencia para medir la rentabilidad mundial.</text>
  </threadedComment>
  <threadedComment ref="B32" personId="{00000000-0000-0000-0000-000000000000}" id="{A1223A2D-5614-4609-95AF-F34B9B4CD69F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Riesgo pais se saca de la siguiente  Web de www.ambito.com/economia/ mercados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G7" personId="{00000000-0000-0000-0000-000000000000}" id="{DFE8B965-0406-4E2E-BBD8-6162073163BC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Porcentaje de capital propio en la estructura financiera.</text>
  </threadedComment>
  <threadedComment ref="G8" personId="{00000000-0000-0000-0000-000000000000}" id="{EC2B18C9-8B47-469D-B562-3DE4A5B7D950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 del capital propio apalancado</text>
  </threadedComment>
  <threadedComment ref="G9" personId="{00000000-0000-0000-0000-000000000000}" id="{659EA3CB-ECC5-4EFC-B831-FE32EDCB1A0B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Porcentaje de deuda en la estructura financiera.</text>
  </threadedComment>
  <threadedComment ref="G10" personId="{00000000-0000-0000-0000-000000000000}" id="{1662B4DA-080E-4718-9796-E0C1EFE310A6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 de la deuda antes de impuestos</text>
  </threadedComment>
  <threadedComment ref="G11" personId="{00000000-0000-0000-0000-000000000000}" id="{ECE47560-ACD5-4C84-878C-1B282EB32F54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Tasa impositiva a la renta</text>
  </threadedComment>
  <threadedComment ref="J12" personId="{00000000-0000-0000-0000-000000000000}" id="{D8EB5745-B854-46D4-925F-549D97DA7A7D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Total de activos o es la suma de pasivos mas activos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C3" personId="{00000000-0000-0000-0000-000000000000}" id="{6D275AAC-DBFB-48E5-A477-8D53998E9831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empresa diversificada</text>
  </threadedComment>
  <threadedComment ref="C11" personId="{00000000-0000-0000-0000-000000000000}" id="{38C4E3A4-F4D8-44E5-9BF7-54518CCECE03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CORRECTO NO SERIA kurs?</text>
  </threadedComment>
  <threadedComment ref="C14" personId="{00000000-0000-0000-0000-000000000000}" id="{204AC92F-836B-4EFF-B591-2759943980BD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Empresa no diversificada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C198" personId="{00000000-0000-0000-0000-000000000000}" id="{E193DE93-6EB2-4A7C-B50D-7CEA362B7D23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Datos del Cuadro No. 44
</text>
  </threadedComment>
  <threadedComment ref="C273" personId="{00000000-0000-0000-0000-000000000000}" id="{CE5EEA08-4FA6-4243-AA81-592DB7FEBABB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47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D30" personId="{00000000-0000-0000-0000-000000000000}" id="{8B2FC452-477E-40AF-B368-45F2F83849EA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40 Flujo neto de operación</text>
  </threadedComment>
  <threadedComment ref="C35" personId="{00000000-0000-0000-0000-000000000000}" id="{AF34F9F2-69B1-4157-BACF-650B5B0A7D62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No. 36 Flujo neto de inversión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74" personId="{00000000-0000-0000-0000-000000000000}" id="{55502AE0-24B4-4561-A864-B645B28D3769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para la modificación en el número de unidades a vender. Si aumenta es positivo, si disminuye agregue el signo menos delante del valor a modificar. Dé enter después de colocar el valor ( no es necesario colocar el signo %, solo coloque el número entero). Verifique la modificación en el cuadro 60.
</text>
  </threadedComment>
  <threadedComment ref="H76" personId="{00000000-0000-0000-0000-000000000000}" id="{06361574-E807-4D25-BE30-FDCFD4A7071E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 para la modificación de precio de venta. Si incrementa es positivo, si disminuye agregue el signo menos delante del valor a colocar. Dé enter después de colocar el valor (no es necesario colocar el signo %, solo coloque el número entero). Verifique la modificación en el cuadro 60.</text>
  </threadedComment>
  <threadedComment ref="B101" personId="{00000000-0000-0000-0000-000000000000}" id="{DFBE63FE-25F6-40D0-855E-0A95493BE33F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de este cuadro se traen del ejercicio desarrollado en el módulo de Luz Marina Dávila de la bibliografía del curso</text>
  </threadedComment>
  <threadedComment ref="D104" personId="{00000000-0000-0000-0000-000000000000}" id="{EDA59133-3586-4C21-810D-8D2B43282BA7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41
</text>
  </threadedComment>
  <threadedComment ref="H130" personId="{00000000-0000-0000-0000-000000000000}" id="{1B09538B-43EE-42B0-9B00-20C2B9BDFE2C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para la modificación en el número de unidades a vender. Si aumenta es positivo, si disminuye agregue el signo menos delante del valor a modificar. Dé enter después de colocar el valor ( no es necesario colocar el signo %, solo coloque el número entero). Verifique la modificación en el cuadro 60.
</text>
  </threadedComment>
  <threadedComment ref="H134" personId="{00000000-0000-0000-0000-000000000000}" id="{10E7A319-61C3-45A3-B412-C798FD6E1609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Inserte aquí el valor  para la modificación de precio de venta. Si incrementa es positivo, si disminuye agregue el signo menos delante del valor a colocar. Dé enter después de colocar el valor (no es necesario colocar el signo %, solo coloque el número entero). Verifique la modificación en el cuadro 60.</text>
  </threadedComment>
  <threadedComment ref="B156" personId="{00000000-0000-0000-0000-000000000000}" id="{DC08D494-0705-43F7-A1B4-15004870EE37}">
    <tex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Los valores de este cuadro se traen del ejercicio desarrollado en el módulo de Luz Marina Dávila de la bibliografía del curso</text>
  </threadedComment>
  <threadedComment ref="D159" personId="{00000000-0000-0000-0000-000000000000}" id="{F1152B28-AE88-495C-ACE7-12EE7A446E19}">
    <tex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Del cuadro 41
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0.xml"/><Relationship Id="rId4" Type="http://schemas.microsoft.com/office/2017/10/relationships/threadedComment" Target="../threadedComments/threadedComment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2.xml"/><Relationship Id="rId4" Type="http://schemas.microsoft.com/office/2017/10/relationships/threadedComment" Target="../threadedComments/threadedComment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4.xml"/><Relationship Id="rId4" Type="http://schemas.microsoft.com/office/2017/10/relationships/threadedComment" Target="../threadedComments/threadedComment12.xml"/></Relationships>
</file>

<file path=xl/worksheets/_rels/sheet2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3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Relationship Id="rId4" Type="http://schemas.microsoft.com/office/2017/10/relationships/threadedComment" Target="../threadedComments/threadedComment1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9r7Cs_6M0A" TargetMode="External"/><Relationship Id="rId7" Type="http://schemas.microsoft.com/office/2017/10/relationships/threadedComment" Target="../threadedComments/threadedComment16.xml"/><Relationship Id="rId2" Type="http://schemas.openxmlformats.org/officeDocument/2006/relationships/hyperlink" Target="https://www.youtube.com/watch?v=W9r7Cs_6M0A" TargetMode="External"/><Relationship Id="rId1" Type="http://schemas.openxmlformats.org/officeDocument/2006/relationships/hyperlink" Target="https://www.youtube.com/watch?v=W9r7Cs_6M0A" TargetMode="External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Relationship Id="rId4" Type="http://schemas.microsoft.com/office/2017/10/relationships/threadedComment" Target="../threadedComments/threadedComment17.xml"/></Relationships>
</file>

<file path=xl/worksheets/_rels/sheet3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8.xml"/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N24" sqref="N24"/>
    </sheetView>
  </sheetViews>
  <sheetFormatPr baseColWidth="10" defaultColWidth="12.625" defaultRowHeight="15" customHeight="1"/>
  <cols>
    <col min="1" max="1" width="2.375" customWidth="1"/>
    <col min="2" max="2" width="2.25" customWidth="1"/>
    <col min="3" max="6" width="10.125" customWidth="1"/>
    <col min="7" max="7" width="19.375" customWidth="1"/>
    <col min="8" max="26" width="10.125" customWidth="1"/>
  </cols>
  <sheetData>
    <row r="1" spans="1:26">
      <c r="A1" s="1"/>
      <c r="B1" s="1"/>
      <c r="C1" s="1"/>
      <c r="D1" s="1"/>
      <c r="E1" s="1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3"/>
      <c r="B2" s="433" t="s">
        <v>0</v>
      </c>
      <c r="C2" s="434"/>
      <c r="D2" s="434"/>
      <c r="E2" s="434"/>
      <c r="F2" s="434"/>
      <c r="G2" s="434"/>
      <c r="H2" s="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5"/>
      <c r="C4" s="435" t="s">
        <v>1</v>
      </c>
      <c r="D4" s="436"/>
      <c r="E4" s="436"/>
      <c r="F4" s="436"/>
      <c r="G4" s="437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5"/>
      <c r="C5" s="438" t="s">
        <v>2</v>
      </c>
      <c r="D5" s="436"/>
      <c r="E5" s="436"/>
      <c r="F5" s="436"/>
      <c r="G5" s="437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7">
        <v>1</v>
      </c>
      <c r="C6" s="439" t="s">
        <v>3</v>
      </c>
      <c r="D6" s="436"/>
      <c r="E6" s="436"/>
      <c r="F6" s="437"/>
      <c r="G6" s="8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9">
        <v>2</v>
      </c>
      <c r="C7" s="440" t="s">
        <v>4</v>
      </c>
      <c r="D7" s="436"/>
      <c r="E7" s="436"/>
      <c r="F7" s="437"/>
      <c r="G7" s="10" t="s">
        <v>5</v>
      </c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7">
        <v>3</v>
      </c>
      <c r="C8" s="430" t="s">
        <v>6</v>
      </c>
      <c r="D8" s="431"/>
      <c r="E8" s="431"/>
      <c r="F8" s="431"/>
      <c r="G8" s="11"/>
      <c r="H8" s="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7">
        <v>4</v>
      </c>
      <c r="C9" s="430" t="s">
        <v>7</v>
      </c>
      <c r="D9" s="431"/>
      <c r="E9" s="431"/>
      <c r="F9" s="431"/>
      <c r="G9" s="11"/>
      <c r="H9" s="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7">
        <v>5</v>
      </c>
      <c r="C10" s="430" t="s">
        <v>8</v>
      </c>
      <c r="D10" s="431"/>
      <c r="E10" s="431"/>
      <c r="F10" s="431"/>
      <c r="G10" s="11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.75">
      <c r="A11" s="1"/>
      <c r="B11" s="2"/>
      <c r="C11" s="1"/>
      <c r="D11" s="1"/>
      <c r="E11" s="1"/>
      <c r="F11" s="1"/>
      <c r="G11" s="1"/>
      <c r="H11" s="2"/>
      <c r="I11" s="1"/>
      <c r="J11" s="1"/>
      <c r="K11" s="1"/>
      <c r="L11" s="1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3"/>
      <c r="B13" s="432" t="s">
        <v>9</v>
      </c>
      <c r="C13" s="431"/>
      <c r="D13" s="431"/>
      <c r="E13" s="431"/>
      <c r="F13" s="431"/>
      <c r="G13" s="431"/>
      <c r="H13" s="43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C10:F10"/>
    <mergeCell ref="B13:H13"/>
    <mergeCell ref="B2:G2"/>
    <mergeCell ref="C4:G4"/>
    <mergeCell ref="C5:G5"/>
    <mergeCell ref="C6:F6"/>
    <mergeCell ref="C7:F7"/>
    <mergeCell ref="C8:F8"/>
    <mergeCell ref="C9:F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>
      <selection activeCell="G16" sqref="G16"/>
    </sheetView>
  </sheetViews>
  <sheetFormatPr baseColWidth="10" defaultColWidth="12.625" defaultRowHeight="15" customHeight="1"/>
  <cols>
    <col min="1" max="1" width="2.375" customWidth="1"/>
    <col min="2" max="2" width="5.25" customWidth="1"/>
    <col min="3" max="6" width="7.75" customWidth="1"/>
    <col min="7" max="7" width="15.875" customWidth="1"/>
    <col min="8" max="8" width="7.875" customWidth="1"/>
    <col min="9" max="9" width="17" customWidth="1"/>
    <col min="10" max="10" width="13.5" customWidth="1"/>
    <col min="11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10</v>
      </c>
      <c r="C2" s="436"/>
      <c r="D2" s="436"/>
      <c r="E2" s="437"/>
      <c r="F2" s="1"/>
      <c r="G2" s="14" t="s">
        <v>11</v>
      </c>
      <c r="H2" s="15">
        <v>0.12</v>
      </c>
      <c r="I2" s="16" t="s">
        <v>12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7"/>
      <c r="C3" s="17"/>
      <c r="D3" s="17"/>
      <c r="E3" s="17"/>
      <c r="F3" s="1"/>
      <c r="G3" s="3" t="s">
        <v>13</v>
      </c>
      <c r="H3" s="18">
        <v>0.02</v>
      </c>
      <c r="I3" s="11" t="s">
        <v>14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441" t="s">
        <v>15</v>
      </c>
      <c r="C4" s="436"/>
      <c r="D4" s="436"/>
      <c r="E4" s="437"/>
      <c r="F4" s="1"/>
      <c r="G4" s="3" t="s">
        <v>16</v>
      </c>
      <c r="H4" s="19">
        <v>5</v>
      </c>
      <c r="I4" s="11" t="s">
        <v>17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441" t="s">
        <v>18</v>
      </c>
      <c r="C5" s="436"/>
      <c r="D5" s="436"/>
      <c r="E5" s="437"/>
      <c r="F5" s="1"/>
      <c r="G5" s="3" t="s">
        <v>19</v>
      </c>
      <c r="H5" s="20">
        <f>'Flujo_Deuda Frances 1'!E4</f>
        <v>0.215</v>
      </c>
      <c r="I5" s="11"/>
      <c r="J5" s="1">
        <v>0.209830406509082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41"/>
      <c r="C6" s="436"/>
      <c r="D6" s="436"/>
      <c r="E6" s="437"/>
      <c r="F6" s="1"/>
      <c r="G6" s="3" t="s">
        <v>20</v>
      </c>
      <c r="H6" s="21">
        <v>1.4999999999999999E-2</v>
      </c>
      <c r="I6" s="11" t="s">
        <v>21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7"/>
      <c r="C7" s="9"/>
      <c r="D7" s="9"/>
      <c r="E7" s="17"/>
      <c r="F7" s="1"/>
      <c r="G7" s="3" t="s">
        <v>22</v>
      </c>
      <c r="H7" s="21">
        <v>0.29499999999999998</v>
      </c>
      <c r="I7" s="11" t="s">
        <v>23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22" t="s">
        <v>24</v>
      </c>
      <c r="C8" s="23"/>
      <c r="D8" s="22" t="s">
        <v>25</v>
      </c>
      <c r="E8" s="23"/>
      <c r="F8" s="24"/>
      <c r="G8" s="3" t="s">
        <v>26</v>
      </c>
      <c r="H8" s="25">
        <f>Costos_Unitarios!D20</f>
        <v>45</v>
      </c>
      <c r="I8" s="11" t="s">
        <v>27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2"/>
      <c r="C9" s="2"/>
      <c r="D9" s="2"/>
      <c r="E9" s="2"/>
      <c r="F9" s="1"/>
      <c r="G9" s="14" t="s">
        <v>28</v>
      </c>
      <c r="H9" s="26">
        <v>2</v>
      </c>
      <c r="I9" s="16" t="s">
        <v>27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22" t="s">
        <v>29</v>
      </c>
      <c r="C10" s="27"/>
      <c r="D10" s="22" t="s">
        <v>30</v>
      </c>
      <c r="E10" s="27"/>
      <c r="F10" s="2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E2"/>
    <mergeCell ref="B4:E4"/>
    <mergeCell ref="B5:E5"/>
    <mergeCell ref="B6:E6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C6294"/>
  </sheetPr>
  <dimension ref="A1:Z1000"/>
  <sheetViews>
    <sheetView showGridLines="0" topLeftCell="A319" workbookViewId="0">
      <selection activeCell="K324" sqref="K324"/>
    </sheetView>
  </sheetViews>
  <sheetFormatPr baseColWidth="10" defaultColWidth="12.625" defaultRowHeight="15" customHeight="1"/>
  <cols>
    <col min="1" max="1" width="2.375" customWidth="1"/>
    <col min="2" max="2" width="41.75" customWidth="1"/>
    <col min="3" max="15" width="18.25" customWidth="1"/>
    <col min="16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29" t="s">
        <v>31</v>
      </c>
      <c r="C2" s="25">
        <v>300</v>
      </c>
      <c r="D2" s="1"/>
      <c r="E2" s="2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29" t="s">
        <v>32</v>
      </c>
      <c r="C3" s="25">
        <f>Costos_Unitarios!D22</f>
        <v>53</v>
      </c>
      <c r="D3" s="1"/>
      <c r="E3" s="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29" t="s">
        <v>13</v>
      </c>
      <c r="C4" s="30">
        <f>D4</f>
        <v>0.02</v>
      </c>
      <c r="D4" s="31">
        <f>Resumen!H3</f>
        <v>0.02</v>
      </c>
      <c r="E4" s="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29" t="s">
        <v>33</v>
      </c>
      <c r="C5" s="18">
        <v>0.4</v>
      </c>
      <c r="D5" s="1"/>
      <c r="E5" s="2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29" t="s">
        <v>34</v>
      </c>
      <c r="C6" s="18">
        <v>1</v>
      </c>
      <c r="D6" s="1"/>
      <c r="E6" s="2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29" t="s">
        <v>35</v>
      </c>
      <c r="C7" s="18">
        <v>0</v>
      </c>
      <c r="D7" s="1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454" t="s">
        <v>36</v>
      </c>
      <c r="C9" s="436"/>
      <c r="D9" s="436"/>
      <c r="E9" s="437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32" t="s">
        <v>37</v>
      </c>
      <c r="C10" s="32" t="s">
        <v>38</v>
      </c>
      <c r="D10" s="32" t="s">
        <v>39</v>
      </c>
      <c r="E10" s="32" t="s">
        <v>40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1" t="s">
        <v>41</v>
      </c>
      <c r="C11" s="19"/>
      <c r="D11" s="25"/>
      <c r="E11" s="25">
        <f t="shared" ref="E11:E16" si="0">C11*D11</f>
        <v>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1" t="s">
        <v>42</v>
      </c>
      <c r="C12" s="19"/>
      <c r="D12" s="25"/>
      <c r="E12" s="25">
        <f t="shared" si="0"/>
        <v>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1" t="s">
        <v>43</v>
      </c>
      <c r="C13" s="19"/>
      <c r="D13" s="25"/>
      <c r="E13" s="25">
        <f t="shared" si="0"/>
        <v>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1" t="s">
        <v>44</v>
      </c>
      <c r="C14" s="19"/>
      <c r="D14" s="25"/>
      <c r="E14" s="25">
        <f t="shared" si="0"/>
        <v>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1" t="s">
        <v>45</v>
      </c>
      <c r="C15" s="19"/>
      <c r="D15" s="25"/>
      <c r="E15" s="25">
        <f t="shared" si="0"/>
        <v>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1" t="s">
        <v>46</v>
      </c>
      <c r="C16" s="19"/>
      <c r="D16" s="25"/>
      <c r="E16" s="25">
        <f t="shared" si="0"/>
        <v>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33" t="s">
        <v>47</v>
      </c>
      <c r="C17" s="34"/>
      <c r="D17" s="34"/>
      <c r="E17" s="35">
        <f>SUM(E11:E16)</f>
        <v>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435" t="s">
        <v>48</v>
      </c>
      <c r="C20" s="436"/>
      <c r="D20" s="436"/>
      <c r="E20" s="436"/>
      <c r="F20" s="437"/>
      <c r="G20" s="36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37" t="s">
        <v>49</v>
      </c>
      <c r="C21" s="37" t="s">
        <v>38</v>
      </c>
      <c r="D21" s="37" t="s">
        <v>39</v>
      </c>
      <c r="E21" s="37" t="s">
        <v>40</v>
      </c>
      <c r="F21" s="37" t="s">
        <v>50</v>
      </c>
      <c r="G21" s="38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1" t="s">
        <v>51</v>
      </c>
      <c r="C22" s="39">
        <v>2</v>
      </c>
      <c r="D22" s="40">
        <v>1899</v>
      </c>
      <c r="E22" s="40">
        <f t="shared" ref="E22:E25" si="1">C22*D22</f>
        <v>3798</v>
      </c>
      <c r="F22" s="39">
        <v>5</v>
      </c>
      <c r="G22" s="20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41" t="s">
        <v>52</v>
      </c>
      <c r="C23" s="39">
        <v>1</v>
      </c>
      <c r="D23" s="40">
        <v>1559</v>
      </c>
      <c r="E23" s="40">
        <f t="shared" si="1"/>
        <v>1559</v>
      </c>
      <c r="F23" s="39">
        <v>3</v>
      </c>
      <c r="G23" s="20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1" t="s">
        <v>53</v>
      </c>
      <c r="C24" s="39">
        <v>1</v>
      </c>
      <c r="D24" s="40">
        <v>1500</v>
      </c>
      <c r="E24" s="40">
        <f t="shared" si="1"/>
        <v>1500</v>
      </c>
      <c r="F24" s="39">
        <v>3</v>
      </c>
      <c r="G24" s="20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1" t="s">
        <v>54</v>
      </c>
      <c r="C25" s="39">
        <v>1</v>
      </c>
      <c r="D25" s="40">
        <v>27</v>
      </c>
      <c r="E25" s="40">
        <f t="shared" si="1"/>
        <v>27</v>
      </c>
      <c r="F25" s="39">
        <v>5</v>
      </c>
      <c r="G25" s="2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1"/>
      <c r="C26" s="39"/>
      <c r="D26" s="40"/>
      <c r="E26" s="40"/>
      <c r="F26" s="39"/>
      <c r="G26" s="2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33" t="s">
        <v>47</v>
      </c>
      <c r="C27" s="42"/>
      <c r="D27" s="43"/>
      <c r="E27" s="43">
        <f>SUM(E22:E26)</f>
        <v>6884</v>
      </c>
      <c r="F27" s="44"/>
      <c r="G27" s="45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435" t="s">
        <v>55</v>
      </c>
      <c r="C30" s="436"/>
      <c r="D30" s="436"/>
      <c r="E30" s="436"/>
      <c r="F30" s="43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37" t="s">
        <v>56</v>
      </c>
      <c r="C31" s="37" t="s">
        <v>38</v>
      </c>
      <c r="D31" s="37" t="s">
        <v>39</v>
      </c>
      <c r="E31" s="37" t="s">
        <v>40</v>
      </c>
      <c r="F31" s="37" t="s">
        <v>50</v>
      </c>
      <c r="G31" s="38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1" t="s">
        <v>57</v>
      </c>
      <c r="C32" s="39"/>
      <c r="D32" s="40"/>
      <c r="E32" s="40">
        <f t="shared" ref="E32:E35" si="2">C32*D32</f>
        <v>0</v>
      </c>
      <c r="F32" s="39">
        <v>5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1" t="s">
        <v>58</v>
      </c>
      <c r="C33" s="39"/>
      <c r="D33" s="40"/>
      <c r="E33" s="40">
        <f t="shared" si="2"/>
        <v>0</v>
      </c>
      <c r="F33" s="39">
        <v>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1" t="s">
        <v>59</v>
      </c>
      <c r="C34" s="39"/>
      <c r="D34" s="40"/>
      <c r="E34" s="40">
        <f t="shared" si="2"/>
        <v>0</v>
      </c>
      <c r="F34" s="39">
        <v>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1" t="s">
        <v>60</v>
      </c>
      <c r="C35" s="39"/>
      <c r="D35" s="40"/>
      <c r="E35" s="40">
        <f t="shared" si="2"/>
        <v>0</v>
      </c>
      <c r="F35" s="39">
        <v>5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33" t="s">
        <v>47</v>
      </c>
      <c r="C36" s="42"/>
      <c r="D36" s="43"/>
      <c r="E36" s="43">
        <f>SUM(E32:E35)</f>
        <v>0</v>
      </c>
      <c r="F36" s="4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435" t="s">
        <v>61</v>
      </c>
      <c r="C39" s="436"/>
      <c r="D39" s="436"/>
      <c r="E39" s="436"/>
      <c r="F39" s="437"/>
      <c r="G39" s="36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37" t="s">
        <v>37</v>
      </c>
      <c r="C40" s="37" t="s">
        <v>38</v>
      </c>
      <c r="D40" s="37" t="s">
        <v>39</v>
      </c>
      <c r="E40" s="37" t="s">
        <v>40</v>
      </c>
      <c r="F40" s="37" t="s">
        <v>50</v>
      </c>
      <c r="G40" s="38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"/>
      <c r="B41" s="41" t="s">
        <v>62</v>
      </c>
      <c r="C41" s="46">
        <v>1</v>
      </c>
      <c r="D41" s="40">
        <v>130</v>
      </c>
      <c r="E41" s="40">
        <f t="shared" ref="E41:E48" si="3">C41*D41</f>
        <v>130</v>
      </c>
      <c r="F41" s="39">
        <v>5</v>
      </c>
      <c r="G41" s="2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41" t="s">
        <v>63</v>
      </c>
      <c r="C42" s="46">
        <v>1</v>
      </c>
      <c r="D42" s="40">
        <v>50</v>
      </c>
      <c r="E42" s="40">
        <f t="shared" si="3"/>
        <v>50</v>
      </c>
      <c r="F42" s="39">
        <v>7</v>
      </c>
      <c r="G42" s="20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1" t="s">
        <v>64</v>
      </c>
      <c r="C43" s="46">
        <v>2</v>
      </c>
      <c r="D43" s="40">
        <v>30</v>
      </c>
      <c r="E43" s="40">
        <f t="shared" si="3"/>
        <v>60</v>
      </c>
      <c r="F43" s="39">
        <v>5</v>
      </c>
      <c r="G43" s="20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1" t="s">
        <v>65</v>
      </c>
      <c r="C44" s="46">
        <v>1</v>
      </c>
      <c r="D44" s="40">
        <v>220</v>
      </c>
      <c r="E44" s="40">
        <f t="shared" si="3"/>
        <v>220</v>
      </c>
      <c r="F44" s="39">
        <v>5</v>
      </c>
      <c r="G44" s="20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1" t="s">
        <v>66</v>
      </c>
      <c r="C45" s="46">
        <v>1</v>
      </c>
      <c r="D45" s="40">
        <v>15</v>
      </c>
      <c r="E45" s="40">
        <f t="shared" si="3"/>
        <v>15</v>
      </c>
      <c r="F45" s="39">
        <v>1</v>
      </c>
      <c r="G45" s="20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1" t="s">
        <v>67</v>
      </c>
      <c r="C46" s="46">
        <v>1</v>
      </c>
      <c r="D46" s="40">
        <v>49</v>
      </c>
      <c r="E46" s="40">
        <f t="shared" si="3"/>
        <v>49</v>
      </c>
      <c r="F46" s="39">
        <v>5</v>
      </c>
      <c r="G46" s="2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1" t="s">
        <v>68</v>
      </c>
      <c r="C47" s="46">
        <v>1</v>
      </c>
      <c r="D47" s="40">
        <v>30</v>
      </c>
      <c r="E47" s="40">
        <f t="shared" si="3"/>
        <v>30</v>
      </c>
      <c r="F47" s="39">
        <v>5</v>
      </c>
      <c r="G47" s="20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1" t="s">
        <v>69</v>
      </c>
      <c r="C48" s="46">
        <v>1</v>
      </c>
      <c r="D48" s="40">
        <v>3400</v>
      </c>
      <c r="E48" s="40">
        <f t="shared" si="3"/>
        <v>3400</v>
      </c>
      <c r="F48" s="46">
        <v>3</v>
      </c>
      <c r="G48" s="20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1"/>
      <c r="C49" s="46"/>
      <c r="D49" s="40"/>
      <c r="E49" s="40"/>
      <c r="F49" s="39"/>
      <c r="G49" s="20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1"/>
      <c r="C50" s="39"/>
      <c r="D50" s="40"/>
      <c r="E50" s="40"/>
      <c r="F50" s="39"/>
      <c r="G50" s="20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33" t="s">
        <v>47</v>
      </c>
      <c r="C51" s="42"/>
      <c r="D51" s="43"/>
      <c r="E51" s="43">
        <f>SUM(E41:E50)</f>
        <v>3954</v>
      </c>
      <c r="F51" s="44"/>
      <c r="G51" s="45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435" t="s">
        <v>70</v>
      </c>
      <c r="C54" s="436"/>
      <c r="D54" s="436"/>
      <c r="E54" s="436"/>
      <c r="F54" s="437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34" t="s">
        <v>37</v>
      </c>
      <c r="C55" s="47"/>
      <c r="D55" s="47"/>
      <c r="E55" s="37" t="s">
        <v>71</v>
      </c>
      <c r="F55" s="34" t="s">
        <v>72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 t="s">
        <v>73</v>
      </c>
      <c r="C56" s="1"/>
      <c r="D56" s="1"/>
      <c r="E56" s="40">
        <v>534.99</v>
      </c>
      <c r="F56" s="20">
        <f t="shared" ref="F56:F61" si="4">E56/$C$415</f>
        <v>4.4750351108616568E-2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 t="s">
        <v>74</v>
      </c>
      <c r="C57" s="1"/>
      <c r="D57" s="1"/>
      <c r="E57" s="40">
        <v>477</v>
      </c>
      <c r="F57" s="20">
        <f t="shared" si="4"/>
        <v>3.9899656963326612E-2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 t="s">
        <v>75</v>
      </c>
      <c r="C58" s="1"/>
      <c r="D58" s="1"/>
      <c r="E58" s="40">
        <v>60</v>
      </c>
      <c r="F58" s="20">
        <f t="shared" si="4"/>
        <v>5.0188247752612093E-3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 t="s">
        <v>76</v>
      </c>
      <c r="C59" s="1"/>
      <c r="D59" s="1"/>
      <c r="E59" s="40">
        <v>45</v>
      </c>
      <c r="F59" s="20">
        <f t="shared" si="4"/>
        <v>3.7641185814459069E-3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48"/>
      <c r="C60" s="48"/>
      <c r="D60" s="48"/>
      <c r="E60" s="40"/>
      <c r="F60" s="20">
        <f t="shared" si="4"/>
        <v>0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33" t="s">
        <v>77</v>
      </c>
      <c r="C61" s="33"/>
      <c r="D61" s="33"/>
      <c r="E61" s="43">
        <f>SUM(E56:E60)</f>
        <v>1116.99</v>
      </c>
      <c r="F61" s="49">
        <f t="shared" si="4"/>
        <v>9.3432951428650296E-2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435" t="s">
        <v>78</v>
      </c>
      <c r="C64" s="436"/>
      <c r="D64" s="436"/>
      <c r="E64" s="436"/>
      <c r="F64" s="437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38.25" customHeight="1">
      <c r="A65" s="1"/>
      <c r="B65" s="33" t="s">
        <v>79</v>
      </c>
      <c r="C65" s="37" t="s">
        <v>80</v>
      </c>
      <c r="D65" s="37" t="s">
        <v>81</v>
      </c>
      <c r="E65" s="37" t="s">
        <v>82</v>
      </c>
      <c r="F65" s="37" t="s">
        <v>83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48" t="s">
        <v>84</v>
      </c>
      <c r="C66" s="40">
        <v>1185</v>
      </c>
      <c r="D66" s="40">
        <f t="shared" ref="D66:D67" si="5">C66*12</f>
        <v>14220</v>
      </c>
      <c r="E66" s="40">
        <v>15</v>
      </c>
      <c r="F66" s="40">
        <f t="shared" ref="F66:F67" si="6">C66</f>
        <v>1185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48" t="s">
        <v>85</v>
      </c>
      <c r="C67" s="40">
        <v>930</v>
      </c>
      <c r="D67" s="40">
        <f t="shared" si="5"/>
        <v>11160</v>
      </c>
      <c r="E67" s="40">
        <v>15</v>
      </c>
      <c r="F67" s="40">
        <f t="shared" si="6"/>
        <v>930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33" t="s">
        <v>47</v>
      </c>
      <c r="C68" s="43"/>
      <c r="D68" s="43">
        <f t="shared" ref="D68:F68" si="7">SUM(D66:D67)</f>
        <v>25380</v>
      </c>
      <c r="E68" s="43">
        <f t="shared" si="7"/>
        <v>30</v>
      </c>
      <c r="F68" s="43">
        <f t="shared" si="7"/>
        <v>2115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435" t="s">
        <v>86</v>
      </c>
      <c r="C70" s="436"/>
      <c r="D70" s="436"/>
      <c r="E70" s="436"/>
      <c r="F70" s="437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33" t="s">
        <v>87</v>
      </c>
      <c r="C71" s="435" t="s">
        <v>88</v>
      </c>
      <c r="D71" s="436"/>
      <c r="E71" s="436"/>
      <c r="F71" s="437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40">
        <v>9</v>
      </c>
      <c r="C72" s="430" t="s">
        <v>89</v>
      </c>
      <c r="D72" s="431"/>
      <c r="E72" s="431"/>
      <c r="F72" s="43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40">
        <v>8.33</v>
      </c>
      <c r="C73" s="430" t="s">
        <v>90</v>
      </c>
      <c r="D73" s="431"/>
      <c r="E73" s="431"/>
      <c r="F73" s="43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40">
        <v>8.33</v>
      </c>
      <c r="C74" s="430" t="s">
        <v>91</v>
      </c>
      <c r="D74" s="431"/>
      <c r="E74" s="431"/>
      <c r="F74" s="43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40">
        <v>4.17</v>
      </c>
      <c r="C75" s="430" t="s">
        <v>92</v>
      </c>
      <c r="D75" s="431"/>
      <c r="E75" s="431"/>
      <c r="F75" s="43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40">
        <v>8.5</v>
      </c>
      <c r="C76" s="430" t="s">
        <v>93</v>
      </c>
      <c r="D76" s="431"/>
      <c r="E76" s="431"/>
      <c r="F76" s="43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40">
        <v>12</v>
      </c>
      <c r="C77" s="430" t="s">
        <v>94</v>
      </c>
      <c r="D77" s="431"/>
      <c r="E77" s="431"/>
      <c r="F77" s="43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40">
        <v>1.0449999999999999</v>
      </c>
      <c r="C78" s="430" t="s">
        <v>95</v>
      </c>
      <c r="D78" s="431"/>
      <c r="E78" s="431"/>
      <c r="F78" s="43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40">
        <v>0.5</v>
      </c>
      <c r="C79" s="430" t="s">
        <v>96</v>
      </c>
      <c r="D79" s="431"/>
      <c r="E79" s="431"/>
      <c r="F79" s="43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40">
        <v>1</v>
      </c>
      <c r="C80" s="430" t="s">
        <v>97</v>
      </c>
      <c r="D80" s="431"/>
      <c r="E80" s="431"/>
      <c r="F80" s="43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40">
        <v>1</v>
      </c>
      <c r="C81" s="430" t="s">
        <v>98</v>
      </c>
      <c r="D81" s="431"/>
      <c r="E81" s="431"/>
      <c r="F81" s="43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43">
        <f>SUM(B72:B81)</f>
        <v>53.875</v>
      </c>
      <c r="C82" s="435" t="s">
        <v>99</v>
      </c>
      <c r="D82" s="436"/>
      <c r="E82" s="436"/>
      <c r="F82" s="437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435" t="s">
        <v>100</v>
      </c>
      <c r="C85" s="436"/>
      <c r="D85" s="436"/>
      <c r="E85" s="436"/>
      <c r="F85" s="437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33" t="s">
        <v>101</v>
      </c>
      <c r="C86" s="37" t="s">
        <v>102</v>
      </c>
      <c r="D86" s="33" t="s">
        <v>38</v>
      </c>
      <c r="E86" s="37" t="s">
        <v>39</v>
      </c>
      <c r="F86" s="33" t="s">
        <v>103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50" t="s">
        <v>104</v>
      </c>
      <c r="C87" s="51"/>
      <c r="D87" s="52"/>
      <c r="E87" s="53"/>
      <c r="F87" s="5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1" t="s">
        <v>105</v>
      </c>
      <c r="C88" s="11" t="s">
        <v>106</v>
      </c>
      <c r="D88" s="39">
        <f>300</f>
        <v>300</v>
      </c>
      <c r="E88" s="40">
        <v>15</v>
      </c>
      <c r="F88" s="40">
        <f t="shared" ref="F88:F93" si="8">D88*E88</f>
        <v>4500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1" t="s">
        <v>107</v>
      </c>
      <c r="C89" s="11" t="s">
        <v>106</v>
      </c>
      <c r="D89" s="39">
        <f>200</f>
        <v>200</v>
      </c>
      <c r="E89" s="40">
        <f>1*50/50</f>
        <v>1</v>
      </c>
      <c r="F89" s="40">
        <f t="shared" si="8"/>
        <v>200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1" t="s">
        <v>108</v>
      </c>
      <c r="C90" s="11" t="s">
        <v>106</v>
      </c>
      <c r="D90" s="39">
        <f>100</f>
        <v>100</v>
      </c>
      <c r="E90" s="40">
        <f>1*30/50</f>
        <v>0.6</v>
      </c>
      <c r="F90" s="40">
        <f t="shared" si="8"/>
        <v>60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1" t="s">
        <v>109</v>
      </c>
      <c r="C91" s="11" t="s">
        <v>106</v>
      </c>
      <c r="D91" s="39">
        <f t="shared" ref="D91:D93" si="9">300</f>
        <v>300</v>
      </c>
      <c r="E91" s="40">
        <f>30/50</f>
        <v>0.6</v>
      </c>
      <c r="F91" s="40">
        <f t="shared" si="8"/>
        <v>180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1" t="s">
        <v>110</v>
      </c>
      <c r="C92" s="11" t="s">
        <v>106</v>
      </c>
      <c r="D92" s="39">
        <f t="shared" si="9"/>
        <v>300</v>
      </c>
      <c r="E92" s="40">
        <f>89/100</f>
        <v>0.89</v>
      </c>
      <c r="F92" s="40">
        <f t="shared" si="8"/>
        <v>267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1" t="s">
        <v>111</v>
      </c>
      <c r="C93" s="11" t="s">
        <v>112</v>
      </c>
      <c r="D93" s="39">
        <f t="shared" si="9"/>
        <v>300</v>
      </c>
      <c r="E93" s="40">
        <f>156/2000</f>
        <v>7.8E-2</v>
      </c>
      <c r="F93" s="40">
        <f t="shared" si="8"/>
        <v>23.4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1"/>
      <c r="C94" s="11"/>
      <c r="D94" s="39"/>
      <c r="E94" s="40"/>
      <c r="F94" s="40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54" t="s">
        <v>113</v>
      </c>
      <c r="C95" s="55"/>
      <c r="D95" s="56"/>
      <c r="E95" s="57"/>
      <c r="F95" s="58">
        <f>SUM(F88:F94)</f>
        <v>5230.3999999999996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50" t="s">
        <v>114</v>
      </c>
      <c r="C96" s="11"/>
      <c r="D96" s="39"/>
      <c r="E96" s="40"/>
      <c r="F96" s="40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1" t="s">
        <v>115</v>
      </c>
      <c r="C97" s="11" t="s">
        <v>116</v>
      </c>
      <c r="D97" s="39"/>
      <c r="E97" s="40"/>
      <c r="F97" s="40">
        <f t="shared" ref="F97:F100" si="10">D97*E97</f>
        <v>0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1" t="s">
        <v>117</v>
      </c>
      <c r="C98" s="11" t="s">
        <v>118</v>
      </c>
      <c r="D98" s="39"/>
      <c r="E98" s="40"/>
      <c r="F98" s="40">
        <f t="shared" si="10"/>
        <v>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1" t="s">
        <v>119</v>
      </c>
      <c r="C99" s="11" t="s">
        <v>120</v>
      </c>
      <c r="D99" s="39"/>
      <c r="E99" s="40"/>
      <c r="F99" s="40">
        <f t="shared" si="10"/>
        <v>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1" t="s">
        <v>121</v>
      </c>
      <c r="C100" s="11" t="s">
        <v>122</v>
      </c>
      <c r="D100" s="39"/>
      <c r="E100" s="40"/>
      <c r="F100" s="40">
        <f t="shared" si="10"/>
        <v>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54" t="s">
        <v>123</v>
      </c>
      <c r="C101" s="55"/>
      <c r="D101" s="56"/>
      <c r="E101" s="57"/>
      <c r="F101" s="58">
        <f>SUM(F97:F100)</f>
        <v>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33" t="s">
        <v>99</v>
      </c>
      <c r="C102" s="59"/>
      <c r="D102" s="60"/>
      <c r="E102" s="61"/>
      <c r="F102" s="43">
        <f>F95+F101</f>
        <v>5230.3999999999996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435" t="s">
        <v>124</v>
      </c>
      <c r="C105" s="436"/>
      <c r="D105" s="436"/>
      <c r="E105" s="436"/>
      <c r="F105" s="437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33" t="s">
        <v>125</v>
      </c>
      <c r="C106" s="37" t="s">
        <v>126</v>
      </c>
      <c r="D106" s="33" t="s">
        <v>38</v>
      </c>
      <c r="E106" s="37" t="s">
        <v>39</v>
      </c>
      <c r="F106" s="33" t="s">
        <v>103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1" t="s">
        <v>127</v>
      </c>
      <c r="C107" s="11" t="s">
        <v>128</v>
      </c>
      <c r="D107" s="39"/>
      <c r="E107" s="40"/>
      <c r="F107" s="40">
        <f t="shared" ref="F107:F109" si="11">D107*E107</f>
        <v>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1" t="s">
        <v>129</v>
      </c>
      <c r="C108" s="11" t="s">
        <v>130</v>
      </c>
      <c r="D108" s="39"/>
      <c r="E108" s="40"/>
      <c r="F108" s="40">
        <f t="shared" si="11"/>
        <v>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1" t="s">
        <v>131</v>
      </c>
      <c r="C109" s="11" t="s">
        <v>130</v>
      </c>
      <c r="D109" s="39"/>
      <c r="E109" s="40"/>
      <c r="F109" s="40">
        <f t="shared" si="11"/>
        <v>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1"/>
      <c r="C110" s="11"/>
      <c r="D110" s="24"/>
      <c r="E110" s="62"/>
      <c r="F110" s="6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34" t="s">
        <v>99</v>
      </c>
      <c r="C111" s="34"/>
      <c r="D111" s="63"/>
      <c r="E111" s="64"/>
      <c r="F111" s="43">
        <f>SUM(F107:F110)</f>
        <v>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435" t="s">
        <v>132</v>
      </c>
      <c r="C114" s="436"/>
      <c r="D114" s="436"/>
      <c r="E114" s="436"/>
      <c r="F114" s="436"/>
      <c r="G114" s="436"/>
      <c r="H114" s="436"/>
      <c r="I114" s="436"/>
      <c r="J114" s="436"/>
      <c r="K114" s="437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442" t="s">
        <v>133</v>
      </c>
      <c r="C115" s="442" t="s">
        <v>134</v>
      </c>
      <c r="D115" s="453" t="s">
        <v>135</v>
      </c>
      <c r="E115" s="435" t="s">
        <v>136</v>
      </c>
      <c r="F115" s="436"/>
      <c r="G115" s="436"/>
      <c r="H115" s="436"/>
      <c r="I115" s="437"/>
      <c r="J115" s="453" t="s">
        <v>137</v>
      </c>
      <c r="K115" s="453" t="s">
        <v>138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443"/>
      <c r="C116" s="443"/>
      <c r="D116" s="443"/>
      <c r="E116" s="33">
        <v>1</v>
      </c>
      <c r="F116" s="33">
        <v>2</v>
      </c>
      <c r="G116" s="33">
        <v>3</v>
      </c>
      <c r="H116" s="33">
        <v>4</v>
      </c>
      <c r="I116" s="33">
        <v>5</v>
      </c>
      <c r="J116" s="443"/>
      <c r="K116" s="44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 t="str">
        <f t="shared" ref="B117:B120" si="12">B22</f>
        <v>Computadora portátil Laptop</v>
      </c>
      <c r="C117" s="39">
        <v>2</v>
      </c>
      <c r="D117" s="40">
        <f t="shared" ref="D117:D120" si="13">E22</f>
        <v>3798</v>
      </c>
      <c r="E117" s="40">
        <f t="shared" ref="E117:E120" si="14">D117*M117</f>
        <v>1899</v>
      </c>
      <c r="F117" s="40">
        <f t="shared" ref="F117:F120" si="15">E117</f>
        <v>1899</v>
      </c>
      <c r="G117" s="40">
        <f t="shared" ref="G117:G120" si="16">E117</f>
        <v>1899</v>
      </c>
      <c r="H117" s="40">
        <f t="shared" ref="H117:H120" si="17">E117</f>
        <v>1899</v>
      </c>
      <c r="I117" s="40">
        <f t="shared" ref="I117:I120" si="18">E117</f>
        <v>1899</v>
      </c>
      <c r="J117" s="40">
        <f t="shared" ref="J117:J120" si="19">D117-E117-F117-G117-H117-I117</f>
        <v>-5697</v>
      </c>
      <c r="K117" s="40">
        <f t="shared" ref="K117:K120" si="20">E117/12</f>
        <v>158.25</v>
      </c>
      <c r="L117" s="1"/>
      <c r="M117" s="28">
        <f t="shared" ref="M117:M120" si="21">1/C117</f>
        <v>0.5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 t="str">
        <f t="shared" si="12"/>
        <v>Impresora</v>
      </c>
      <c r="C118" s="39">
        <v>2</v>
      </c>
      <c r="D118" s="40">
        <f t="shared" si="13"/>
        <v>1559</v>
      </c>
      <c r="E118" s="40">
        <f t="shared" si="14"/>
        <v>779.5</v>
      </c>
      <c r="F118" s="40">
        <f t="shared" si="15"/>
        <v>779.5</v>
      </c>
      <c r="G118" s="40">
        <f t="shared" si="16"/>
        <v>779.5</v>
      </c>
      <c r="H118" s="40">
        <f t="shared" si="17"/>
        <v>779.5</v>
      </c>
      <c r="I118" s="40">
        <f t="shared" si="18"/>
        <v>779.5</v>
      </c>
      <c r="J118" s="40">
        <f t="shared" si="19"/>
        <v>-2338.5</v>
      </c>
      <c r="K118" s="40">
        <f t="shared" si="20"/>
        <v>64.958333333333329</v>
      </c>
      <c r="L118" s="1"/>
      <c r="M118" s="28">
        <f t="shared" si="21"/>
        <v>0.5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 t="str">
        <f t="shared" si="12"/>
        <v xml:space="preserve">Plancha Plana(Estampado) </v>
      </c>
      <c r="C119" s="39">
        <v>5</v>
      </c>
      <c r="D119" s="40">
        <f t="shared" si="13"/>
        <v>1500</v>
      </c>
      <c r="E119" s="40">
        <f t="shared" si="14"/>
        <v>300</v>
      </c>
      <c r="F119" s="40">
        <f t="shared" si="15"/>
        <v>300</v>
      </c>
      <c r="G119" s="40">
        <f t="shared" si="16"/>
        <v>300</v>
      </c>
      <c r="H119" s="40">
        <f t="shared" si="17"/>
        <v>300</v>
      </c>
      <c r="I119" s="40">
        <f t="shared" si="18"/>
        <v>300</v>
      </c>
      <c r="J119" s="40">
        <f t="shared" si="19"/>
        <v>0</v>
      </c>
      <c r="K119" s="40">
        <f t="shared" si="20"/>
        <v>25</v>
      </c>
      <c r="L119" s="1"/>
      <c r="M119" s="28">
        <f t="shared" si="21"/>
        <v>0.2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 t="str">
        <f t="shared" si="12"/>
        <v xml:space="preserve">Pistola Etiquetadora Textil </v>
      </c>
      <c r="C120" s="39">
        <v>5</v>
      </c>
      <c r="D120" s="40">
        <f t="shared" si="13"/>
        <v>27</v>
      </c>
      <c r="E120" s="40">
        <f t="shared" si="14"/>
        <v>5.4</v>
      </c>
      <c r="F120" s="40">
        <f t="shared" si="15"/>
        <v>5.4</v>
      </c>
      <c r="G120" s="40">
        <f t="shared" si="16"/>
        <v>5.4</v>
      </c>
      <c r="H120" s="40">
        <f t="shared" si="17"/>
        <v>5.4</v>
      </c>
      <c r="I120" s="40">
        <f t="shared" si="18"/>
        <v>5.4</v>
      </c>
      <c r="J120" s="40">
        <f t="shared" si="19"/>
        <v>0</v>
      </c>
      <c r="K120" s="40">
        <f t="shared" si="20"/>
        <v>0.45</v>
      </c>
      <c r="L120" s="1"/>
      <c r="M120" s="28">
        <f t="shared" si="21"/>
        <v>0.2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39"/>
      <c r="D121" s="40"/>
      <c r="E121" s="40"/>
      <c r="F121" s="40"/>
      <c r="G121" s="40"/>
      <c r="H121" s="40"/>
      <c r="I121" s="40"/>
      <c r="J121" s="40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34" t="s">
        <v>139</v>
      </c>
      <c r="C122" s="63"/>
      <c r="D122" s="64"/>
      <c r="E122" s="43">
        <f>SUM(E117:E121)</f>
        <v>2983.9</v>
      </c>
      <c r="F122" s="43">
        <f>E122</f>
        <v>2983.9</v>
      </c>
      <c r="G122" s="43">
        <f>E122</f>
        <v>2983.9</v>
      </c>
      <c r="H122" s="43">
        <f>E122</f>
        <v>2983.9</v>
      </c>
      <c r="I122" s="43">
        <f>E122</f>
        <v>2983.9</v>
      </c>
      <c r="J122" s="43">
        <f t="shared" ref="J122:K122" si="22">SUM(J117:J121)</f>
        <v>-8035.5</v>
      </c>
      <c r="K122" s="43">
        <f t="shared" si="22"/>
        <v>248.6583333333333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435" t="s">
        <v>140</v>
      </c>
      <c r="C125" s="436"/>
      <c r="D125" s="436"/>
      <c r="E125" s="436"/>
      <c r="F125" s="436"/>
      <c r="G125" s="436"/>
      <c r="H125" s="436"/>
      <c r="I125" s="436"/>
      <c r="J125" s="436"/>
      <c r="K125" s="437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442" t="s">
        <v>133</v>
      </c>
      <c r="C126" s="442" t="s">
        <v>134</v>
      </c>
      <c r="D126" s="453" t="s">
        <v>135</v>
      </c>
      <c r="E126" s="435" t="s">
        <v>136</v>
      </c>
      <c r="F126" s="436"/>
      <c r="G126" s="436"/>
      <c r="H126" s="436"/>
      <c r="I126" s="437"/>
      <c r="J126" s="453" t="s">
        <v>137</v>
      </c>
      <c r="K126" s="453" t="s">
        <v>138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443"/>
      <c r="C127" s="443"/>
      <c r="D127" s="443"/>
      <c r="E127" s="34">
        <v>1</v>
      </c>
      <c r="F127" s="34">
        <v>2</v>
      </c>
      <c r="G127" s="34">
        <v>3</v>
      </c>
      <c r="H127" s="34">
        <v>4</v>
      </c>
      <c r="I127" s="34">
        <v>5</v>
      </c>
      <c r="J127" s="443"/>
      <c r="K127" s="44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48" t="str">
        <f t="shared" ref="B128:B135" si="23">B41</f>
        <v>Escritorio para computador</v>
      </c>
      <c r="C128" s="39">
        <f t="shared" ref="C128:C135" si="24">F41</f>
        <v>5</v>
      </c>
      <c r="D128" s="40">
        <f t="shared" ref="D128:D135" si="25">E41</f>
        <v>130</v>
      </c>
      <c r="E128" s="40">
        <f t="shared" ref="E128:E135" si="26">D128/C128</f>
        <v>26</v>
      </c>
      <c r="F128" s="40">
        <f t="shared" ref="F128:F135" si="27">D128/C128</f>
        <v>26</v>
      </c>
      <c r="G128" s="40">
        <f t="shared" ref="G128:G135" si="28">D128/C128</f>
        <v>26</v>
      </c>
      <c r="H128" s="40">
        <f t="shared" ref="H128:H135" si="29">D128/C128</f>
        <v>26</v>
      </c>
      <c r="I128" s="40">
        <f t="shared" ref="I128:I135" si="30">D128/C128</f>
        <v>26</v>
      </c>
      <c r="J128" s="40">
        <f t="shared" ref="J128:J135" si="31">D128-E128-F128-G128-H128-I128</f>
        <v>0</v>
      </c>
      <c r="K128" s="40">
        <f t="shared" ref="K128:K137" si="32">E128/12</f>
        <v>2.1666666666666665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48" t="str">
        <f t="shared" si="23"/>
        <v>Silla de escritorio</v>
      </c>
      <c r="C129" s="39">
        <f t="shared" si="24"/>
        <v>7</v>
      </c>
      <c r="D129" s="40">
        <f t="shared" si="25"/>
        <v>50</v>
      </c>
      <c r="E129" s="40">
        <f t="shared" si="26"/>
        <v>7.1428571428571432</v>
      </c>
      <c r="F129" s="40">
        <f t="shared" si="27"/>
        <v>7.1428571428571432</v>
      </c>
      <c r="G129" s="40">
        <f t="shared" si="28"/>
        <v>7.1428571428571432</v>
      </c>
      <c r="H129" s="40">
        <f t="shared" si="29"/>
        <v>7.1428571428571432</v>
      </c>
      <c r="I129" s="40">
        <f t="shared" si="30"/>
        <v>7.1428571428571432</v>
      </c>
      <c r="J129" s="40">
        <f t="shared" si="31"/>
        <v>14.285714285714281</v>
      </c>
      <c r="K129" s="40">
        <f t="shared" si="32"/>
        <v>0.59523809523809523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48" t="str">
        <f t="shared" si="23"/>
        <v>Silla</v>
      </c>
      <c r="C130" s="39">
        <f t="shared" si="24"/>
        <v>5</v>
      </c>
      <c r="D130" s="40">
        <f t="shared" si="25"/>
        <v>60</v>
      </c>
      <c r="E130" s="40">
        <f t="shared" si="26"/>
        <v>12</v>
      </c>
      <c r="F130" s="40">
        <f t="shared" si="27"/>
        <v>12</v>
      </c>
      <c r="G130" s="40">
        <f t="shared" si="28"/>
        <v>12</v>
      </c>
      <c r="H130" s="40">
        <f t="shared" si="29"/>
        <v>12</v>
      </c>
      <c r="I130" s="40">
        <f t="shared" si="30"/>
        <v>12</v>
      </c>
      <c r="J130" s="40">
        <f t="shared" si="31"/>
        <v>0</v>
      </c>
      <c r="K130" s="40">
        <f t="shared" si="32"/>
        <v>1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48" t="str">
        <f t="shared" si="23"/>
        <v xml:space="preserve">Exhibidor de polos </v>
      </c>
      <c r="C131" s="39">
        <f t="shared" si="24"/>
        <v>5</v>
      </c>
      <c r="D131" s="40">
        <f t="shared" si="25"/>
        <v>220</v>
      </c>
      <c r="E131" s="40">
        <f t="shared" si="26"/>
        <v>44</v>
      </c>
      <c r="F131" s="40">
        <f t="shared" si="27"/>
        <v>44</v>
      </c>
      <c r="G131" s="40">
        <f t="shared" si="28"/>
        <v>44</v>
      </c>
      <c r="H131" s="40">
        <f t="shared" si="29"/>
        <v>44</v>
      </c>
      <c r="I131" s="40">
        <f t="shared" si="30"/>
        <v>44</v>
      </c>
      <c r="J131" s="40">
        <f t="shared" si="31"/>
        <v>0</v>
      </c>
      <c r="K131" s="40">
        <f t="shared" si="32"/>
        <v>3.6666666666666665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48" t="str">
        <f t="shared" si="23"/>
        <v>Espejo para vestidor</v>
      </c>
      <c r="C132" s="39">
        <f t="shared" si="24"/>
        <v>1</v>
      </c>
      <c r="D132" s="40">
        <f t="shared" si="25"/>
        <v>15</v>
      </c>
      <c r="E132" s="40">
        <f t="shared" si="26"/>
        <v>15</v>
      </c>
      <c r="F132" s="40">
        <f t="shared" si="27"/>
        <v>15</v>
      </c>
      <c r="G132" s="40">
        <f t="shared" si="28"/>
        <v>15</v>
      </c>
      <c r="H132" s="40">
        <f t="shared" si="29"/>
        <v>15</v>
      </c>
      <c r="I132" s="40">
        <f t="shared" si="30"/>
        <v>15</v>
      </c>
      <c r="J132" s="40">
        <f t="shared" si="31"/>
        <v>-60</v>
      </c>
      <c r="K132" s="40">
        <f t="shared" si="32"/>
        <v>1.25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48" t="str">
        <f t="shared" si="23"/>
        <v>Probador vestidor de metal</v>
      </c>
      <c r="C133" s="39">
        <f t="shared" si="24"/>
        <v>5</v>
      </c>
      <c r="D133" s="40">
        <f t="shared" si="25"/>
        <v>49</v>
      </c>
      <c r="E133" s="40">
        <f t="shared" si="26"/>
        <v>9.8000000000000007</v>
      </c>
      <c r="F133" s="40">
        <f t="shared" si="27"/>
        <v>9.8000000000000007</v>
      </c>
      <c r="G133" s="40">
        <f t="shared" si="28"/>
        <v>9.8000000000000007</v>
      </c>
      <c r="H133" s="40">
        <f t="shared" si="29"/>
        <v>9.8000000000000007</v>
      </c>
      <c r="I133" s="40">
        <f t="shared" si="30"/>
        <v>9.8000000000000007</v>
      </c>
      <c r="J133" s="40">
        <f t="shared" si="31"/>
        <v>0</v>
      </c>
      <c r="K133" s="40">
        <f t="shared" si="32"/>
        <v>0.81666666666666676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48" t="str">
        <f t="shared" si="23"/>
        <v>Cortina de vestidor de polos</v>
      </c>
      <c r="C134" s="39">
        <f t="shared" si="24"/>
        <v>5</v>
      </c>
      <c r="D134" s="40">
        <f t="shared" si="25"/>
        <v>30</v>
      </c>
      <c r="E134" s="40">
        <f t="shared" si="26"/>
        <v>6</v>
      </c>
      <c r="F134" s="40">
        <f t="shared" si="27"/>
        <v>6</v>
      </c>
      <c r="G134" s="40">
        <f t="shared" si="28"/>
        <v>6</v>
      </c>
      <c r="H134" s="40">
        <f t="shared" si="29"/>
        <v>6</v>
      </c>
      <c r="I134" s="40">
        <f t="shared" si="30"/>
        <v>6</v>
      </c>
      <c r="J134" s="40">
        <f t="shared" si="31"/>
        <v>0</v>
      </c>
      <c r="K134" s="40">
        <f t="shared" si="32"/>
        <v>0.5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48" t="str">
        <f t="shared" si="23"/>
        <v>Moto lineal (eléctrica)</v>
      </c>
      <c r="C135" s="46">
        <f t="shared" si="24"/>
        <v>3</v>
      </c>
      <c r="D135" s="40">
        <f t="shared" si="25"/>
        <v>3400</v>
      </c>
      <c r="E135" s="40">
        <f t="shared" si="26"/>
        <v>1133.3333333333333</v>
      </c>
      <c r="F135" s="40">
        <f t="shared" si="27"/>
        <v>1133.3333333333333</v>
      </c>
      <c r="G135" s="40">
        <f t="shared" si="28"/>
        <v>1133.3333333333333</v>
      </c>
      <c r="H135" s="40">
        <f t="shared" si="29"/>
        <v>1133.3333333333333</v>
      </c>
      <c r="I135" s="40">
        <f t="shared" si="30"/>
        <v>1133.3333333333333</v>
      </c>
      <c r="J135" s="40">
        <f t="shared" si="31"/>
        <v>-2266.6666666666661</v>
      </c>
      <c r="K135" s="40">
        <f t="shared" si="32"/>
        <v>94.444444444444443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48"/>
      <c r="C136" s="39"/>
      <c r="D136" s="40"/>
      <c r="E136" s="40"/>
      <c r="F136" s="40"/>
      <c r="G136" s="40"/>
      <c r="H136" s="40"/>
      <c r="I136" s="40"/>
      <c r="J136" s="40"/>
      <c r="K136" s="40">
        <f t="shared" si="32"/>
        <v>0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48"/>
      <c r="C137" s="39"/>
      <c r="D137" s="40"/>
      <c r="E137" s="40"/>
      <c r="F137" s="40"/>
      <c r="G137" s="40"/>
      <c r="H137" s="40"/>
      <c r="I137" s="40"/>
      <c r="J137" s="40"/>
      <c r="K137" s="40">
        <f t="shared" si="32"/>
        <v>0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34" t="s">
        <v>141</v>
      </c>
      <c r="C138" s="63"/>
      <c r="D138" s="43">
        <f t="shared" ref="D138:K138" si="33">SUM(D128:D137)</f>
        <v>3954</v>
      </c>
      <c r="E138" s="43">
        <f t="shared" si="33"/>
        <v>1253.2761904761903</v>
      </c>
      <c r="F138" s="43">
        <f t="shared" si="33"/>
        <v>1253.2761904761903</v>
      </c>
      <c r="G138" s="43">
        <f t="shared" si="33"/>
        <v>1253.2761904761903</v>
      </c>
      <c r="H138" s="43">
        <f t="shared" si="33"/>
        <v>1253.2761904761903</v>
      </c>
      <c r="I138" s="43">
        <f t="shared" si="33"/>
        <v>1253.2761904761903</v>
      </c>
      <c r="J138" s="43">
        <f t="shared" si="33"/>
        <v>-2312.3809523809518</v>
      </c>
      <c r="K138" s="43">
        <f t="shared" si="33"/>
        <v>104.43968253968254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435" t="s">
        <v>142</v>
      </c>
      <c r="C141" s="436"/>
      <c r="D141" s="436"/>
      <c r="E141" s="436"/>
      <c r="F141" s="437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33" t="s">
        <v>79</v>
      </c>
      <c r="C142" s="37" t="s">
        <v>80</v>
      </c>
      <c r="D142" s="37" t="s">
        <v>81</v>
      </c>
      <c r="E142" s="37" t="s">
        <v>82</v>
      </c>
      <c r="F142" s="37" t="s">
        <v>143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48" t="s">
        <v>144</v>
      </c>
      <c r="C143" s="40">
        <v>1200</v>
      </c>
      <c r="D143" s="40">
        <f t="shared" ref="D143:D145" si="34">C143*12</f>
        <v>14400</v>
      </c>
      <c r="E143" s="40">
        <v>0</v>
      </c>
      <c r="F143" s="40">
        <f t="shared" ref="F143:F145" si="35">(D143+E143)/12</f>
        <v>1200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48" t="s">
        <v>145</v>
      </c>
      <c r="C144" s="40">
        <v>930</v>
      </c>
      <c r="D144" s="40">
        <f t="shared" si="34"/>
        <v>11160</v>
      </c>
      <c r="E144" s="40">
        <v>0</v>
      </c>
      <c r="F144" s="40">
        <f t="shared" si="35"/>
        <v>930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48"/>
      <c r="C145" s="40"/>
      <c r="D145" s="40">
        <f t="shared" si="34"/>
        <v>0</v>
      </c>
      <c r="E145" s="40">
        <f>D145*0.53875</f>
        <v>0</v>
      </c>
      <c r="F145" s="40">
        <f t="shared" si="35"/>
        <v>0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37" t="s">
        <v>146</v>
      </c>
      <c r="C146" s="43">
        <f t="shared" ref="C146:F146" si="36">SUM(C143:C145)</f>
        <v>2130</v>
      </c>
      <c r="D146" s="43">
        <f t="shared" si="36"/>
        <v>25560</v>
      </c>
      <c r="E146" s="43">
        <f t="shared" si="36"/>
        <v>0</v>
      </c>
      <c r="F146" s="43">
        <f t="shared" si="36"/>
        <v>2130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435" t="s">
        <v>147</v>
      </c>
      <c r="C149" s="436"/>
      <c r="D149" s="436"/>
      <c r="E149" s="436"/>
      <c r="F149" s="437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33" t="s">
        <v>125</v>
      </c>
      <c r="C150" s="37" t="s">
        <v>102</v>
      </c>
      <c r="D150" s="33" t="s">
        <v>38</v>
      </c>
      <c r="E150" s="37" t="s">
        <v>39</v>
      </c>
      <c r="F150" s="37" t="s">
        <v>148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 t="s">
        <v>149</v>
      </c>
      <c r="C151" s="11" t="s">
        <v>150</v>
      </c>
      <c r="D151" s="39">
        <v>1</v>
      </c>
      <c r="E151" s="40">
        <v>50</v>
      </c>
      <c r="F151" s="40">
        <f t="shared" ref="F151:F153" si="37">D151*E151</f>
        <v>50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 t="s">
        <v>129</v>
      </c>
      <c r="C152" s="11" t="s">
        <v>151</v>
      </c>
      <c r="D152" s="39">
        <v>1</v>
      </c>
      <c r="E152" s="40">
        <v>30</v>
      </c>
      <c r="F152" s="40">
        <f t="shared" si="37"/>
        <v>30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 t="s">
        <v>131</v>
      </c>
      <c r="C153" s="11" t="s">
        <v>151</v>
      </c>
      <c r="D153" s="39">
        <v>1</v>
      </c>
      <c r="E153" s="40">
        <v>60</v>
      </c>
      <c r="F153" s="40">
        <f t="shared" si="37"/>
        <v>60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34" t="s">
        <v>99</v>
      </c>
      <c r="C154" s="34"/>
      <c r="D154" s="63"/>
      <c r="E154" s="64"/>
      <c r="F154" s="43">
        <f>SUM(F151:F153)</f>
        <v>140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435" t="s">
        <v>152</v>
      </c>
      <c r="C157" s="436"/>
      <c r="D157" s="436"/>
      <c r="E157" s="436"/>
      <c r="F157" s="436"/>
      <c r="G157" s="436"/>
      <c r="H157" s="436"/>
      <c r="I157" s="436"/>
      <c r="J157" s="437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457" t="s">
        <v>153</v>
      </c>
      <c r="C158" s="456" t="s">
        <v>154</v>
      </c>
      <c r="D158" s="456" t="s">
        <v>155</v>
      </c>
      <c r="E158" s="455" t="s">
        <v>156</v>
      </c>
      <c r="F158" s="436"/>
      <c r="G158" s="436"/>
      <c r="H158" s="436"/>
      <c r="I158" s="437"/>
      <c r="J158" s="456" t="s">
        <v>157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443"/>
      <c r="C159" s="443"/>
      <c r="D159" s="443"/>
      <c r="E159" s="65">
        <v>1</v>
      </c>
      <c r="F159" s="65">
        <v>2</v>
      </c>
      <c r="G159" s="65">
        <v>3</v>
      </c>
      <c r="H159" s="65">
        <v>4</v>
      </c>
      <c r="I159" s="65">
        <v>5</v>
      </c>
      <c r="J159" s="443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 t="s">
        <v>158</v>
      </c>
      <c r="C160" s="39">
        <v>5</v>
      </c>
      <c r="D160" s="40">
        <f>E61</f>
        <v>1116.99</v>
      </c>
      <c r="E160" s="40">
        <f>D160/5</f>
        <v>223.398</v>
      </c>
      <c r="F160" s="40">
        <f>D160/C160</f>
        <v>223.398</v>
      </c>
      <c r="G160" s="40">
        <f>D160/C160</f>
        <v>223.398</v>
      </c>
      <c r="H160" s="40">
        <f>D160/C160</f>
        <v>223.398</v>
      </c>
      <c r="I160" s="40">
        <f>D160/C160</f>
        <v>223.398</v>
      </c>
      <c r="J160" s="40">
        <f t="shared" ref="J160:J161" si="38">E160/12</f>
        <v>18.616499999999998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 t="s">
        <v>159</v>
      </c>
      <c r="C161" s="39"/>
      <c r="D161" s="40"/>
      <c r="E161" s="40">
        <f t="shared" ref="E161:I161" si="39">SUM(E160)</f>
        <v>223.398</v>
      </c>
      <c r="F161" s="40">
        <f t="shared" si="39"/>
        <v>223.398</v>
      </c>
      <c r="G161" s="40">
        <f t="shared" si="39"/>
        <v>223.398</v>
      </c>
      <c r="H161" s="40">
        <f t="shared" si="39"/>
        <v>223.398</v>
      </c>
      <c r="I161" s="40">
        <f t="shared" si="39"/>
        <v>223.398</v>
      </c>
      <c r="J161" s="40">
        <f t="shared" si="38"/>
        <v>18.616499999999998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457" t="s">
        <v>153</v>
      </c>
      <c r="C163" s="456" t="s">
        <v>154</v>
      </c>
      <c r="D163" s="456" t="s">
        <v>155</v>
      </c>
      <c r="E163" s="455" t="s">
        <v>156</v>
      </c>
      <c r="F163" s="436"/>
      <c r="G163" s="436"/>
      <c r="H163" s="436"/>
      <c r="I163" s="437"/>
      <c r="J163" s="456" t="s">
        <v>157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443"/>
      <c r="C164" s="443"/>
      <c r="D164" s="443"/>
      <c r="E164" s="65">
        <v>1</v>
      </c>
      <c r="F164" s="65">
        <v>2</v>
      </c>
      <c r="G164" s="65">
        <v>3</v>
      </c>
      <c r="H164" s="65">
        <v>4</v>
      </c>
      <c r="I164" s="65">
        <v>5</v>
      </c>
      <c r="J164" s="443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 t="s">
        <v>160</v>
      </c>
      <c r="C165" s="39">
        <v>5</v>
      </c>
      <c r="D165" s="40">
        <f>E17</f>
        <v>0</v>
      </c>
      <c r="E165" s="40">
        <f>D165/C165</f>
        <v>0</v>
      </c>
      <c r="F165" s="40">
        <f>D165/C165</f>
        <v>0</v>
      </c>
      <c r="G165" s="40">
        <f>D165/C165</f>
        <v>0</v>
      </c>
      <c r="H165" s="40">
        <f>D165/C165</f>
        <v>0</v>
      </c>
      <c r="I165" s="40">
        <f>D165/C165</f>
        <v>0</v>
      </c>
      <c r="J165" s="40">
        <f>E165/12</f>
        <v>0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 t="s">
        <v>161</v>
      </c>
      <c r="C166" s="39"/>
      <c r="D166" s="40"/>
      <c r="E166" s="40">
        <f t="shared" ref="E166:J166" si="40">SUM(E165)</f>
        <v>0</v>
      </c>
      <c r="F166" s="40">
        <f t="shared" si="40"/>
        <v>0</v>
      </c>
      <c r="G166" s="40">
        <f t="shared" si="40"/>
        <v>0</v>
      </c>
      <c r="H166" s="40">
        <f t="shared" si="40"/>
        <v>0</v>
      </c>
      <c r="I166" s="40">
        <f t="shared" si="40"/>
        <v>0</v>
      </c>
      <c r="J166" s="40">
        <f t="shared" si="40"/>
        <v>0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34" t="s">
        <v>162</v>
      </c>
      <c r="C167" s="63"/>
      <c r="D167" s="43">
        <f>D165+D160</f>
        <v>1116.99</v>
      </c>
      <c r="E167" s="43">
        <f t="shared" ref="E167:J167" si="41">E166+E161</f>
        <v>223.398</v>
      </c>
      <c r="F167" s="43">
        <f t="shared" si="41"/>
        <v>223.398</v>
      </c>
      <c r="G167" s="43">
        <f t="shared" si="41"/>
        <v>223.398</v>
      </c>
      <c r="H167" s="43">
        <f t="shared" si="41"/>
        <v>223.398</v>
      </c>
      <c r="I167" s="43">
        <f t="shared" si="41"/>
        <v>223.398</v>
      </c>
      <c r="J167" s="43">
        <f t="shared" si="41"/>
        <v>18.616499999999998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435" t="s">
        <v>163</v>
      </c>
      <c r="C170" s="436"/>
      <c r="D170" s="436"/>
      <c r="E170" s="436"/>
      <c r="F170" s="437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33" t="s">
        <v>164</v>
      </c>
      <c r="C171" s="37" t="s">
        <v>102</v>
      </c>
      <c r="D171" s="33" t="s">
        <v>165</v>
      </c>
      <c r="E171" s="37" t="s">
        <v>166</v>
      </c>
      <c r="F171" s="33" t="s">
        <v>167</v>
      </c>
      <c r="G171" s="66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1" t="s">
        <v>168</v>
      </c>
      <c r="C172" s="11" t="s">
        <v>169</v>
      </c>
      <c r="D172" s="39">
        <v>1</v>
      </c>
      <c r="E172" s="40">
        <v>25</v>
      </c>
      <c r="F172" s="40">
        <f t="shared" ref="F172:F174" si="42">D172*E172</f>
        <v>25</v>
      </c>
      <c r="G172" s="1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 t="s">
        <v>170</v>
      </c>
      <c r="C173" s="11" t="s">
        <v>169</v>
      </c>
      <c r="D173" s="39">
        <v>1</v>
      </c>
      <c r="E173" s="40">
        <v>800</v>
      </c>
      <c r="F173" s="40">
        <f t="shared" si="42"/>
        <v>800</v>
      </c>
      <c r="G173" s="1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1" t="s">
        <v>171</v>
      </c>
      <c r="C174" s="11" t="s">
        <v>169</v>
      </c>
      <c r="D174" s="39">
        <v>1</v>
      </c>
      <c r="E174" s="40">
        <v>15</v>
      </c>
      <c r="F174" s="40">
        <f t="shared" si="42"/>
        <v>15</v>
      </c>
      <c r="G174" s="19"/>
      <c r="H174" s="1"/>
      <c r="I174" s="67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34" t="s">
        <v>99</v>
      </c>
      <c r="C175" s="34"/>
      <c r="D175" s="63"/>
      <c r="E175" s="64"/>
      <c r="F175" s="43">
        <f>SUM(F172:F174)</f>
        <v>840</v>
      </c>
      <c r="G175" s="19"/>
      <c r="H175" s="1"/>
      <c r="I175" s="68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9"/>
      <c r="C176" s="19"/>
      <c r="D176" s="19"/>
      <c r="E176" s="19"/>
      <c r="F176" s="19"/>
      <c r="G176" s="19"/>
      <c r="H176" s="1"/>
      <c r="I176" s="6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0.5" customHeight="1">
      <c r="A177" s="1"/>
      <c r="B177" s="70"/>
      <c r="C177" s="1"/>
      <c r="D177" s="1"/>
      <c r="E177" s="1"/>
      <c r="F177" s="1"/>
      <c r="G177" s="71"/>
      <c r="H177" s="68"/>
      <c r="I177" s="68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435" t="s">
        <v>172</v>
      </c>
      <c r="C178" s="436"/>
      <c r="D178" s="437"/>
      <c r="E178" s="1"/>
      <c r="F178" s="1"/>
      <c r="G178" s="68"/>
      <c r="H178" s="68"/>
      <c r="I178" s="68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3" t="s">
        <v>173</v>
      </c>
      <c r="C179" s="13" t="s">
        <v>174</v>
      </c>
      <c r="D179" s="72" t="s">
        <v>175</v>
      </c>
      <c r="E179" s="73"/>
      <c r="F179" s="71"/>
      <c r="G179" s="68"/>
      <c r="H179" s="68"/>
      <c r="I179" s="68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51" t="s">
        <v>176</v>
      </c>
      <c r="C180" s="40"/>
      <c r="D180" s="40"/>
      <c r="E180" s="74"/>
      <c r="F180" s="68"/>
      <c r="G180" s="68"/>
      <c r="H180" s="68"/>
      <c r="I180" s="68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1" t="s">
        <v>177</v>
      </c>
      <c r="C181" s="40"/>
      <c r="D181" s="40">
        <f>F68</f>
        <v>2115</v>
      </c>
      <c r="E181" s="74"/>
      <c r="F181" s="68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1" t="s">
        <v>178</v>
      </c>
      <c r="C182" s="40" t="s">
        <v>179</v>
      </c>
      <c r="D182" s="40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1" t="s">
        <v>180</v>
      </c>
      <c r="C183" s="40"/>
      <c r="D183" s="40">
        <f>F95</f>
        <v>5230.3999999999996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1" t="s">
        <v>181</v>
      </c>
      <c r="C184" s="40"/>
      <c r="D184" s="40">
        <f>F101</f>
        <v>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1" t="s">
        <v>182</v>
      </c>
      <c r="C185" s="40">
        <f>K122</f>
        <v>248.6583333333333</v>
      </c>
      <c r="D185" s="40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1" t="s">
        <v>183</v>
      </c>
      <c r="C186" s="40">
        <f>F111</f>
        <v>0</v>
      </c>
      <c r="D186" s="40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1" t="s">
        <v>184</v>
      </c>
      <c r="C187" s="40" t="s">
        <v>185</v>
      </c>
      <c r="D187" s="40" t="s">
        <v>186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54" t="s">
        <v>187</v>
      </c>
      <c r="C188" s="58">
        <f>SUM(C185:C187)</f>
        <v>248.6583333333333</v>
      </c>
      <c r="D188" s="58">
        <f>SUM(D181:D187)</f>
        <v>7345.4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1"/>
      <c r="C189" s="40"/>
      <c r="D189" s="40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51" t="s">
        <v>188</v>
      </c>
      <c r="C190" s="40"/>
      <c r="D190" s="40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1" t="s">
        <v>189</v>
      </c>
      <c r="C191" s="40">
        <f>F146</f>
        <v>2130</v>
      </c>
      <c r="D191" s="40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1" t="s">
        <v>190</v>
      </c>
      <c r="C192" s="40">
        <f>F154</f>
        <v>140</v>
      </c>
      <c r="D192" s="40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1" t="s">
        <v>191</v>
      </c>
      <c r="C193" s="40">
        <f>J167</f>
        <v>18.616499999999998</v>
      </c>
      <c r="D193" s="40"/>
      <c r="E193" s="7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1" t="s">
        <v>192</v>
      </c>
      <c r="C194" s="40">
        <f>K138</f>
        <v>104.43968253968254</v>
      </c>
      <c r="D194" s="40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54" t="s">
        <v>187</v>
      </c>
      <c r="C195" s="58">
        <f>SUM(C191:C194)</f>
        <v>2393.0561825396826</v>
      </c>
      <c r="D195" s="57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1"/>
      <c r="C196" s="40"/>
      <c r="D196" s="40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51" t="s">
        <v>193</v>
      </c>
      <c r="C197" s="40"/>
      <c r="D197" s="40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41" t="s">
        <v>194</v>
      </c>
      <c r="C198" s="40">
        <f>F175</f>
        <v>840</v>
      </c>
      <c r="D198" s="40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1" t="s">
        <v>189</v>
      </c>
      <c r="C199" s="40">
        <f>Costos_Totales!H26</f>
        <v>930</v>
      </c>
      <c r="D199" s="40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1" t="s">
        <v>192</v>
      </c>
      <c r="C200" s="40" t="s">
        <v>185</v>
      </c>
      <c r="D200" s="40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54" t="s">
        <v>187</v>
      </c>
      <c r="C201" s="58">
        <f>SUM(C198:C200)</f>
        <v>1770</v>
      </c>
      <c r="D201" s="57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1"/>
      <c r="C202" s="40"/>
      <c r="D202" s="40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76" t="s">
        <v>195</v>
      </c>
      <c r="C203" s="77">
        <f>C195+C201+C188</f>
        <v>4411.7145158730164</v>
      </c>
      <c r="D203" s="77">
        <f>SUM(D188:D202)</f>
        <v>7345.4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78" t="s">
        <v>196</v>
      </c>
      <c r="C204" s="43"/>
      <c r="D204" s="43">
        <f>D203+C203</f>
        <v>11757.114515873016</v>
      </c>
      <c r="E204" s="7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0" t="str">
        <f t="shared" ref="B206:C206" si="43">B3</f>
        <v>Precio de venta</v>
      </c>
      <c r="C206" s="40">
        <f t="shared" si="43"/>
        <v>53</v>
      </c>
      <c r="D206" s="3" t="s">
        <v>197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0" t="s">
        <v>31</v>
      </c>
      <c r="C207" s="40">
        <f>C2</f>
        <v>300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0" t="s">
        <v>198</v>
      </c>
      <c r="C208" s="40">
        <f>C203</f>
        <v>4411.7145158730164</v>
      </c>
      <c r="D208" s="1" t="s">
        <v>199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0" t="s">
        <v>200</v>
      </c>
      <c r="C209" s="40">
        <f>D203</f>
        <v>7345.4</v>
      </c>
      <c r="D209" s="1" t="s">
        <v>201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0" t="s">
        <v>202</v>
      </c>
      <c r="C210" s="40">
        <f>D203/C207</f>
        <v>24.484666666666666</v>
      </c>
      <c r="D210" s="1" t="s">
        <v>203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0" t="s">
        <v>204</v>
      </c>
      <c r="C211" s="79">
        <f>C208/(C206-C210)</f>
        <v>154.71376274307448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435" t="s">
        <v>205</v>
      </c>
      <c r="C213" s="436"/>
      <c r="D213" s="436"/>
      <c r="E213" s="436"/>
      <c r="F213" s="437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0.25" customHeight="1">
      <c r="A214" s="1"/>
      <c r="B214" s="33" t="s">
        <v>206</v>
      </c>
      <c r="C214" s="33" t="s">
        <v>207</v>
      </c>
      <c r="D214" s="33" t="s">
        <v>175</v>
      </c>
      <c r="E214" s="33" t="s">
        <v>40</v>
      </c>
      <c r="F214" s="33" t="s">
        <v>208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80">
        <v>0</v>
      </c>
      <c r="C215" s="81">
        <f t="shared" ref="C215:C231" si="44">$C$203</f>
        <v>4411.7145158730164</v>
      </c>
      <c r="D215" s="81">
        <f>C210*B215</f>
        <v>0</v>
      </c>
      <c r="E215" s="81">
        <f t="shared" ref="E215:E231" si="45">C215+D215</f>
        <v>4411.7145158730164</v>
      </c>
      <c r="F215" s="81">
        <f t="shared" ref="F215:F231" si="46">$C$206*B215</f>
        <v>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80">
        <v>100</v>
      </c>
      <c r="C216" s="81">
        <f t="shared" si="44"/>
        <v>4411.7145158730164</v>
      </c>
      <c r="D216" s="81">
        <f t="shared" ref="D216:D231" si="47">$C$210*B216</f>
        <v>2448.4666666666667</v>
      </c>
      <c r="E216" s="81">
        <f t="shared" si="45"/>
        <v>6860.1811825396835</v>
      </c>
      <c r="F216" s="81">
        <f t="shared" si="46"/>
        <v>5300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80">
        <v>125</v>
      </c>
      <c r="C217" s="81">
        <f t="shared" si="44"/>
        <v>4411.7145158730164</v>
      </c>
      <c r="D217" s="81">
        <f t="shared" si="47"/>
        <v>3060.583333333333</v>
      </c>
      <c r="E217" s="81">
        <f t="shared" si="45"/>
        <v>7472.2978492063494</v>
      </c>
      <c r="F217" s="81">
        <f t="shared" si="46"/>
        <v>6625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39">
        <v>150</v>
      </c>
      <c r="C218" s="40">
        <f t="shared" si="44"/>
        <v>4411.7145158730164</v>
      </c>
      <c r="D218" s="40">
        <f t="shared" si="47"/>
        <v>3672.7</v>
      </c>
      <c r="E218" s="40">
        <f t="shared" si="45"/>
        <v>8084.4145158730162</v>
      </c>
      <c r="F218" s="40">
        <f t="shared" si="46"/>
        <v>7950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82">
        <f>C211</f>
        <v>154.71376274307448</v>
      </c>
      <c r="C219" s="83">
        <f t="shared" si="44"/>
        <v>4411.7145158730164</v>
      </c>
      <c r="D219" s="83">
        <f t="shared" si="47"/>
        <v>3788.1149095099308</v>
      </c>
      <c r="E219" s="83">
        <f t="shared" si="45"/>
        <v>8199.8294253829481</v>
      </c>
      <c r="F219" s="83">
        <f t="shared" si="46"/>
        <v>8199.8294253829481</v>
      </c>
      <c r="G219" s="3" t="s">
        <v>209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39">
        <f>Venta_Unidades!C6</f>
        <v>300</v>
      </c>
      <c r="C220" s="81">
        <f t="shared" si="44"/>
        <v>4411.7145158730164</v>
      </c>
      <c r="D220" s="81">
        <f t="shared" si="47"/>
        <v>7345.4</v>
      </c>
      <c r="E220" s="81">
        <f t="shared" si="45"/>
        <v>11757.114515873016</v>
      </c>
      <c r="F220" s="81">
        <f t="shared" si="46"/>
        <v>15900</v>
      </c>
      <c r="G220" s="3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39">
        <f>Venta_Unidades!D6</f>
        <v>334</v>
      </c>
      <c r="C221" s="81">
        <f t="shared" si="44"/>
        <v>4411.7145158730164</v>
      </c>
      <c r="D221" s="81">
        <f t="shared" si="47"/>
        <v>8177.8786666666665</v>
      </c>
      <c r="E221" s="81">
        <f t="shared" si="45"/>
        <v>12589.593182539684</v>
      </c>
      <c r="F221" s="81">
        <f t="shared" si="46"/>
        <v>17702</v>
      </c>
      <c r="G221" s="3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39">
        <f>Venta_Unidades!E6</f>
        <v>339</v>
      </c>
      <c r="C222" s="81">
        <f t="shared" si="44"/>
        <v>4411.7145158730164</v>
      </c>
      <c r="D222" s="81">
        <f t="shared" si="47"/>
        <v>8300.3019999999997</v>
      </c>
      <c r="E222" s="81">
        <f t="shared" si="45"/>
        <v>12712.016515873016</v>
      </c>
      <c r="F222" s="81">
        <f t="shared" si="46"/>
        <v>17967</v>
      </c>
      <c r="G222" s="3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39">
        <f>Venta_Unidades!F6</f>
        <v>341</v>
      </c>
      <c r="C223" s="81">
        <f t="shared" si="44"/>
        <v>4411.7145158730164</v>
      </c>
      <c r="D223" s="81">
        <f t="shared" si="47"/>
        <v>8349.2713333333322</v>
      </c>
      <c r="E223" s="81">
        <f t="shared" si="45"/>
        <v>12760.985849206349</v>
      </c>
      <c r="F223" s="81">
        <f t="shared" si="46"/>
        <v>18073</v>
      </c>
      <c r="G223" s="3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39">
        <f>Venta_Unidades!G6</f>
        <v>354</v>
      </c>
      <c r="C224" s="81">
        <f t="shared" si="44"/>
        <v>4411.7145158730164</v>
      </c>
      <c r="D224" s="81">
        <f t="shared" si="47"/>
        <v>8667.5720000000001</v>
      </c>
      <c r="E224" s="81">
        <f t="shared" si="45"/>
        <v>13079.286515873016</v>
      </c>
      <c r="F224" s="81">
        <f t="shared" si="46"/>
        <v>18762</v>
      </c>
      <c r="G224" s="3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39">
        <f>Venta_Unidades!H6</f>
        <v>443</v>
      </c>
      <c r="C225" s="81">
        <f t="shared" si="44"/>
        <v>4411.7145158730164</v>
      </c>
      <c r="D225" s="81">
        <f t="shared" si="47"/>
        <v>10846.707333333334</v>
      </c>
      <c r="E225" s="81">
        <f t="shared" si="45"/>
        <v>15258.42184920635</v>
      </c>
      <c r="F225" s="81">
        <f t="shared" si="46"/>
        <v>23479</v>
      </c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39">
        <f>Venta_Unidades!I6</f>
        <v>364</v>
      </c>
      <c r="C226" s="81">
        <f t="shared" si="44"/>
        <v>4411.7145158730164</v>
      </c>
      <c r="D226" s="81">
        <f t="shared" si="47"/>
        <v>8912.4186666666665</v>
      </c>
      <c r="E226" s="81">
        <f t="shared" si="45"/>
        <v>13324.133182539683</v>
      </c>
      <c r="F226" s="81">
        <f t="shared" si="46"/>
        <v>19292</v>
      </c>
      <c r="G226" s="3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39">
        <f>Venta_Unidades!J6</f>
        <v>414</v>
      </c>
      <c r="C227" s="81">
        <f t="shared" si="44"/>
        <v>4411.7145158730164</v>
      </c>
      <c r="D227" s="81">
        <f t="shared" si="47"/>
        <v>10136.652</v>
      </c>
      <c r="E227" s="81">
        <f t="shared" si="45"/>
        <v>14548.366515873016</v>
      </c>
      <c r="F227" s="81">
        <f t="shared" si="46"/>
        <v>21942</v>
      </c>
      <c r="G227" s="3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80">
        <f>Venta_Unidades!K6</f>
        <v>314</v>
      </c>
      <c r="C228" s="81">
        <f t="shared" si="44"/>
        <v>4411.7145158730164</v>
      </c>
      <c r="D228" s="81">
        <f t="shared" si="47"/>
        <v>7688.1853333333329</v>
      </c>
      <c r="E228" s="81">
        <f t="shared" si="45"/>
        <v>12099.899849206349</v>
      </c>
      <c r="F228" s="81">
        <f t="shared" si="46"/>
        <v>16642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80">
        <f>Venta_Unidades!L6</f>
        <v>444</v>
      </c>
      <c r="C229" s="81">
        <f t="shared" si="44"/>
        <v>4411.7145158730164</v>
      </c>
      <c r="D229" s="81">
        <f t="shared" si="47"/>
        <v>10871.191999999999</v>
      </c>
      <c r="E229" s="81">
        <f t="shared" si="45"/>
        <v>15282.906515873015</v>
      </c>
      <c r="F229" s="81">
        <f t="shared" si="46"/>
        <v>23532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80">
        <f>Venta_Unidades!M6</f>
        <v>384</v>
      </c>
      <c r="C230" s="81">
        <f t="shared" si="44"/>
        <v>4411.7145158730164</v>
      </c>
      <c r="D230" s="81">
        <f t="shared" si="47"/>
        <v>9402.1119999999992</v>
      </c>
      <c r="E230" s="81">
        <f t="shared" si="45"/>
        <v>13813.826515873016</v>
      </c>
      <c r="F230" s="81">
        <f t="shared" si="46"/>
        <v>20352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84">
        <f>Venta_Unidades!N6</f>
        <v>337</v>
      </c>
      <c r="C231" s="85">
        <f t="shared" si="44"/>
        <v>4411.7145158730164</v>
      </c>
      <c r="D231" s="85">
        <f t="shared" si="47"/>
        <v>8251.3326666666671</v>
      </c>
      <c r="E231" s="85">
        <f t="shared" si="45"/>
        <v>12663.047182539683</v>
      </c>
      <c r="F231" s="85">
        <f t="shared" si="46"/>
        <v>17861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75"/>
      <c r="D232" s="75"/>
      <c r="E232" s="75"/>
      <c r="F232" s="7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75"/>
      <c r="D233" s="75"/>
      <c r="E233" s="75"/>
      <c r="F233" s="7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75"/>
      <c r="D234" s="75"/>
      <c r="E234" s="75"/>
      <c r="F234" s="7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449" t="s">
        <v>210</v>
      </c>
      <c r="C235" s="436"/>
      <c r="D235" s="436"/>
      <c r="E235" s="436"/>
      <c r="F235" s="437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51" t="s">
        <v>211</v>
      </c>
      <c r="C236" s="86"/>
      <c r="D236" s="86"/>
      <c r="E236" s="86"/>
      <c r="F236" s="8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87" t="s">
        <v>212</v>
      </c>
      <c r="C237" s="86"/>
      <c r="D237" s="86"/>
      <c r="E237" s="86"/>
      <c r="F237" s="8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86"/>
      <c r="C238" s="86"/>
      <c r="D238" s="86"/>
      <c r="E238" s="86"/>
      <c r="F238" s="8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449" t="s">
        <v>213</v>
      </c>
      <c r="C239" s="436"/>
      <c r="D239" s="436"/>
      <c r="E239" s="437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88" t="s">
        <v>214</v>
      </c>
      <c r="C240" s="89" t="s">
        <v>215</v>
      </c>
      <c r="D240" s="90" t="s">
        <v>216</v>
      </c>
      <c r="E240" s="90" t="s">
        <v>217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 t="s">
        <v>218</v>
      </c>
      <c r="C241" s="18">
        <v>0.4</v>
      </c>
      <c r="D241" s="18">
        <v>0.35</v>
      </c>
      <c r="E241" s="18">
        <v>0.25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 t="s">
        <v>219</v>
      </c>
      <c r="C242" s="39">
        <f>Costos_Unitarios!D22</f>
        <v>53</v>
      </c>
      <c r="D242" s="39">
        <v>55</v>
      </c>
      <c r="E242" s="39">
        <v>60</v>
      </c>
      <c r="F242" s="9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 t="s">
        <v>220</v>
      </c>
      <c r="C243" s="40">
        <v>1600</v>
      </c>
      <c r="D243" s="40">
        <v>1300</v>
      </c>
      <c r="E243" s="40">
        <v>3000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 t="s">
        <v>221</v>
      </c>
      <c r="C244" s="40">
        <f t="shared" ref="C244:E244" si="48">C242-C243</f>
        <v>-1547</v>
      </c>
      <c r="D244" s="40">
        <f t="shared" si="48"/>
        <v>-1245</v>
      </c>
      <c r="E244" s="40">
        <f t="shared" si="48"/>
        <v>-2940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88" t="s">
        <v>222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92">
        <v>160000600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451" t="s">
        <v>223</v>
      </c>
      <c r="C247" s="436"/>
      <c r="D247" s="436"/>
      <c r="E247" s="43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9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94" t="s">
        <v>224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94" t="s">
        <v>223</v>
      </c>
      <c r="C250" s="1"/>
      <c r="D250" s="95">
        <v>2055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94"/>
      <c r="C251" s="1"/>
      <c r="D251" s="25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94" t="s">
        <v>225</v>
      </c>
      <c r="C252" s="1"/>
      <c r="D252" s="25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94" t="s">
        <v>226</v>
      </c>
      <c r="C253" s="1"/>
      <c r="D253" s="25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94" t="s">
        <v>227</v>
      </c>
      <c r="C254" s="62">
        <f>B246/D250</f>
        <v>77859.172749391728</v>
      </c>
      <c r="D254" s="96" t="s">
        <v>228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94"/>
      <c r="C255" s="62"/>
      <c r="D255" s="25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94" t="s">
        <v>229</v>
      </c>
      <c r="C256" s="62">
        <f>C254</f>
        <v>77859.172749391728</v>
      </c>
      <c r="D256" s="40">
        <v>0.4</v>
      </c>
      <c r="E256" s="62">
        <f t="shared" ref="E256:E258" si="49">C256*D256</f>
        <v>31143.669099756691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94" t="s">
        <v>230</v>
      </c>
      <c r="C257" s="62">
        <f>C254</f>
        <v>77859.172749391728</v>
      </c>
      <c r="D257" s="40">
        <v>0.35</v>
      </c>
      <c r="E257" s="62">
        <f t="shared" si="49"/>
        <v>27250.710462287105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94" t="s">
        <v>231</v>
      </c>
      <c r="C258" s="62">
        <f>C254</f>
        <v>77859.172749391728</v>
      </c>
      <c r="D258" s="40">
        <v>0.25</v>
      </c>
      <c r="E258" s="97">
        <f t="shared" si="49"/>
        <v>19464.793187347932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94" t="s">
        <v>99</v>
      </c>
      <c r="C259" s="62"/>
      <c r="D259" s="25"/>
      <c r="E259" s="53">
        <f>SUM(E256:E258)</f>
        <v>77859.172749391728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94"/>
      <c r="C260" s="62"/>
      <c r="D260" s="25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449" t="s">
        <v>232</v>
      </c>
      <c r="C262" s="436"/>
      <c r="D262" s="436"/>
      <c r="E262" s="436"/>
      <c r="F262" s="437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90" t="s">
        <v>233</v>
      </c>
      <c r="C263" s="90" t="s">
        <v>215</v>
      </c>
      <c r="D263" s="90" t="s">
        <v>216</v>
      </c>
      <c r="E263" s="90" t="s">
        <v>217</v>
      </c>
      <c r="F263" s="98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99" t="s">
        <v>234</v>
      </c>
      <c r="C264" s="62">
        <f>E256*C242</f>
        <v>1650614.4622871047</v>
      </c>
      <c r="D264" s="62">
        <f>(E257*D242)</f>
        <v>1498789.0754257909</v>
      </c>
      <c r="E264" s="62">
        <f>E258*E242</f>
        <v>1167887.5912408759</v>
      </c>
      <c r="F264" s="6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99" t="s">
        <v>220</v>
      </c>
      <c r="C265" s="62">
        <f>E256*C243</f>
        <v>49829870.55961071</v>
      </c>
      <c r="D265" s="62">
        <f>E257*D243</f>
        <v>35425923.600973234</v>
      </c>
      <c r="E265" s="62">
        <f>E258*E243</f>
        <v>58394379.562043793</v>
      </c>
      <c r="F265" s="62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99" t="s">
        <v>221</v>
      </c>
      <c r="C266" s="62">
        <f t="shared" ref="C266:E266" si="50">C264-C265</f>
        <v>-48179256.097323604</v>
      </c>
      <c r="D266" s="62">
        <f t="shared" si="50"/>
        <v>-33927134.525547445</v>
      </c>
      <c r="E266" s="62">
        <f t="shared" si="50"/>
        <v>-57226491.970802918</v>
      </c>
      <c r="F266" s="62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99" t="s">
        <v>235</v>
      </c>
      <c r="C267" s="62"/>
      <c r="D267" s="62"/>
      <c r="E267" s="62"/>
      <c r="F267" s="100">
        <f t="shared" ref="F267:F268" si="51">C264+D264+E264</f>
        <v>4317291.1289537717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99" t="s">
        <v>236</v>
      </c>
      <c r="C268" s="62"/>
      <c r="D268" s="62"/>
      <c r="E268" s="62"/>
      <c r="F268" s="100">
        <f t="shared" si="51"/>
        <v>143650173.72262773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99" t="s">
        <v>237</v>
      </c>
      <c r="C269" s="62"/>
      <c r="D269" s="62"/>
      <c r="E269" s="62"/>
      <c r="F269" s="100">
        <f>F267-F268</f>
        <v>-139332882.59367394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99" t="s">
        <v>238</v>
      </c>
      <c r="C270" s="62"/>
      <c r="D270" s="62"/>
      <c r="E270" s="62"/>
      <c r="F270" s="100">
        <f>B246</f>
        <v>160000600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01" t="s">
        <v>239</v>
      </c>
      <c r="C271" s="97"/>
      <c r="D271" s="97"/>
      <c r="E271" s="97"/>
      <c r="F271" s="97">
        <f>F269-F270</f>
        <v>-299333482.59367394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9.5" customHeight="1">
      <c r="A274" s="1"/>
      <c r="B274" s="452" t="s">
        <v>240</v>
      </c>
      <c r="C274" s="436"/>
      <c r="D274" s="436"/>
      <c r="E274" s="436"/>
      <c r="F274" s="437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02" t="s">
        <v>241</v>
      </c>
      <c r="C275" s="90" t="s">
        <v>215</v>
      </c>
      <c r="D275" s="90" t="s">
        <v>216</v>
      </c>
      <c r="E275" s="90" t="s">
        <v>217</v>
      </c>
      <c r="F275" s="90" t="s">
        <v>242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3" t="s">
        <v>243</v>
      </c>
      <c r="C276" s="40">
        <f>E256</f>
        <v>31143.669099756691</v>
      </c>
      <c r="D276" s="40">
        <f>E257</f>
        <v>27250.710462287105</v>
      </c>
      <c r="E276" s="40">
        <f>E258</f>
        <v>19464.793187347932</v>
      </c>
      <c r="F276" s="40">
        <f t="shared" ref="F276:F279" si="52">SUM(C276:E276)</f>
        <v>77859.172749391728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3" t="s">
        <v>244</v>
      </c>
      <c r="C277" s="40">
        <f t="shared" ref="C277:E277" si="53">C264</f>
        <v>1650614.4622871047</v>
      </c>
      <c r="D277" s="40">
        <f t="shared" si="53"/>
        <v>1498789.0754257909</v>
      </c>
      <c r="E277" s="40">
        <f t="shared" si="53"/>
        <v>1167887.5912408759</v>
      </c>
      <c r="F277" s="40">
        <f t="shared" si="52"/>
        <v>4317291.1289537717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3" t="s">
        <v>245</v>
      </c>
      <c r="C278" s="40">
        <f t="shared" ref="C278:E278" si="54">C243</f>
        <v>1600</v>
      </c>
      <c r="D278" s="40">
        <f t="shared" si="54"/>
        <v>1300</v>
      </c>
      <c r="E278" s="40">
        <f t="shared" si="54"/>
        <v>3000</v>
      </c>
      <c r="F278" s="40">
        <f t="shared" si="52"/>
        <v>5900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03" t="s">
        <v>246</v>
      </c>
      <c r="C279" s="104">
        <f t="shared" ref="C279:E279" si="55">C277/$F$277</f>
        <v>0.38232642019837687</v>
      </c>
      <c r="D279" s="104">
        <f t="shared" si="55"/>
        <v>0.34715960324616774</v>
      </c>
      <c r="E279" s="104">
        <f t="shared" si="55"/>
        <v>0.27051397655545534</v>
      </c>
      <c r="F279" s="104">
        <f t="shared" si="52"/>
        <v>1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3" t="s">
        <v>247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3" t="s">
        <v>248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3" t="s">
        <v>249</v>
      </c>
      <c r="C283" s="1"/>
      <c r="D283" s="62">
        <f>F268/F267</f>
        <v>33.273219116321002</v>
      </c>
      <c r="E283" s="28">
        <f>47%</f>
        <v>0.47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3" t="s">
        <v>250</v>
      </c>
      <c r="C285" s="1"/>
      <c r="D285" s="62">
        <f>B246/E283</f>
        <v>340426808.5106383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449" t="s">
        <v>251</v>
      </c>
      <c r="C288" s="436"/>
      <c r="D288" s="436"/>
      <c r="E288" s="436"/>
      <c r="F288" s="437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90" t="s">
        <v>252</v>
      </c>
      <c r="C289" s="105" t="s">
        <v>215</v>
      </c>
      <c r="D289" s="105" t="s">
        <v>216</v>
      </c>
      <c r="E289" s="105" t="s">
        <v>217</v>
      </c>
      <c r="F289" s="105" t="s">
        <v>242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3" t="s">
        <v>244</v>
      </c>
      <c r="C290" s="40">
        <f t="shared" ref="C290:E290" si="56">C264</f>
        <v>1650614.4622871047</v>
      </c>
      <c r="D290" s="40">
        <f t="shared" si="56"/>
        <v>1498789.0754257909</v>
      </c>
      <c r="E290" s="40">
        <f t="shared" si="56"/>
        <v>1167887.5912408759</v>
      </c>
      <c r="F290" s="40">
        <f>SUM(C290:E290)</f>
        <v>4317291.1289537717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3" t="s">
        <v>253</v>
      </c>
      <c r="C291" s="40">
        <f t="shared" ref="C291:E291" si="57">C265</f>
        <v>49829870.55961071</v>
      </c>
      <c r="D291" s="40">
        <f t="shared" si="57"/>
        <v>35425923.600973234</v>
      </c>
      <c r="E291" s="40">
        <f t="shared" si="57"/>
        <v>58394379.562043793</v>
      </c>
      <c r="F291" s="40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3" t="s">
        <v>254</v>
      </c>
      <c r="C292" s="40">
        <f t="shared" ref="C292:E292" si="58">C290-C291</f>
        <v>-48179256.097323604</v>
      </c>
      <c r="D292" s="40">
        <f t="shared" si="58"/>
        <v>-33927134.525547445</v>
      </c>
      <c r="E292" s="40">
        <f t="shared" si="58"/>
        <v>-57226491.970802918</v>
      </c>
      <c r="F292" s="40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 customHeight="1">
      <c r="A293" s="1"/>
      <c r="B293" s="3" t="s">
        <v>255</v>
      </c>
      <c r="C293" s="18">
        <f t="shared" ref="C293:E293" si="59">C292/C290</f>
        <v>-29.188679245283019</v>
      </c>
      <c r="D293" s="18">
        <f t="shared" si="59"/>
        <v>-22.636363636363633</v>
      </c>
      <c r="E293" s="18">
        <f t="shared" si="59"/>
        <v>-49</v>
      </c>
      <c r="F293" s="19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3" t="s">
        <v>256</v>
      </c>
      <c r="C294" s="40"/>
      <c r="D294" s="40"/>
      <c r="E294" s="40"/>
      <c r="F294" s="40">
        <f>F290</f>
        <v>4317291.1289537717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3" t="s">
        <v>257</v>
      </c>
      <c r="C295" s="40"/>
      <c r="D295" s="40"/>
      <c r="E295" s="40"/>
      <c r="F295" s="40">
        <f>SUM(C291:E291)</f>
        <v>143650173.72262773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3" t="s">
        <v>258</v>
      </c>
      <c r="C296" s="40"/>
      <c r="D296" s="40"/>
      <c r="E296" s="40"/>
      <c r="F296" s="40">
        <f>F294-F295</f>
        <v>-139332882.59367394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03" t="s">
        <v>259</v>
      </c>
      <c r="C297" s="106"/>
      <c r="D297" s="106"/>
      <c r="E297" s="106"/>
      <c r="F297" s="104">
        <f>F295/F294</f>
        <v>33.273219116321002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450" t="s">
        <v>260</v>
      </c>
      <c r="C300" s="436"/>
      <c r="D300" s="436"/>
      <c r="E300" s="436"/>
      <c r="F300" s="437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" customHeight="1">
      <c r="A301" s="1"/>
      <c r="B301" s="107" t="s">
        <v>241</v>
      </c>
      <c r="C301" s="107" t="s">
        <v>215</v>
      </c>
      <c r="D301" s="107" t="s">
        <v>216</v>
      </c>
      <c r="E301" s="107" t="s">
        <v>217</v>
      </c>
      <c r="F301" s="107" t="s">
        <v>242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3" t="s">
        <v>261</v>
      </c>
      <c r="C302" s="28">
        <f t="shared" ref="C302:E302" si="60">C279</f>
        <v>0.38232642019837687</v>
      </c>
      <c r="D302" s="28">
        <f t="shared" si="60"/>
        <v>0.34715960324616774</v>
      </c>
      <c r="E302" s="28">
        <f t="shared" si="60"/>
        <v>0.27051397655545534</v>
      </c>
      <c r="F302" s="28">
        <f>SUM(C302:E302)</f>
        <v>1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3" t="s">
        <v>244</v>
      </c>
      <c r="C303" s="62">
        <f t="shared" ref="C303:E303" si="61">$F$303*C302</f>
        <v>130154163.03743067</v>
      </c>
      <c r="D303" s="62">
        <f t="shared" si="61"/>
        <v>118182435.7769123</v>
      </c>
      <c r="E303" s="62">
        <f t="shared" si="61"/>
        <v>92090209.696295291</v>
      </c>
      <c r="F303" s="62">
        <f>D285</f>
        <v>340426808.5106383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450" t="s">
        <v>262</v>
      </c>
      <c r="C304" s="436"/>
      <c r="D304" s="436"/>
      <c r="E304" s="436"/>
      <c r="F304" s="437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435" t="s">
        <v>263</v>
      </c>
      <c r="C306" s="436"/>
      <c r="D306" s="436"/>
      <c r="E306" s="436"/>
      <c r="F306" s="436"/>
      <c r="G306" s="436"/>
      <c r="H306" s="43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442" t="s">
        <v>264</v>
      </c>
      <c r="C307" s="435" t="s">
        <v>265</v>
      </c>
      <c r="D307" s="436"/>
      <c r="E307" s="436"/>
      <c r="F307" s="436"/>
      <c r="G307" s="436"/>
      <c r="H307" s="43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443"/>
      <c r="C308" s="33">
        <v>0</v>
      </c>
      <c r="D308" s="37">
        <v>1</v>
      </c>
      <c r="E308" s="37">
        <v>2</v>
      </c>
      <c r="F308" s="37">
        <v>3</v>
      </c>
      <c r="G308" s="37">
        <v>4</v>
      </c>
      <c r="H308" s="37">
        <v>5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51" t="s">
        <v>266</v>
      </c>
      <c r="C309" s="40"/>
      <c r="D309" s="40"/>
      <c r="E309" s="40"/>
      <c r="F309" s="40"/>
      <c r="G309" s="40"/>
      <c r="H309" s="40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1" t="s">
        <v>267</v>
      </c>
      <c r="C310" s="40">
        <f>E27</f>
        <v>6884</v>
      </c>
      <c r="D310" s="40"/>
      <c r="E310" s="40"/>
      <c r="F310" s="40"/>
      <c r="G310" s="40"/>
      <c r="H310" s="40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1" t="s">
        <v>268</v>
      </c>
      <c r="C311" s="40" t="s">
        <v>269</v>
      </c>
      <c r="D311" s="40"/>
      <c r="E311" s="40"/>
      <c r="F311" s="40"/>
      <c r="G311" s="40"/>
      <c r="H311" s="40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1" t="s">
        <v>270</v>
      </c>
      <c r="C312" s="40">
        <f>E51</f>
        <v>3954</v>
      </c>
      <c r="D312" s="40"/>
      <c r="E312" s="40"/>
      <c r="F312" s="40"/>
      <c r="G312" s="40"/>
      <c r="H312" s="40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51" t="s">
        <v>271</v>
      </c>
      <c r="C313" s="40">
        <f>SUM(C310:C312)</f>
        <v>10838</v>
      </c>
      <c r="D313" s="40"/>
      <c r="E313" s="40"/>
      <c r="F313" s="40"/>
      <c r="G313" s="40"/>
      <c r="H313" s="40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51" t="s">
        <v>272</v>
      </c>
      <c r="C314" s="40"/>
      <c r="D314" s="40"/>
      <c r="E314" s="40"/>
      <c r="F314" s="40"/>
      <c r="G314" s="40"/>
      <c r="H314" s="40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1" t="s">
        <v>273</v>
      </c>
      <c r="C315" s="40">
        <f>E17</f>
        <v>0</v>
      </c>
      <c r="D315" s="40"/>
      <c r="E315" s="40"/>
      <c r="F315" s="40"/>
      <c r="G315" s="40"/>
      <c r="H315" s="40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1" t="s">
        <v>158</v>
      </c>
      <c r="C316" s="40">
        <f>E61</f>
        <v>1116.99</v>
      </c>
      <c r="D316" s="40"/>
      <c r="E316" s="40"/>
      <c r="F316" s="40"/>
      <c r="G316" s="40"/>
      <c r="H316" s="40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51" t="s">
        <v>271</v>
      </c>
      <c r="C317" s="40">
        <f>SUM(C315:C316)</f>
        <v>1116.99</v>
      </c>
      <c r="D317" s="40"/>
      <c r="E317" s="40"/>
      <c r="F317" s="40"/>
      <c r="G317" s="40"/>
      <c r="H317" s="40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08" t="s">
        <v>274</v>
      </c>
      <c r="C318" s="109">
        <f>C313+C317</f>
        <v>11954.99</v>
      </c>
      <c r="D318" s="110"/>
      <c r="E318" s="110"/>
      <c r="F318" s="110"/>
      <c r="G318" s="110"/>
      <c r="H318" s="110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435" t="s">
        <v>275</v>
      </c>
      <c r="C321" s="437"/>
      <c r="D321" s="1"/>
      <c r="E321" s="435" t="s">
        <v>276</v>
      </c>
      <c r="F321" s="436"/>
      <c r="G321" s="437"/>
      <c r="H321" s="1"/>
      <c r="I321" s="435" t="s">
        <v>277</v>
      </c>
      <c r="J321" s="436"/>
      <c r="K321" s="437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33" t="s">
        <v>278</v>
      </c>
      <c r="C322" s="37" t="s">
        <v>169</v>
      </c>
      <c r="D322" s="1"/>
      <c r="E322" s="439" t="s">
        <v>279</v>
      </c>
      <c r="F322" s="437"/>
      <c r="G322" s="81">
        <f>F95</f>
        <v>5230.3999999999996</v>
      </c>
      <c r="H322" s="1"/>
      <c r="I322" s="430" t="s">
        <v>280</v>
      </c>
      <c r="J322" s="431"/>
      <c r="K322" s="40">
        <f>F146</f>
        <v>2130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1" t="s">
        <v>276</v>
      </c>
      <c r="C323" s="40">
        <f>G325</f>
        <v>7594.0583333333325</v>
      </c>
      <c r="D323" s="1"/>
      <c r="E323" s="8" t="s">
        <v>281</v>
      </c>
      <c r="F323" s="8"/>
      <c r="G323" s="81">
        <f>F68</f>
        <v>2115</v>
      </c>
      <c r="H323" s="75"/>
      <c r="I323" s="430" t="s">
        <v>282</v>
      </c>
      <c r="J323" s="431"/>
      <c r="K323" s="40">
        <f>F154</f>
        <v>140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1" t="s">
        <v>283</v>
      </c>
      <c r="C324" s="40">
        <f>K326</f>
        <v>2393.0561825396826</v>
      </c>
      <c r="D324" s="1"/>
      <c r="E324" s="8" t="s">
        <v>284</v>
      </c>
      <c r="F324" s="8"/>
      <c r="G324" s="81">
        <f>F101+F111+C185</f>
        <v>248.6583333333333</v>
      </c>
      <c r="H324" s="1"/>
      <c r="I324" s="430" t="s">
        <v>285</v>
      </c>
      <c r="J324" s="431"/>
      <c r="K324" s="40">
        <f>K138</f>
        <v>104.43968253968254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1" t="s">
        <v>286</v>
      </c>
      <c r="C325" s="40">
        <f>C201</f>
        <v>1770</v>
      </c>
      <c r="D325" s="1"/>
      <c r="E325" s="435" t="s">
        <v>47</v>
      </c>
      <c r="F325" s="437"/>
      <c r="G325" s="43">
        <f>SUM(G322:G324)</f>
        <v>7594.0583333333325</v>
      </c>
      <c r="H325" s="1"/>
      <c r="I325" s="430" t="s">
        <v>287</v>
      </c>
      <c r="J325" s="431"/>
      <c r="K325" s="40">
        <f>J167</f>
        <v>18.616499999999998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1"/>
      <c r="C326" s="40"/>
      <c r="D326" s="1"/>
      <c r="E326" s="1"/>
      <c r="F326" s="1"/>
      <c r="G326" s="1"/>
      <c r="H326" s="1"/>
      <c r="I326" s="435" t="s">
        <v>47</v>
      </c>
      <c r="J326" s="437"/>
      <c r="K326" s="43">
        <f>SUM(K322:K325)</f>
        <v>2393.0561825396826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51" t="s">
        <v>288</v>
      </c>
      <c r="C327" s="40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11" t="s">
        <v>289</v>
      </c>
      <c r="C328" s="110">
        <f>SUM(C323:C327)</f>
        <v>11757.114515873014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51" t="s">
        <v>290</v>
      </c>
      <c r="C329" s="40"/>
      <c r="D329" s="3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11" t="s">
        <v>291</v>
      </c>
      <c r="C330" s="110">
        <f>'Estado de Resultados'!C8+'Estado de Resultados'!C13+'Estado de Resultados'!C14</f>
        <v>70260</v>
      </c>
      <c r="D330" s="3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3"/>
      <c r="C331" s="75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3" t="s">
        <v>292</v>
      </c>
      <c r="C332" s="75"/>
      <c r="D332" s="1"/>
      <c r="E332" s="1"/>
      <c r="F332" s="1"/>
      <c r="G332" s="1"/>
      <c r="H332" s="1"/>
      <c r="I332" s="3" t="s">
        <v>292</v>
      </c>
      <c r="J332" s="75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"/>
      <c r="Y332" s="19"/>
      <c r="Z332" s="1"/>
    </row>
    <row r="333" spans="1:26" ht="15.75" customHeight="1">
      <c r="A333" s="1"/>
      <c r="B333" s="1" t="s">
        <v>293</v>
      </c>
      <c r="C333" s="40">
        <f>C328</f>
        <v>11757.114515873014</v>
      </c>
      <c r="D333" s="1"/>
      <c r="E333" s="1"/>
      <c r="F333" s="1"/>
      <c r="G333" s="1"/>
      <c r="H333" s="1"/>
      <c r="I333" s="1" t="s">
        <v>293</v>
      </c>
      <c r="J333" s="40">
        <f>C330</f>
        <v>70260</v>
      </c>
      <c r="K333" s="1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1"/>
      <c r="Y333" s="24"/>
      <c r="Z333" s="1"/>
    </row>
    <row r="334" spans="1:26" ht="15.75" customHeight="1">
      <c r="A334" s="1"/>
      <c r="B334" s="1" t="s">
        <v>294</v>
      </c>
      <c r="C334" s="113">
        <f>- (K122+K138)</f>
        <v>-353.09801587301581</v>
      </c>
      <c r="D334" s="1" t="s">
        <v>295</v>
      </c>
      <c r="E334" s="1"/>
      <c r="F334" s="1"/>
      <c r="G334" s="1"/>
      <c r="H334" s="1"/>
      <c r="I334" s="1" t="s">
        <v>294</v>
      </c>
      <c r="J334" s="113"/>
      <c r="K334" s="1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1"/>
      <c r="Y334" s="24"/>
      <c r="Z334" s="1"/>
    </row>
    <row r="335" spans="1:26" ht="15.75" customHeight="1">
      <c r="A335" s="1"/>
      <c r="B335" s="1" t="s">
        <v>296</v>
      </c>
      <c r="C335" s="113">
        <f>- J167</f>
        <v>-18.616499999999998</v>
      </c>
      <c r="D335" s="1"/>
      <c r="E335" s="1"/>
      <c r="F335" s="1"/>
      <c r="G335" s="1"/>
      <c r="H335" s="1"/>
      <c r="I335" s="1" t="s">
        <v>296</v>
      </c>
      <c r="J335" s="113"/>
      <c r="K335" s="1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1"/>
      <c r="Y335" s="24"/>
      <c r="Z335" s="1"/>
    </row>
    <row r="336" spans="1:26" ht="15.75" customHeight="1">
      <c r="A336" s="1"/>
      <c r="B336" s="3" t="s">
        <v>297</v>
      </c>
      <c r="C336" s="40">
        <f>SUM(C333:C335)</f>
        <v>11385.399999999998</v>
      </c>
      <c r="D336" s="1" t="s">
        <v>298</v>
      </c>
      <c r="E336" s="1"/>
      <c r="F336" s="1"/>
      <c r="G336" s="1"/>
      <c r="H336" s="1"/>
      <c r="I336" s="3" t="s">
        <v>299</v>
      </c>
      <c r="J336" s="40">
        <f>SUM(J333:J335)</f>
        <v>70260</v>
      </c>
      <c r="K336" s="1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1"/>
      <c r="Y336" s="24"/>
      <c r="Z336" s="1"/>
    </row>
    <row r="337" spans="1:26" ht="15.75" customHeight="1">
      <c r="A337" s="1"/>
      <c r="B337" s="3"/>
      <c r="C337" s="114"/>
      <c r="D337" s="1"/>
      <c r="E337" s="1"/>
      <c r="F337" s="1"/>
      <c r="G337" s="1"/>
      <c r="H337" s="1"/>
      <c r="I337" s="3"/>
      <c r="J337" s="114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3" t="s">
        <v>300</v>
      </c>
      <c r="C338" s="114"/>
      <c r="D338" s="1"/>
      <c r="E338" s="1"/>
      <c r="F338" s="1"/>
      <c r="G338" s="1"/>
      <c r="H338" s="1"/>
      <c r="I338" s="3" t="s">
        <v>301</v>
      </c>
      <c r="J338" s="114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3" t="s">
        <v>302</v>
      </c>
      <c r="C339" s="40">
        <f>C336/30</f>
        <v>379.51333333333326</v>
      </c>
      <c r="D339" s="1"/>
      <c r="E339" s="1"/>
      <c r="F339" s="1"/>
      <c r="G339" s="1"/>
      <c r="H339" s="1"/>
      <c r="I339" s="3" t="s">
        <v>302</v>
      </c>
      <c r="J339" s="40">
        <f>J336/360</f>
        <v>195.16666666666666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15" t="s">
        <v>303</v>
      </c>
      <c r="C340" s="113">
        <f>C339*31</f>
        <v>11764.913333333332</v>
      </c>
      <c r="D340" s="116"/>
      <c r="E340" s="1"/>
      <c r="F340" s="1"/>
      <c r="G340" s="1"/>
      <c r="H340" s="1"/>
      <c r="I340" s="115" t="s">
        <v>303</v>
      </c>
      <c r="J340" s="113">
        <f>J339*30</f>
        <v>5855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75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3" t="s">
        <v>304</v>
      </c>
      <c r="C342" s="75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17" t="s">
        <v>305</v>
      </c>
      <c r="C343" s="75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17" t="s">
        <v>306</v>
      </c>
      <c r="C344" s="40">
        <f>J340</f>
        <v>5855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17" t="s">
        <v>307</v>
      </c>
      <c r="C345" s="21">
        <f>C4</f>
        <v>0.02</v>
      </c>
      <c r="D345" s="1" t="s">
        <v>308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17" t="s">
        <v>309</v>
      </c>
      <c r="C346" s="118">
        <v>1</v>
      </c>
      <c r="D346" s="1" t="s">
        <v>310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17" t="s">
        <v>311</v>
      </c>
      <c r="C347" s="40">
        <f>C344/(1+C345)^C346</f>
        <v>5740.1960784313724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17" t="s">
        <v>312</v>
      </c>
      <c r="C348" s="40">
        <f>C344-C347</f>
        <v>114.80392156862763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75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435" t="s">
        <v>313</v>
      </c>
      <c r="C350" s="436"/>
      <c r="D350" s="436"/>
      <c r="E350" s="436"/>
      <c r="F350" s="436"/>
      <c r="G350" s="437"/>
      <c r="H350" s="36"/>
      <c r="I350" s="36"/>
      <c r="J350" s="36"/>
      <c r="K350" s="36"/>
      <c r="L350" s="36"/>
      <c r="M350" s="36"/>
      <c r="N350" s="36"/>
      <c r="O350" s="36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435" t="s">
        <v>314</v>
      </c>
      <c r="C351" s="436"/>
      <c r="D351" s="436"/>
      <c r="E351" s="436"/>
      <c r="F351" s="436"/>
      <c r="G351" s="437"/>
      <c r="H351" s="36"/>
      <c r="I351" s="1" t="s">
        <v>315</v>
      </c>
      <c r="J351" s="1"/>
      <c r="K351" s="1"/>
      <c r="L351" s="25">
        <f>C2</f>
        <v>300</v>
      </c>
      <c r="M351" s="1" t="s">
        <v>316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442" t="s">
        <v>317</v>
      </c>
      <c r="C352" s="435" t="s">
        <v>265</v>
      </c>
      <c r="D352" s="436"/>
      <c r="E352" s="436"/>
      <c r="F352" s="436"/>
      <c r="G352" s="437"/>
      <c r="H352" s="36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443"/>
      <c r="C353" s="33">
        <v>0</v>
      </c>
      <c r="D353" s="33">
        <v>1</v>
      </c>
      <c r="E353" s="33">
        <v>2</v>
      </c>
      <c r="F353" s="33">
        <v>3</v>
      </c>
      <c r="G353" s="33">
        <v>4</v>
      </c>
      <c r="H353" s="86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1" t="s">
        <v>318</v>
      </c>
      <c r="C354" s="40">
        <f>C344</f>
        <v>5855</v>
      </c>
      <c r="D354" s="40">
        <f t="shared" ref="D354:G354" si="62">$C$348</f>
        <v>114.80392156862763</v>
      </c>
      <c r="E354" s="40">
        <f t="shared" si="62"/>
        <v>114.80392156862763</v>
      </c>
      <c r="F354" s="40">
        <f t="shared" si="62"/>
        <v>114.80392156862763</v>
      </c>
      <c r="G354" s="40">
        <f t="shared" si="62"/>
        <v>114.80392156862763</v>
      </c>
      <c r="H354" s="75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1" t="s">
        <v>319</v>
      </c>
      <c r="C355" s="40"/>
      <c r="D355" s="40"/>
      <c r="E355" s="40"/>
      <c r="F355" s="40"/>
      <c r="G355" s="40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33" t="s">
        <v>320</v>
      </c>
      <c r="C356" s="43">
        <f t="shared" ref="C356:G356" si="63">C354</f>
        <v>5855</v>
      </c>
      <c r="D356" s="43">
        <f t="shared" si="63"/>
        <v>114.80392156862763</v>
      </c>
      <c r="E356" s="43">
        <f t="shared" si="63"/>
        <v>114.80392156862763</v>
      </c>
      <c r="F356" s="43">
        <f t="shared" si="63"/>
        <v>114.80392156862763</v>
      </c>
      <c r="G356" s="43">
        <f t="shared" si="63"/>
        <v>114.80392156862763</v>
      </c>
      <c r="H356" s="119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435" t="s">
        <v>321</v>
      </c>
      <c r="C360" s="436"/>
      <c r="D360" s="436"/>
      <c r="E360" s="436"/>
      <c r="F360" s="436"/>
      <c r="G360" s="437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3" customHeight="1">
      <c r="A361" s="1"/>
      <c r="B361" s="34"/>
      <c r="C361" s="34"/>
      <c r="D361" s="34"/>
      <c r="E361" s="34"/>
      <c r="F361" s="34"/>
      <c r="G361" s="3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435" t="s">
        <v>322</v>
      </c>
      <c r="C362" s="436"/>
      <c r="D362" s="436"/>
      <c r="E362" s="436"/>
      <c r="F362" s="436"/>
      <c r="G362" s="437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442" t="s">
        <v>317</v>
      </c>
      <c r="C363" s="435" t="s">
        <v>265</v>
      </c>
      <c r="D363" s="436"/>
      <c r="E363" s="436"/>
      <c r="F363" s="436"/>
      <c r="G363" s="437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443"/>
      <c r="C364" s="33">
        <v>0</v>
      </c>
      <c r="D364" s="33">
        <v>1</v>
      </c>
      <c r="E364" s="33">
        <v>2</v>
      </c>
      <c r="F364" s="33">
        <v>3</v>
      </c>
      <c r="G364" s="33">
        <v>4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 t="s">
        <v>318</v>
      </c>
      <c r="C365" s="62">
        <f>C344</f>
        <v>5855</v>
      </c>
      <c r="D365" s="62">
        <f t="shared" ref="D365:G365" si="64">$C$348</f>
        <v>114.80392156862763</v>
      </c>
      <c r="E365" s="62">
        <f t="shared" si="64"/>
        <v>114.80392156862763</v>
      </c>
      <c r="F365" s="62">
        <f t="shared" si="64"/>
        <v>114.80392156862763</v>
      </c>
      <c r="G365" s="62">
        <f t="shared" si="64"/>
        <v>114.80392156862763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 t="s">
        <v>319</v>
      </c>
      <c r="C366" s="62"/>
      <c r="D366" s="62"/>
      <c r="E366" s="62">
        <f>E365*L366</f>
        <v>45.921568627451052</v>
      </c>
      <c r="F366" s="62">
        <f>E366</f>
        <v>45.921568627451052</v>
      </c>
      <c r="G366" s="62">
        <f>E366</f>
        <v>45.921568627451052</v>
      </c>
      <c r="H366" s="1"/>
      <c r="I366" s="1" t="s">
        <v>323</v>
      </c>
      <c r="J366" s="1"/>
      <c r="K366" s="1"/>
      <c r="L366" s="18">
        <f>C5</f>
        <v>0.4</v>
      </c>
      <c r="M366" s="1" t="s">
        <v>324</v>
      </c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34" t="s">
        <v>320</v>
      </c>
      <c r="C367" s="64">
        <f t="shared" ref="C367:G367" si="65">SUM(C365:C366)</f>
        <v>5855</v>
      </c>
      <c r="D367" s="64">
        <f t="shared" si="65"/>
        <v>114.80392156862763</v>
      </c>
      <c r="E367" s="64">
        <f t="shared" si="65"/>
        <v>160.72549019607868</v>
      </c>
      <c r="F367" s="64">
        <f t="shared" si="65"/>
        <v>160.72549019607868</v>
      </c>
      <c r="G367" s="64">
        <f t="shared" si="65"/>
        <v>160.72549019607868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3"/>
      <c r="C368" s="75"/>
      <c r="D368" s="75"/>
      <c r="E368" s="75"/>
      <c r="F368" s="75"/>
      <c r="G368" s="75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3" t="s">
        <v>325</v>
      </c>
      <c r="C369" s="75"/>
      <c r="D369" s="75"/>
      <c r="E369" s="75"/>
      <c r="F369" s="75"/>
      <c r="G369" s="75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3" t="s">
        <v>326</v>
      </c>
      <c r="C370" s="40">
        <f>C4</f>
        <v>0.02</v>
      </c>
      <c r="D370" s="75"/>
      <c r="E370" s="75"/>
      <c r="F370" s="75"/>
      <c r="G370" s="75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3" t="s">
        <v>327</v>
      </c>
      <c r="C371" s="40">
        <f>C367*C370</f>
        <v>117.10000000000001</v>
      </c>
      <c r="D371" s="75"/>
      <c r="E371" s="75"/>
      <c r="F371" s="75"/>
      <c r="G371" s="75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3" t="s">
        <v>328</v>
      </c>
      <c r="C372" s="40">
        <f>(C367+C371)*C370</f>
        <v>119.44200000000001</v>
      </c>
      <c r="D372" s="75"/>
      <c r="E372" s="75"/>
      <c r="F372" s="75"/>
      <c r="G372" s="75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3" t="s">
        <v>329</v>
      </c>
      <c r="C373" s="40">
        <f>(C367+C371+C372)*C370</f>
        <v>121.83084000000001</v>
      </c>
      <c r="D373" s="75"/>
      <c r="E373" s="75"/>
      <c r="F373" s="75"/>
      <c r="G373" s="75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3" t="s">
        <v>330</v>
      </c>
      <c r="C374" s="40">
        <f>(C367+C371+C372+C373)*C370</f>
        <v>124.26745680000001</v>
      </c>
      <c r="D374" s="75"/>
      <c r="E374" s="75"/>
      <c r="F374" s="75"/>
      <c r="G374" s="75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435" t="s">
        <v>331</v>
      </c>
      <c r="C376" s="436"/>
      <c r="D376" s="436"/>
      <c r="E376" s="436"/>
      <c r="F376" s="436"/>
      <c r="G376" s="437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442" t="s">
        <v>317</v>
      </c>
      <c r="C377" s="435" t="s">
        <v>265</v>
      </c>
      <c r="D377" s="436"/>
      <c r="E377" s="436"/>
      <c r="F377" s="436"/>
      <c r="G377" s="437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443"/>
      <c r="C378" s="33">
        <v>0</v>
      </c>
      <c r="D378" s="33">
        <v>1</v>
      </c>
      <c r="E378" s="33">
        <v>2</v>
      </c>
      <c r="F378" s="33">
        <v>3</v>
      </c>
      <c r="G378" s="33">
        <v>4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1" t="s">
        <v>318</v>
      </c>
      <c r="C379" s="40">
        <f>C340</f>
        <v>11764.913333333332</v>
      </c>
      <c r="D379" s="40">
        <f>C371</f>
        <v>117.10000000000001</v>
      </c>
      <c r="E379" s="40">
        <f>C372</f>
        <v>119.44200000000001</v>
      </c>
      <c r="F379" s="40">
        <f>C373</f>
        <v>121.83084000000001</v>
      </c>
      <c r="G379" s="40">
        <f>C374</f>
        <v>124.26745680000001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06"/>
      <c r="C380" s="110"/>
      <c r="D380" s="110"/>
      <c r="E380" s="110"/>
      <c r="F380" s="110"/>
      <c r="G380" s="110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62"/>
      <c r="D381" s="62"/>
      <c r="E381" s="62"/>
      <c r="F381" s="62"/>
      <c r="G381" s="62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3" t="s">
        <v>332</v>
      </c>
      <c r="C382" s="40">
        <f>E366</f>
        <v>45.921568627451052</v>
      </c>
      <c r="D382" s="62"/>
      <c r="E382" s="40"/>
      <c r="F382" s="62"/>
      <c r="G382" s="62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 t="s">
        <v>333</v>
      </c>
      <c r="C383" s="40">
        <f>D379+C382*(1+C370)^1</f>
        <v>163.94000000000008</v>
      </c>
      <c r="D383" s="1" t="s">
        <v>312</v>
      </c>
      <c r="E383" s="40">
        <f t="shared" ref="E383:E386" si="66">C383-C371</f>
        <v>46.840000000000074</v>
      </c>
      <c r="F383" s="62"/>
      <c r="G383" s="62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 t="s">
        <v>334</v>
      </c>
      <c r="C384" s="40">
        <f>E379+C382*(1+C370)^2</f>
        <v>167.21880000000007</v>
      </c>
      <c r="D384" s="62"/>
      <c r="E384" s="40">
        <f t="shared" si="66"/>
        <v>47.776800000000065</v>
      </c>
      <c r="F384" s="62"/>
      <c r="G384" s="62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 t="s">
        <v>335</v>
      </c>
      <c r="C385" s="40">
        <f>F379+C382*(1+C370)^3</f>
        <v>170.56317600000008</v>
      </c>
      <c r="D385" s="62"/>
      <c r="E385" s="40">
        <f t="shared" si="66"/>
        <v>48.732336000000075</v>
      </c>
      <c r="F385" s="62"/>
      <c r="G385" s="62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 t="s">
        <v>336</v>
      </c>
      <c r="C386" s="40">
        <f>G379+C382*(1+C370)^4</f>
        <v>173.97443952000009</v>
      </c>
      <c r="D386" s="62"/>
      <c r="E386" s="40">
        <f t="shared" si="66"/>
        <v>49.706982720000084</v>
      </c>
      <c r="F386" s="62"/>
      <c r="G386" s="62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20"/>
      <c r="D387" s="1"/>
      <c r="E387" s="120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435" t="s">
        <v>337</v>
      </c>
      <c r="C388" s="436"/>
      <c r="D388" s="436"/>
      <c r="E388" s="436"/>
      <c r="F388" s="436"/>
      <c r="G388" s="437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442" t="s">
        <v>317</v>
      </c>
      <c r="C389" s="435" t="s">
        <v>265</v>
      </c>
      <c r="D389" s="436"/>
      <c r="E389" s="436"/>
      <c r="F389" s="436"/>
      <c r="G389" s="437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443"/>
      <c r="C390" s="33">
        <v>0</v>
      </c>
      <c r="D390" s="33">
        <v>1</v>
      </c>
      <c r="E390" s="33">
        <v>2</v>
      </c>
      <c r="F390" s="33">
        <v>3</v>
      </c>
      <c r="G390" s="33">
        <v>4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1" t="s">
        <v>318</v>
      </c>
      <c r="C391" s="40">
        <f t="shared" ref="C391:G391" si="67">C379</f>
        <v>11764.913333333332</v>
      </c>
      <c r="D391" s="40">
        <f t="shared" si="67"/>
        <v>117.10000000000001</v>
      </c>
      <c r="E391" s="40">
        <f t="shared" si="67"/>
        <v>119.44200000000001</v>
      </c>
      <c r="F391" s="40">
        <f t="shared" si="67"/>
        <v>121.83084000000001</v>
      </c>
      <c r="G391" s="40">
        <f t="shared" si="67"/>
        <v>124.26745680000001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1" t="s">
        <v>338</v>
      </c>
      <c r="C392" s="40"/>
      <c r="D392" s="40">
        <f>E383</f>
        <v>46.840000000000074</v>
      </c>
      <c r="E392" s="40">
        <f>E384</f>
        <v>47.776800000000065</v>
      </c>
      <c r="F392" s="40">
        <f>E385</f>
        <v>48.732336000000075</v>
      </c>
      <c r="G392" s="40">
        <f>E386</f>
        <v>49.706982720000084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33" t="s">
        <v>320</v>
      </c>
      <c r="C393" s="43">
        <f t="shared" ref="C393:G393" si="68">SUM(C391:C392)</f>
        <v>11764.913333333332</v>
      </c>
      <c r="D393" s="43">
        <f t="shared" si="68"/>
        <v>163.94000000000008</v>
      </c>
      <c r="E393" s="43">
        <f t="shared" si="68"/>
        <v>167.21880000000007</v>
      </c>
      <c r="F393" s="43">
        <f t="shared" si="68"/>
        <v>170.56317600000008</v>
      </c>
      <c r="G393" s="43">
        <f t="shared" si="68"/>
        <v>173.97443952000009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435" t="s">
        <v>339</v>
      </c>
      <c r="C396" s="436"/>
      <c r="D396" s="436"/>
      <c r="E396" s="436"/>
      <c r="F396" s="436"/>
      <c r="G396" s="437"/>
      <c r="H396" s="12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435" t="s">
        <v>340</v>
      </c>
      <c r="C397" s="436"/>
      <c r="D397" s="436"/>
      <c r="E397" s="436"/>
      <c r="F397" s="436"/>
      <c r="G397" s="437"/>
      <c r="H397" s="12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442" t="s">
        <v>278</v>
      </c>
      <c r="C398" s="435" t="s">
        <v>265</v>
      </c>
      <c r="D398" s="436"/>
      <c r="E398" s="436"/>
      <c r="F398" s="436"/>
      <c r="G398" s="437"/>
      <c r="H398" s="12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443"/>
      <c r="C399" s="33">
        <v>0</v>
      </c>
      <c r="D399" s="33">
        <v>1</v>
      </c>
      <c r="E399" s="33">
        <v>2</v>
      </c>
      <c r="F399" s="33">
        <v>3</v>
      </c>
      <c r="G399" s="33">
        <v>4</v>
      </c>
      <c r="H399" s="12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22" t="s">
        <v>341</v>
      </c>
      <c r="C400" s="40"/>
      <c r="D400" s="40"/>
      <c r="E400" s="40"/>
      <c r="F400" s="40"/>
      <c r="G400" s="40"/>
      <c r="H400" s="1"/>
      <c r="I400" s="1"/>
      <c r="J400" s="1"/>
      <c r="K400" s="1" t="s">
        <v>342</v>
      </c>
      <c r="L400" s="1" t="s">
        <v>343</v>
      </c>
      <c r="M400" s="1" t="s">
        <v>344</v>
      </c>
      <c r="N400" s="1" t="s">
        <v>345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8" t="s">
        <v>346</v>
      </c>
      <c r="C401" s="40">
        <f t="shared" ref="C401:C402" si="69">N401</f>
        <v>15596.192365608467</v>
      </c>
      <c r="D401" s="40">
        <f t="shared" ref="D401:G401" si="70">C401*(1+$C$4)</f>
        <v>15908.116212920637</v>
      </c>
      <c r="E401" s="40">
        <f t="shared" si="70"/>
        <v>16226.278537179051</v>
      </c>
      <c r="F401" s="40">
        <f t="shared" si="70"/>
        <v>16550.804107922631</v>
      </c>
      <c r="G401" s="40">
        <f t="shared" si="70"/>
        <v>16881.820190081085</v>
      </c>
      <c r="H401" s="1"/>
      <c r="I401" s="1" t="s">
        <v>347</v>
      </c>
      <c r="J401" s="1"/>
      <c r="K401" s="91">
        <f>Presupuesto_Ventas!P6*C6</f>
        <v>196560</v>
      </c>
      <c r="L401" s="75">
        <f>(D204*80%)</f>
        <v>9405.6916126984124</v>
      </c>
      <c r="M401" s="75">
        <f>K401-L401</f>
        <v>187154.3083873016</v>
      </c>
      <c r="N401" s="75">
        <f>M401/12</f>
        <v>15596.192365608467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8" t="s">
        <v>348</v>
      </c>
      <c r="C402" s="40">
        <f t="shared" si="69"/>
        <v>0</v>
      </c>
      <c r="D402" s="40">
        <f t="shared" ref="D402:G402" si="71">C402*(1+$C$4)</f>
        <v>0</v>
      </c>
      <c r="E402" s="40">
        <f t="shared" si="71"/>
        <v>0</v>
      </c>
      <c r="F402" s="40">
        <f t="shared" si="71"/>
        <v>0</v>
      </c>
      <c r="G402" s="40">
        <f t="shared" si="71"/>
        <v>0</v>
      </c>
      <c r="H402" s="1"/>
      <c r="I402" s="1" t="s">
        <v>349</v>
      </c>
      <c r="J402" s="1"/>
      <c r="K402" s="91">
        <f>Presupuesto_Ventas!P6*C7</f>
        <v>0</v>
      </c>
      <c r="L402" s="1"/>
      <c r="M402" s="1"/>
      <c r="N402" s="91">
        <f>K402/12</f>
        <v>0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76" t="s">
        <v>350</v>
      </c>
      <c r="C403" s="77">
        <f t="shared" ref="C403:G403" si="72">SUM(C401:C402)</f>
        <v>15596.192365608467</v>
      </c>
      <c r="D403" s="77">
        <f t="shared" si="72"/>
        <v>15908.116212920637</v>
      </c>
      <c r="E403" s="77">
        <f t="shared" si="72"/>
        <v>16226.278537179051</v>
      </c>
      <c r="F403" s="77">
        <f t="shared" si="72"/>
        <v>16550.804107922631</v>
      </c>
      <c r="G403" s="77">
        <f t="shared" si="72"/>
        <v>16881.820190081085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1"/>
      <c r="C404" s="40"/>
      <c r="D404" s="40"/>
      <c r="E404" s="40"/>
      <c r="F404" s="40"/>
      <c r="G404" s="40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51" t="s">
        <v>351</v>
      </c>
      <c r="C405" s="40" t="s">
        <v>352</v>
      </c>
      <c r="D405" s="40" t="s">
        <v>352</v>
      </c>
      <c r="E405" s="40" t="s">
        <v>352</v>
      </c>
      <c r="F405" s="40" t="s">
        <v>352</v>
      </c>
      <c r="G405" s="40" t="s">
        <v>352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1" t="s">
        <v>353</v>
      </c>
      <c r="C406" s="40">
        <v>0</v>
      </c>
      <c r="D406" s="40">
        <v>0</v>
      </c>
      <c r="E406" s="40">
        <v>0</v>
      </c>
      <c r="F406" s="40">
        <v>0</v>
      </c>
      <c r="G406" s="40">
        <v>0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1" t="s">
        <v>354</v>
      </c>
      <c r="C407" s="81">
        <f t="shared" ref="C407:G407" si="73">C403-C406</f>
        <v>15596.192365608467</v>
      </c>
      <c r="D407" s="81">
        <f t="shared" si="73"/>
        <v>15908.116212920637</v>
      </c>
      <c r="E407" s="81">
        <f t="shared" si="73"/>
        <v>16226.278537179051</v>
      </c>
      <c r="F407" s="81">
        <f t="shared" si="73"/>
        <v>16550.804107922631</v>
      </c>
      <c r="G407" s="81">
        <f t="shared" si="73"/>
        <v>16881.820190081085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23" t="s">
        <v>355</v>
      </c>
      <c r="C408" s="77">
        <f>C407</f>
        <v>15596.192365608467</v>
      </c>
      <c r="D408" s="77">
        <f t="shared" ref="D408:G408" si="74">D407-C407</f>
        <v>311.92384731216953</v>
      </c>
      <c r="E408" s="77">
        <f t="shared" si="74"/>
        <v>318.16232425841372</v>
      </c>
      <c r="F408" s="77">
        <f t="shared" si="74"/>
        <v>324.52557074358083</v>
      </c>
      <c r="G408" s="77">
        <f t="shared" si="74"/>
        <v>331.01608215845408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3" t="s">
        <v>356</v>
      </c>
      <c r="C410" s="40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 t="s">
        <v>357</v>
      </c>
      <c r="C411" s="40">
        <f>E17</f>
        <v>0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 t="s">
        <v>358</v>
      </c>
      <c r="C412" s="40">
        <f>E27</f>
        <v>6884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 t="s">
        <v>359</v>
      </c>
      <c r="C413" s="40">
        <f>E51</f>
        <v>3954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 t="s">
        <v>360</v>
      </c>
      <c r="C414" s="40">
        <f>E61</f>
        <v>1116.99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3" t="s">
        <v>361</v>
      </c>
      <c r="C415" s="79">
        <f>SUM(C411:C414)</f>
        <v>11954.99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40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 t="s">
        <v>303</v>
      </c>
      <c r="C417" s="40">
        <f>C379</f>
        <v>11764.913333333332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435" t="s">
        <v>362</v>
      </c>
      <c r="C418" s="436"/>
      <c r="D418" s="436"/>
      <c r="E418" s="436"/>
      <c r="F418" s="436"/>
      <c r="G418" s="437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442" t="s">
        <v>278</v>
      </c>
      <c r="C419" s="435" t="s">
        <v>265</v>
      </c>
      <c r="D419" s="436"/>
      <c r="E419" s="436"/>
      <c r="F419" s="436"/>
      <c r="G419" s="437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443"/>
      <c r="C420" s="33">
        <v>0</v>
      </c>
      <c r="D420" s="33">
        <v>1</v>
      </c>
      <c r="E420" s="33">
        <v>2</v>
      </c>
      <c r="F420" s="33">
        <v>3</v>
      </c>
      <c r="G420" s="33">
        <v>4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 t="s">
        <v>363</v>
      </c>
      <c r="C421" s="40">
        <f>-C415</f>
        <v>-11954.99</v>
      </c>
      <c r="D421" s="40"/>
      <c r="E421" s="40"/>
      <c r="F421" s="40"/>
      <c r="G421" s="40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2" t="s">
        <v>303</v>
      </c>
      <c r="C422" s="40">
        <f>-C417</f>
        <v>-11764.913333333332</v>
      </c>
      <c r="D422" s="40">
        <f t="shared" ref="D422:G422" si="75">-$D$367</f>
        <v>-114.80392156862763</v>
      </c>
      <c r="E422" s="40">
        <f t="shared" si="75"/>
        <v>-114.80392156862763</v>
      </c>
      <c r="F422" s="40">
        <f t="shared" si="75"/>
        <v>-114.80392156862763</v>
      </c>
      <c r="G422" s="40">
        <f t="shared" si="75"/>
        <v>-114.80392156862763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34" t="s">
        <v>364</v>
      </c>
      <c r="C423" s="43">
        <f>SUM(C420:C422)</f>
        <v>-23719.903333333332</v>
      </c>
      <c r="D423" s="43">
        <f t="shared" ref="D423:G423" si="76">SUM(D422)</f>
        <v>-114.80392156862763</v>
      </c>
      <c r="E423" s="43">
        <f t="shared" si="76"/>
        <v>-114.80392156862763</v>
      </c>
      <c r="F423" s="43">
        <f t="shared" si="76"/>
        <v>-114.80392156862763</v>
      </c>
      <c r="G423" s="43">
        <f t="shared" si="76"/>
        <v>-114.80392156862763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435" t="s">
        <v>365</v>
      </c>
      <c r="C426" s="436"/>
      <c r="D426" s="436"/>
      <c r="E426" s="436"/>
      <c r="F426" s="436"/>
      <c r="G426" s="436"/>
      <c r="H426" s="43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442" t="s">
        <v>278</v>
      </c>
      <c r="C427" s="435" t="s">
        <v>265</v>
      </c>
      <c r="D427" s="436"/>
      <c r="E427" s="436"/>
      <c r="F427" s="436"/>
      <c r="G427" s="436"/>
      <c r="H427" s="43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443"/>
      <c r="C428" s="33">
        <v>0</v>
      </c>
      <c r="D428" s="33">
        <v>1</v>
      </c>
      <c r="E428" s="33">
        <v>2</v>
      </c>
      <c r="F428" s="33">
        <v>3</v>
      </c>
      <c r="G428" s="33">
        <v>4</v>
      </c>
      <c r="H428" s="33">
        <v>5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1" t="s">
        <v>366</v>
      </c>
      <c r="C429" s="40"/>
      <c r="D429" s="40"/>
      <c r="E429" s="40"/>
      <c r="F429" s="40"/>
      <c r="G429" s="40"/>
      <c r="H429" s="40">
        <f>J122</f>
        <v>-8035.5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8" t="s">
        <v>367</v>
      </c>
      <c r="C430" s="40"/>
      <c r="D430" s="40"/>
      <c r="E430" s="40"/>
      <c r="F430" s="40"/>
      <c r="G430" s="40"/>
      <c r="H430" s="40">
        <f>J138</f>
        <v>-2312.3809523809518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8" t="s">
        <v>368</v>
      </c>
      <c r="C431" s="40"/>
      <c r="D431" s="40"/>
      <c r="E431" s="40"/>
      <c r="F431" s="40"/>
      <c r="G431" s="40"/>
      <c r="H431" s="40" t="s">
        <v>369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8" t="s">
        <v>370</v>
      </c>
      <c r="C432" s="40"/>
      <c r="D432" s="40"/>
      <c r="E432" s="40"/>
      <c r="F432" s="40"/>
      <c r="G432" s="40"/>
      <c r="H432" s="40" t="s">
        <v>369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8" t="s">
        <v>371</v>
      </c>
      <c r="C433" s="40"/>
      <c r="D433" s="40"/>
      <c r="E433" s="40"/>
      <c r="F433" s="40"/>
      <c r="G433" s="40"/>
      <c r="H433" s="40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8" t="s">
        <v>372</v>
      </c>
      <c r="C434" s="40"/>
      <c r="D434" s="40"/>
      <c r="E434" s="40"/>
      <c r="F434" s="40"/>
      <c r="G434" s="40"/>
      <c r="H434" s="40">
        <f>H429+H430</f>
        <v>-10347.880952380952</v>
      </c>
      <c r="I434" s="9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8" t="s">
        <v>303</v>
      </c>
      <c r="C435" s="40"/>
      <c r="D435" s="40"/>
      <c r="E435" s="40"/>
      <c r="F435" s="40"/>
      <c r="G435" s="40"/>
      <c r="H435" s="40">
        <f>C417+(C348*4)</f>
        <v>12224.129019607843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1"/>
      <c r="C436" s="40"/>
      <c r="D436" s="40"/>
      <c r="E436" s="40"/>
      <c r="F436" s="40"/>
      <c r="G436" s="40"/>
      <c r="H436" s="40">
        <f>H434+H435</f>
        <v>1876.2480672268903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33" t="s">
        <v>373</v>
      </c>
      <c r="C437" s="64"/>
      <c r="D437" s="64"/>
      <c r="E437" s="64"/>
      <c r="F437" s="64"/>
      <c r="G437" s="64"/>
      <c r="H437" s="43">
        <f>H436</f>
        <v>1876.2480672268903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"/>
      <c r="B438" s="121"/>
      <c r="C438" s="121"/>
      <c r="D438" s="121"/>
      <c r="E438" s="121"/>
      <c r="F438" s="121"/>
      <c r="G438" s="121"/>
      <c r="H438" s="124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121"/>
      <c r="C439" s="121"/>
      <c r="D439" s="121"/>
      <c r="E439" s="121"/>
      <c r="F439" s="121"/>
      <c r="G439" s="121"/>
      <c r="H439" s="124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1"/>
      <c r="B440" s="435" t="s">
        <v>374</v>
      </c>
      <c r="C440" s="436"/>
      <c r="D440" s="436"/>
      <c r="E440" s="436"/>
      <c r="F440" s="436"/>
      <c r="G440" s="437"/>
      <c r="H440" s="11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33" t="s">
        <v>265</v>
      </c>
      <c r="C441" s="5">
        <v>1</v>
      </c>
      <c r="D441" s="5">
        <v>2</v>
      </c>
      <c r="E441" s="5">
        <v>3</v>
      </c>
      <c r="F441" s="5">
        <v>4</v>
      </c>
      <c r="G441" s="5">
        <v>5</v>
      </c>
      <c r="H441" s="125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26" t="s">
        <v>375</v>
      </c>
      <c r="C442" s="110">
        <f>Presupuesto_Ventas!P6</f>
        <v>196560</v>
      </c>
      <c r="D442" s="110">
        <f>C442*(1+C4)</f>
        <v>200491.2</v>
      </c>
      <c r="E442" s="110">
        <f t="shared" ref="E442:G442" si="77">$D$442</f>
        <v>200491.2</v>
      </c>
      <c r="F442" s="110">
        <f t="shared" si="77"/>
        <v>200491.2</v>
      </c>
      <c r="G442" s="110">
        <f t="shared" si="77"/>
        <v>200491.2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91"/>
      <c r="D443" s="91"/>
      <c r="E443" s="91"/>
      <c r="F443" s="91"/>
      <c r="G443" s="9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435" t="s">
        <v>376</v>
      </c>
      <c r="C445" s="436"/>
      <c r="D445" s="436"/>
      <c r="E445" s="436"/>
      <c r="F445" s="436"/>
      <c r="G445" s="436"/>
      <c r="H445" s="43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442" t="s">
        <v>278</v>
      </c>
      <c r="C446" s="435" t="s">
        <v>265</v>
      </c>
      <c r="D446" s="436"/>
      <c r="E446" s="436"/>
      <c r="F446" s="436"/>
      <c r="G446" s="436"/>
      <c r="H446" s="43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443"/>
      <c r="C447" s="33">
        <v>0</v>
      </c>
      <c r="D447" s="33">
        <v>1</v>
      </c>
      <c r="E447" s="33">
        <v>2</v>
      </c>
      <c r="F447" s="33">
        <v>3</v>
      </c>
      <c r="G447" s="33">
        <v>4</v>
      </c>
      <c r="H447" s="33">
        <v>5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 t="s">
        <v>377</v>
      </c>
      <c r="C448" s="40"/>
      <c r="D448" s="40"/>
      <c r="E448" s="40"/>
      <c r="F448" s="40"/>
      <c r="G448" s="40"/>
      <c r="H448" s="40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 t="s">
        <v>378</v>
      </c>
      <c r="C449" s="40">
        <f>D183</f>
        <v>5230.3999999999996</v>
      </c>
      <c r="D449" s="40">
        <f>C449*(1+C370)</f>
        <v>5335.0079999999998</v>
      </c>
      <c r="E449" s="40">
        <f t="shared" ref="E449:H449" si="78">$D$449</f>
        <v>5335.0079999999998</v>
      </c>
      <c r="F449" s="40">
        <f t="shared" si="78"/>
        <v>5335.0079999999998</v>
      </c>
      <c r="G449" s="40">
        <f t="shared" si="78"/>
        <v>5335.0079999999998</v>
      </c>
      <c r="H449" s="40">
        <f t="shared" si="78"/>
        <v>5335.0079999999998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 t="s">
        <v>379</v>
      </c>
      <c r="C450" s="40">
        <f>D181</f>
        <v>2115</v>
      </c>
      <c r="D450" s="40">
        <f t="shared" ref="D450:H450" si="79">$C$450</f>
        <v>2115</v>
      </c>
      <c r="E450" s="40">
        <f t="shared" si="79"/>
        <v>2115</v>
      </c>
      <c r="F450" s="40">
        <f t="shared" si="79"/>
        <v>2115</v>
      </c>
      <c r="G450" s="40">
        <f t="shared" si="79"/>
        <v>2115</v>
      </c>
      <c r="H450" s="40">
        <f t="shared" si="79"/>
        <v>2115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 t="s">
        <v>285</v>
      </c>
      <c r="C451" s="40">
        <f>C188</f>
        <v>248.6583333333333</v>
      </c>
      <c r="D451" s="40">
        <f t="shared" ref="D451:H451" si="80">$C$451</f>
        <v>248.6583333333333</v>
      </c>
      <c r="E451" s="40">
        <f t="shared" si="80"/>
        <v>248.6583333333333</v>
      </c>
      <c r="F451" s="40">
        <f t="shared" si="80"/>
        <v>248.6583333333333</v>
      </c>
      <c r="G451" s="40">
        <f t="shared" si="80"/>
        <v>248.6583333333333</v>
      </c>
      <c r="H451" s="40">
        <f t="shared" si="80"/>
        <v>248.6583333333333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27" t="s">
        <v>380</v>
      </c>
      <c r="C452" s="58">
        <f t="shared" ref="C452:H452" si="81">SUM(C449:C451)</f>
        <v>7594.0583333333325</v>
      </c>
      <c r="D452" s="58">
        <f t="shared" si="81"/>
        <v>7698.6663333333327</v>
      </c>
      <c r="E452" s="58">
        <f t="shared" si="81"/>
        <v>7698.6663333333327</v>
      </c>
      <c r="F452" s="58">
        <f t="shared" si="81"/>
        <v>7698.6663333333327</v>
      </c>
      <c r="G452" s="58">
        <f t="shared" si="81"/>
        <v>7698.6663333333327</v>
      </c>
      <c r="H452" s="58">
        <f t="shared" si="81"/>
        <v>7698.6663333333327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48" t="s">
        <v>381</v>
      </c>
      <c r="C453" s="40"/>
      <c r="D453" s="40"/>
      <c r="E453" s="40"/>
      <c r="F453" s="40"/>
      <c r="G453" s="40"/>
      <c r="H453" s="40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 t="s">
        <v>382</v>
      </c>
      <c r="C454" s="40">
        <f>F101</f>
        <v>0</v>
      </c>
      <c r="D454" s="40">
        <f>C454*(1+C370)</f>
        <v>0</v>
      </c>
      <c r="E454" s="40">
        <f t="shared" ref="E454:H454" si="82">$D$454</f>
        <v>0</v>
      </c>
      <c r="F454" s="40">
        <f t="shared" si="82"/>
        <v>0</v>
      </c>
      <c r="G454" s="40">
        <f t="shared" si="82"/>
        <v>0</v>
      </c>
      <c r="H454" s="40">
        <f t="shared" si="82"/>
        <v>0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 t="s">
        <v>383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 t="s">
        <v>384</v>
      </c>
      <c r="C456" s="40">
        <f>C186</f>
        <v>0</v>
      </c>
      <c r="D456" s="40">
        <f>C456*(1+C370)</f>
        <v>0</v>
      </c>
      <c r="E456" s="40">
        <f t="shared" ref="E456:H456" si="83">$D$456</f>
        <v>0</v>
      </c>
      <c r="F456" s="40">
        <f t="shared" si="83"/>
        <v>0</v>
      </c>
      <c r="G456" s="40">
        <f t="shared" si="83"/>
        <v>0</v>
      </c>
      <c r="H456" s="40">
        <f t="shared" si="83"/>
        <v>0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28" t="s">
        <v>385</v>
      </c>
      <c r="C457" s="58">
        <f t="shared" ref="C457:H457" si="84">SUM(C454:C456)</f>
        <v>0</v>
      </c>
      <c r="D457" s="58">
        <f t="shared" si="84"/>
        <v>0</v>
      </c>
      <c r="E457" s="58">
        <f t="shared" si="84"/>
        <v>0</v>
      </c>
      <c r="F457" s="58">
        <f t="shared" si="84"/>
        <v>0</v>
      </c>
      <c r="G457" s="58">
        <f t="shared" si="84"/>
        <v>0</v>
      </c>
      <c r="H457" s="58">
        <f t="shared" si="84"/>
        <v>0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33" t="s">
        <v>386</v>
      </c>
      <c r="C458" s="43">
        <f t="shared" ref="C458:H458" si="85">C452+C457</f>
        <v>7594.0583333333325</v>
      </c>
      <c r="D458" s="43">
        <f t="shared" si="85"/>
        <v>7698.6663333333327</v>
      </c>
      <c r="E458" s="43">
        <f t="shared" si="85"/>
        <v>7698.6663333333327</v>
      </c>
      <c r="F458" s="43">
        <f t="shared" si="85"/>
        <v>7698.6663333333327</v>
      </c>
      <c r="G458" s="43">
        <f t="shared" si="85"/>
        <v>7698.6663333333327</v>
      </c>
      <c r="H458" s="43">
        <f t="shared" si="85"/>
        <v>7698.6663333333327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435" t="s">
        <v>387</v>
      </c>
      <c r="C461" s="436"/>
      <c r="D461" s="436"/>
      <c r="E461" s="436"/>
      <c r="F461" s="436"/>
      <c r="G461" s="437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442" t="s">
        <v>278</v>
      </c>
      <c r="C462" s="435" t="s">
        <v>265</v>
      </c>
      <c r="D462" s="436"/>
      <c r="E462" s="436"/>
      <c r="F462" s="436"/>
      <c r="G462" s="437"/>
      <c r="H462" s="12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443"/>
      <c r="C463" s="33">
        <v>1</v>
      </c>
      <c r="D463" s="33">
        <v>2</v>
      </c>
      <c r="E463" s="33">
        <v>3</v>
      </c>
      <c r="F463" s="33">
        <v>4</v>
      </c>
      <c r="G463" s="33">
        <v>5</v>
      </c>
      <c r="H463" s="12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1" t="s">
        <v>280</v>
      </c>
      <c r="C464" s="40">
        <f>F146</f>
        <v>2130</v>
      </c>
      <c r="D464" s="40">
        <f t="shared" ref="D464:G464" si="86">$C$464</f>
        <v>2130</v>
      </c>
      <c r="E464" s="40">
        <f t="shared" si="86"/>
        <v>2130</v>
      </c>
      <c r="F464" s="40">
        <f t="shared" si="86"/>
        <v>2130</v>
      </c>
      <c r="G464" s="40">
        <f t="shared" si="86"/>
        <v>2130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1" t="s">
        <v>388</v>
      </c>
      <c r="C465" s="40">
        <f>F154</f>
        <v>140</v>
      </c>
      <c r="D465" s="40">
        <f t="shared" ref="D465:G465" si="87">$C$465</f>
        <v>140</v>
      </c>
      <c r="E465" s="40">
        <f t="shared" si="87"/>
        <v>140</v>
      </c>
      <c r="F465" s="40">
        <f t="shared" si="87"/>
        <v>140</v>
      </c>
      <c r="G465" s="40">
        <f t="shared" si="87"/>
        <v>140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1" t="s">
        <v>389</v>
      </c>
      <c r="C466" s="40" t="s">
        <v>369</v>
      </c>
      <c r="D466" s="40" t="s">
        <v>369</v>
      </c>
      <c r="E466" s="40" t="s">
        <v>369</v>
      </c>
      <c r="F466" s="40" t="s">
        <v>369</v>
      </c>
      <c r="G466" s="40" t="s">
        <v>369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1" t="s">
        <v>285</v>
      </c>
      <c r="C467" s="40">
        <f>E138</f>
        <v>1253.2761904761903</v>
      </c>
      <c r="D467" s="40">
        <f t="shared" ref="D467:G467" si="88">$C$467</f>
        <v>1253.2761904761903</v>
      </c>
      <c r="E467" s="40">
        <f t="shared" si="88"/>
        <v>1253.2761904761903</v>
      </c>
      <c r="F467" s="40">
        <f t="shared" si="88"/>
        <v>1253.2761904761903</v>
      </c>
      <c r="G467" s="40">
        <f t="shared" si="88"/>
        <v>1253.2761904761903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1" t="s">
        <v>390</v>
      </c>
      <c r="C468" s="40">
        <f>E167</f>
        <v>223.398</v>
      </c>
      <c r="D468" s="40">
        <f t="shared" ref="D468:G468" si="89">$C$468</f>
        <v>223.398</v>
      </c>
      <c r="E468" s="40">
        <f t="shared" si="89"/>
        <v>223.398</v>
      </c>
      <c r="F468" s="40">
        <f t="shared" si="89"/>
        <v>223.398</v>
      </c>
      <c r="G468" s="40">
        <f t="shared" si="89"/>
        <v>223.398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37" t="s">
        <v>391</v>
      </c>
      <c r="C469" s="43">
        <f t="shared" ref="C469:G469" si="90">SUM(C464:C468)</f>
        <v>3746.6741904761902</v>
      </c>
      <c r="D469" s="43">
        <f t="shared" si="90"/>
        <v>3746.6741904761902</v>
      </c>
      <c r="E469" s="43">
        <f t="shared" si="90"/>
        <v>3746.6741904761902</v>
      </c>
      <c r="F469" s="43">
        <f t="shared" si="90"/>
        <v>3746.6741904761902</v>
      </c>
      <c r="G469" s="43">
        <f t="shared" si="90"/>
        <v>3746.6741904761902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435" t="s">
        <v>392</v>
      </c>
      <c r="C472" s="436"/>
      <c r="D472" s="436"/>
      <c r="E472" s="436"/>
      <c r="F472" s="436"/>
      <c r="G472" s="437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442" t="s">
        <v>278</v>
      </c>
      <c r="C473" s="435" t="s">
        <v>265</v>
      </c>
      <c r="D473" s="436"/>
      <c r="E473" s="436"/>
      <c r="F473" s="436"/>
      <c r="G473" s="437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443"/>
      <c r="C474" s="33">
        <v>1</v>
      </c>
      <c r="D474" s="33">
        <v>2</v>
      </c>
      <c r="E474" s="33">
        <v>3</v>
      </c>
      <c r="F474" s="33">
        <v>4</v>
      </c>
      <c r="G474" s="33">
        <v>5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 t="s">
        <v>168</v>
      </c>
      <c r="C475" s="40">
        <f>F172</f>
        <v>25</v>
      </c>
      <c r="D475" s="40">
        <f t="shared" ref="D475:G475" si="91">$C$475</f>
        <v>25</v>
      </c>
      <c r="E475" s="40">
        <f t="shared" si="91"/>
        <v>25</v>
      </c>
      <c r="F475" s="40">
        <f t="shared" si="91"/>
        <v>25</v>
      </c>
      <c r="G475" s="40">
        <f t="shared" si="91"/>
        <v>25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2" t="s">
        <v>171</v>
      </c>
      <c r="C476" s="40">
        <f>F174</f>
        <v>15</v>
      </c>
      <c r="D476" s="40">
        <f t="shared" ref="D476:G476" si="92">$C$476</f>
        <v>15</v>
      </c>
      <c r="E476" s="40">
        <f t="shared" si="92"/>
        <v>15</v>
      </c>
      <c r="F476" s="40">
        <f t="shared" si="92"/>
        <v>15</v>
      </c>
      <c r="G476" s="40">
        <f t="shared" si="92"/>
        <v>15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2"/>
      <c r="C477" s="40"/>
      <c r="D477" s="40"/>
      <c r="E477" s="40"/>
      <c r="F477" s="40"/>
      <c r="G477" s="40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34" t="s">
        <v>393</v>
      </c>
      <c r="C478" s="43">
        <f t="shared" ref="C478:G478" si="93">SUM(C475:C476)</f>
        <v>40</v>
      </c>
      <c r="D478" s="43">
        <f t="shared" si="93"/>
        <v>40</v>
      </c>
      <c r="E478" s="43">
        <f t="shared" si="93"/>
        <v>40</v>
      </c>
      <c r="F478" s="43">
        <f t="shared" si="93"/>
        <v>40</v>
      </c>
      <c r="G478" s="43">
        <f t="shared" si="93"/>
        <v>40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435" t="s">
        <v>394</v>
      </c>
      <c r="C481" s="436"/>
      <c r="D481" s="436"/>
      <c r="E481" s="436"/>
      <c r="F481" s="436"/>
      <c r="G481" s="437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442" t="s">
        <v>278</v>
      </c>
      <c r="C482" s="435" t="s">
        <v>265</v>
      </c>
      <c r="D482" s="436"/>
      <c r="E482" s="436"/>
      <c r="F482" s="436"/>
      <c r="G482" s="437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443"/>
      <c r="C483" s="33">
        <v>1</v>
      </c>
      <c r="D483" s="33">
        <v>2</v>
      </c>
      <c r="E483" s="33">
        <v>3</v>
      </c>
      <c r="F483" s="33">
        <v>4</v>
      </c>
      <c r="G483" s="33">
        <v>5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 t="s">
        <v>395</v>
      </c>
      <c r="C484" s="40">
        <f t="shared" ref="C484:D484" si="94">C458</f>
        <v>7594.0583333333325</v>
      </c>
      <c r="D484" s="40">
        <f t="shared" si="94"/>
        <v>7698.6663333333327</v>
      </c>
      <c r="E484" s="40">
        <f t="shared" ref="E484:G484" si="95">D484</f>
        <v>7698.6663333333327</v>
      </c>
      <c r="F484" s="40">
        <f t="shared" si="95"/>
        <v>7698.6663333333327</v>
      </c>
      <c r="G484" s="40">
        <f t="shared" si="95"/>
        <v>7698.6663333333327</v>
      </c>
      <c r="H484" s="9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2" t="s">
        <v>277</v>
      </c>
      <c r="C485" s="40">
        <f>C469</f>
        <v>3746.6741904761902</v>
      </c>
      <c r="D485" s="40">
        <f t="shared" ref="D485:G485" si="96">C485</f>
        <v>3746.6741904761902</v>
      </c>
      <c r="E485" s="40">
        <f t="shared" si="96"/>
        <v>3746.6741904761902</v>
      </c>
      <c r="F485" s="40">
        <f t="shared" si="96"/>
        <v>3746.6741904761902</v>
      </c>
      <c r="G485" s="40">
        <f t="shared" si="96"/>
        <v>3746.6741904761902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2" t="s">
        <v>286</v>
      </c>
      <c r="C486" s="40">
        <f>C478</f>
        <v>40</v>
      </c>
      <c r="D486" s="40">
        <f t="shared" ref="D486:G486" si="97">C486</f>
        <v>40</v>
      </c>
      <c r="E486" s="40">
        <f t="shared" si="97"/>
        <v>40</v>
      </c>
      <c r="F486" s="40">
        <f t="shared" si="97"/>
        <v>40</v>
      </c>
      <c r="G486" s="40">
        <f t="shared" si="97"/>
        <v>40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34" t="s">
        <v>396</v>
      </c>
      <c r="C487" s="43">
        <f t="shared" ref="C487:G487" si="98">SUM(C484:C486)</f>
        <v>11380.732523809522</v>
      </c>
      <c r="D487" s="43">
        <f t="shared" si="98"/>
        <v>11485.340523809522</v>
      </c>
      <c r="E487" s="43">
        <f t="shared" si="98"/>
        <v>11485.340523809522</v>
      </c>
      <c r="F487" s="43">
        <f t="shared" si="98"/>
        <v>11485.340523809522</v>
      </c>
      <c r="G487" s="43">
        <f t="shared" si="98"/>
        <v>11485.340523809522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435" t="s">
        <v>397</v>
      </c>
      <c r="C490" s="436"/>
      <c r="D490" s="436"/>
      <c r="E490" s="436"/>
      <c r="F490" s="436"/>
      <c r="G490" s="436"/>
      <c r="H490" s="43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442" t="s">
        <v>278</v>
      </c>
      <c r="C491" s="435" t="s">
        <v>265</v>
      </c>
      <c r="D491" s="436"/>
      <c r="E491" s="436"/>
      <c r="F491" s="436"/>
      <c r="G491" s="436"/>
      <c r="H491" s="43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443"/>
      <c r="C492" s="33">
        <v>0</v>
      </c>
      <c r="D492" s="33">
        <v>1</v>
      </c>
      <c r="E492" s="33">
        <v>2</v>
      </c>
      <c r="F492" s="33">
        <v>3</v>
      </c>
      <c r="G492" s="33">
        <v>4</v>
      </c>
      <c r="H492" s="33">
        <v>5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 t="s">
        <v>398</v>
      </c>
      <c r="C493" s="40">
        <f t="shared" ref="C493:C494" si="99">C421</f>
        <v>-11954.99</v>
      </c>
      <c r="D493" s="40"/>
      <c r="E493" s="40"/>
      <c r="F493" s="40"/>
      <c r="G493" s="40"/>
      <c r="H493" s="40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2" t="s">
        <v>303</v>
      </c>
      <c r="C494" s="40">
        <f t="shared" si="99"/>
        <v>-11764.913333333332</v>
      </c>
      <c r="D494" s="40">
        <f>-D356</f>
        <v>-114.80392156862763</v>
      </c>
      <c r="E494" s="40">
        <f t="shared" ref="E494:G494" si="100">D494</f>
        <v>-114.80392156862763</v>
      </c>
      <c r="F494" s="40">
        <f t="shared" si="100"/>
        <v>-114.80392156862763</v>
      </c>
      <c r="G494" s="40">
        <f t="shared" si="100"/>
        <v>-114.80392156862763</v>
      </c>
      <c r="H494" s="40">
        <f>SUM(C494:G494)</f>
        <v>-12224.129019607843</v>
      </c>
      <c r="I494" s="1"/>
      <c r="J494" s="9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2" t="s">
        <v>399</v>
      </c>
      <c r="C495" s="40"/>
      <c r="D495" s="40"/>
      <c r="E495" s="40"/>
      <c r="F495" s="40"/>
      <c r="G495" s="40"/>
      <c r="H495" s="40">
        <f>+H437</f>
        <v>1876.2480672268903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34" t="s">
        <v>400</v>
      </c>
      <c r="C496" s="43">
        <f t="shared" ref="C496:H496" si="101">SUM(C493:C495)</f>
        <v>-23719.903333333332</v>
      </c>
      <c r="D496" s="43">
        <f t="shared" si="101"/>
        <v>-114.80392156862763</v>
      </c>
      <c r="E496" s="43">
        <f t="shared" si="101"/>
        <v>-114.80392156862763</v>
      </c>
      <c r="F496" s="43">
        <f t="shared" si="101"/>
        <v>-114.80392156862763</v>
      </c>
      <c r="G496" s="43">
        <f t="shared" si="101"/>
        <v>-114.80392156862763</v>
      </c>
      <c r="H496" s="43">
        <f t="shared" si="101"/>
        <v>-10347.880952380952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9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435" t="s">
        <v>401</v>
      </c>
      <c r="C499" s="436"/>
      <c r="D499" s="436"/>
      <c r="E499" s="436"/>
      <c r="F499" s="436"/>
      <c r="G499" s="436"/>
      <c r="H499" s="436"/>
      <c r="I499" s="437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442" t="s">
        <v>278</v>
      </c>
      <c r="C500" s="442" t="s">
        <v>402</v>
      </c>
      <c r="D500" s="435" t="s">
        <v>265</v>
      </c>
      <c r="E500" s="436"/>
      <c r="F500" s="436"/>
      <c r="G500" s="436"/>
      <c r="H500" s="436"/>
      <c r="I500" s="437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443"/>
      <c r="C501" s="443"/>
      <c r="D501" s="33">
        <v>0</v>
      </c>
      <c r="E501" s="33">
        <v>1</v>
      </c>
      <c r="F501" s="33">
        <v>2</v>
      </c>
      <c r="G501" s="33">
        <v>3</v>
      </c>
      <c r="H501" s="33">
        <v>4</v>
      </c>
      <c r="I501" s="33">
        <v>5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51" t="s">
        <v>403</v>
      </c>
      <c r="C502" s="19"/>
      <c r="D502" s="79">
        <f>SUM(D503:D505)</f>
        <v>-10838</v>
      </c>
      <c r="E502" s="40"/>
      <c r="F502" s="40"/>
      <c r="G502" s="40"/>
      <c r="H502" s="40"/>
      <c r="I502" s="40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8" t="s">
        <v>404</v>
      </c>
      <c r="C503" s="19" t="s">
        <v>405</v>
      </c>
      <c r="D503" s="40">
        <f>-E27</f>
        <v>-6884</v>
      </c>
      <c r="E503" s="40"/>
      <c r="F503" s="40"/>
      <c r="G503" s="40"/>
      <c r="H503" s="40"/>
      <c r="I503" s="40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8" t="s">
        <v>268</v>
      </c>
      <c r="C504" s="19" t="s">
        <v>405</v>
      </c>
      <c r="D504" s="40" t="s">
        <v>369</v>
      </c>
      <c r="E504" s="40"/>
      <c r="F504" s="40"/>
      <c r="G504" s="40"/>
      <c r="H504" s="40"/>
      <c r="I504" s="40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8" t="s">
        <v>406</v>
      </c>
      <c r="C505" s="19" t="s">
        <v>405</v>
      </c>
      <c r="D505" s="40">
        <f>-E51</f>
        <v>-3954</v>
      </c>
      <c r="E505" s="40"/>
      <c r="F505" s="40"/>
      <c r="G505" s="40"/>
      <c r="H505" s="40"/>
      <c r="I505" s="40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1"/>
      <c r="C506" s="19"/>
      <c r="D506" s="40"/>
      <c r="E506" s="40"/>
      <c r="F506" s="40"/>
      <c r="G506" s="40"/>
      <c r="H506" s="40"/>
      <c r="I506" s="40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22" t="s">
        <v>407</v>
      </c>
      <c r="C507" s="19"/>
      <c r="D507" s="40">
        <f>D508+D509</f>
        <v>-1116.99</v>
      </c>
      <c r="E507" s="40"/>
      <c r="F507" s="40"/>
      <c r="G507" s="40"/>
      <c r="H507" s="40"/>
      <c r="I507" s="40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8" t="s">
        <v>408</v>
      </c>
      <c r="C508" s="19" t="s">
        <v>405</v>
      </c>
      <c r="D508" s="40">
        <f>-E61</f>
        <v>-1116.99</v>
      </c>
      <c r="E508" s="40"/>
      <c r="F508" s="40"/>
      <c r="G508" s="40"/>
      <c r="H508" s="40"/>
      <c r="I508" s="40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8" t="s">
        <v>409</v>
      </c>
      <c r="C509" s="19" t="s">
        <v>405</v>
      </c>
      <c r="D509" s="40">
        <f>-E17</f>
        <v>0</v>
      </c>
      <c r="E509" s="40"/>
      <c r="F509" s="40"/>
      <c r="G509" s="40"/>
      <c r="H509" s="40"/>
      <c r="I509" s="40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22" t="s">
        <v>303</v>
      </c>
      <c r="C510" s="19" t="s">
        <v>410</v>
      </c>
      <c r="D510" s="40">
        <f>-C417</f>
        <v>-11764.913333333332</v>
      </c>
      <c r="E510" s="40">
        <f t="shared" ref="E510:H510" si="102">D422</f>
        <v>-114.80392156862763</v>
      </c>
      <c r="F510" s="40">
        <f t="shared" si="102"/>
        <v>-114.80392156862763</v>
      </c>
      <c r="G510" s="40">
        <f t="shared" si="102"/>
        <v>-114.80392156862763</v>
      </c>
      <c r="H510" s="40">
        <f t="shared" si="102"/>
        <v>-114.80392156862763</v>
      </c>
      <c r="I510" s="40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438" t="s">
        <v>411</v>
      </c>
      <c r="C511" s="437"/>
      <c r="D511" s="43">
        <f>D502+D507+D510</f>
        <v>-23719.903333333332</v>
      </c>
      <c r="E511" s="43">
        <f t="shared" ref="E511:H511" si="103">SUM(E506:E510)</f>
        <v>-114.80392156862763</v>
      </c>
      <c r="F511" s="43">
        <f t="shared" si="103"/>
        <v>-114.80392156862763</v>
      </c>
      <c r="G511" s="43">
        <f t="shared" si="103"/>
        <v>-114.80392156862763</v>
      </c>
      <c r="H511" s="43">
        <f t="shared" si="103"/>
        <v>-114.80392156862763</v>
      </c>
      <c r="I511" s="43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444" t="s">
        <v>412</v>
      </c>
      <c r="C514" s="445"/>
      <c r="D514" s="445"/>
      <c r="E514" s="445"/>
      <c r="F514" s="44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29" t="s">
        <v>413</v>
      </c>
      <c r="C515" s="130" t="s">
        <v>414</v>
      </c>
      <c r="D515" s="130" t="s">
        <v>415</v>
      </c>
      <c r="E515" s="130" t="s">
        <v>416</v>
      </c>
      <c r="F515" s="131" t="s">
        <v>417</v>
      </c>
      <c r="G515" s="132"/>
      <c r="H515" s="435" t="s">
        <v>418</v>
      </c>
      <c r="I515" s="436"/>
      <c r="J515" s="437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 t="s">
        <v>419</v>
      </c>
      <c r="I516" s="40">
        <f>C518</f>
        <v>23719.903333333332</v>
      </c>
      <c r="J516" s="133">
        <f>SUM(J517:J518)</f>
        <v>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1" t="s">
        <v>420</v>
      </c>
      <c r="C517" s="18">
        <f>J518</f>
        <v>0.75885638094927599</v>
      </c>
      <c r="D517" s="1"/>
      <c r="E517" s="1"/>
      <c r="F517" s="1"/>
      <c r="G517" s="1"/>
      <c r="H517" s="1" t="s">
        <v>421</v>
      </c>
      <c r="I517" s="40">
        <f t="shared" ref="I517:J517" si="104">I526</f>
        <v>5719.9033333333318</v>
      </c>
      <c r="J517" s="18">
        <f t="shared" si="104"/>
        <v>0.24114361905072401</v>
      </c>
      <c r="K517" s="134">
        <f>I516-18000</f>
        <v>5719.9033333333318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1" t="s">
        <v>422</v>
      </c>
      <c r="C518" s="40">
        <f>-D511</f>
        <v>23719.903333333332</v>
      </c>
      <c r="D518" s="1"/>
      <c r="E518" s="1"/>
      <c r="F518" s="1"/>
      <c r="G518" s="1"/>
      <c r="H518" s="126" t="s">
        <v>418</v>
      </c>
      <c r="I518" s="110">
        <f>I516-I517</f>
        <v>18000</v>
      </c>
      <c r="J518" s="135">
        <f>I518/I516</f>
        <v>0.75885638094927599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1" t="s">
        <v>418</v>
      </c>
      <c r="C519" s="40">
        <f>C518*C517</f>
        <v>18000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432" t="s">
        <v>423</v>
      </c>
      <c r="C520" s="431"/>
      <c r="D520" s="1"/>
      <c r="E520" s="1"/>
      <c r="F520" s="1"/>
      <c r="G520" s="1"/>
      <c r="H520" s="435" t="s">
        <v>424</v>
      </c>
      <c r="I520" s="436"/>
      <c r="J520" s="437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17" t="s">
        <v>425</v>
      </c>
      <c r="C521" s="20">
        <f>Resumen!H5</f>
        <v>0.215</v>
      </c>
      <c r="D521" s="3" t="s">
        <v>426</v>
      </c>
      <c r="E521" s="136">
        <f>C521</f>
        <v>0.215</v>
      </c>
      <c r="F521" s="3" t="s">
        <v>427</v>
      </c>
      <c r="G521" s="3"/>
      <c r="H521" s="1" t="s">
        <v>428</v>
      </c>
      <c r="I521" s="40">
        <v>1000</v>
      </c>
      <c r="J521" s="18">
        <f t="shared" ref="J521:J525" si="105">I521/$I$516</f>
        <v>4.215868783051533E-2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17" t="s">
        <v>429</v>
      </c>
      <c r="C522" s="20">
        <f>Resumen!H3</f>
        <v>0.02</v>
      </c>
      <c r="D522" s="3"/>
      <c r="E522" s="136"/>
      <c r="F522" s="3"/>
      <c r="G522" s="3"/>
      <c r="H522" s="1" t="s">
        <v>430</v>
      </c>
      <c r="I522" s="40">
        <v>1000</v>
      </c>
      <c r="J522" s="18">
        <f t="shared" si="105"/>
        <v>4.215868783051533E-2</v>
      </c>
      <c r="K522" s="1"/>
      <c r="L522" s="1"/>
      <c r="M522" s="137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17" t="s">
        <v>431</v>
      </c>
      <c r="C523" s="20">
        <f>((1+C521)/(1+C522))-1</f>
        <v>0.19117647058823528</v>
      </c>
      <c r="D523" s="3"/>
      <c r="E523" s="136"/>
      <c r="F523" s="3"/>
      <c r="G523" s="3"/>
      <c r="H523" s="1" t="s">
        <v>432</v>
      </c>
      <c r="I523" s="40">
        <f>K517-(I521+I522+I524+I525)</f>
        <v>1719.9033333333318</v>
      </c>
      <c r="J523" s="18">
        <f t="shared" si="105"/>
        <v>7.250886772866269E-2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17" t="s">
        <v>433</v>
      </c>
      <c r="C524" s="40">
        <f>C519</f>
        <v>18000</v>
      </c>
      <c r="D524" s="1"/>
      <c r="E524" s="1"/>
      <c r="F524" s="1"/>
      <c r="G524" s="1"/>
      <c r="H524" s="1" t="s">
        <v>434</v>
      </c>
      <c r="I524" s="40">
        <v>1000</v>
      </c>
      <c r="J524" s="18">
        <f t="shared" si="105"/>
        <v>4.215868783051533E-2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17" t="s">
        <v>435</v>
      </c>
      <c r="C525" s="19">
        <v>3</v>
      </c>
      <c r="D525" s="1" t="s">
        <v>265</v>
      </c>
      <c r="E525" s="1"/>
      <c r="F525" s="1"/>
      <c r="G525" s="1"/>
      <c r="H525" s="1" t="s">
        <v>436</v>
      </c>
      <c r="I525" s="40">
        <v>1000</v>
      </c>
      <c r="J525" s="18">
        <f t="shared" si="105"/>
        <v>4.215868783051533E-2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17" t="s">
        <v>437</v>
      </c>
      <c r="C526" s="40">
        <f>-PMT(C523,C525,C524)</f>
        <v>8427.2185241436182</v>
      </c>
      <c r="D526" s="138"/>
      <c r="E526" s="1"/>
      <c r="F526" s="1"/>
      <c r="G526" s="1"/>
      <c r="H526" s="33" t="s">
        <v>47</v>
      </c>
      <c r="I526" s="43">
        <f t="shared" ref="I526:J526" si="106">SUM(I521:I525)</f>
        <v>5719.9033333333318</v>
      </c>
      <c r="J526" s="139">
        <f t="shared" si="106"/>
        <v>0.24114361905072401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447" t="s">
        <v>438</v>
      </c>
      <c r="C529" s="436"/>
      <c r="D529" s="436"/>
      <c r="E529" s="436"/>
      <c r="F529" s="436"/>
      <c r="G529" s="437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37" t="s">
        <v>439</v>
      </c>
      <c r="C530" s="37" t="s">
        <v>440</v>
      </c>
      <c r="D530" s="37" t="s">
        <v>441</v>
      </c>
      <c r="E530" s="37" t="s">
        <v>442</v>
      </c>
      <c r="F530" s="37" t="s">
        <v>443</v>
      </c>
      <c r="G530" s="37" t="s">
        <v>444</v>
      </c>
      <c r="H530" s="1"/>
      <c r="I530" s="1"/>
      <c r="J530" s="1"/>
      <c r="K530" s="1"/>
      <c r="L530" s="13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9">
        <v>1</v>
      </c>
      <c r="C531" s="40">
        <f>C524</f>
        <v>18000</v>
      </c>
      <c r="D531" s="40">
        <f t="shared" ref="D531:D533" si="107">C531*$C$523</f>
        <v>3441.1764705882351</v>
      </c>
      <c r="E531" s="40">
        <f t="shared" ref="E531:E533" si="108">$F$531-D531</f>
        <v>4986.0420535553831</v>
      </c>
      <c r="F531" s="40">
        <f t="shared" ref="F531:F533" si="109">$C$526</f>
        <v>8427.2185241436182</v>
      </c>
      <c r="G531" s="40">
        <f t="shared" ref="G531:G533" si="110">C531-E531</f>
        <v>13013.957946444618</v>
      </c>
      <c r="H531" s="1"/>
      <c r="I531" s="1"/>
      <c r="J531" s="1"/>
      <c r="K531" s="1"/>
      <c r="L531" s="1"/>
      <c r="M531" s="137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9">
        <v>2</v>
      </c>
      <c r="C532" s="40">
        <f t="shared" ref="C532:C533" si="111">G531</f>
        <v>13013.957946444618</v>
      </c>
      <c r="D532" s="40">
        <f t="shared" si="107"/>
        <v>2487.9625485850001</v>
      </c>
      <c r="E532" s="40">
        <f t="shared" si="108"/>
        <v>5939.255975558618</v>
      </c>
      <c r="F532" s="40">
        <f t="shared" si="109"/>
        <v>8427.2185241436182</v>
      </c>
      <c r="G532" s="40">
        <f t="shared" si="110"/>
        <v>7074.7019708859998</v>
      </c>
      <c r="H532" s="1"/>
      <c r="I532" s="1"/>
      <c r="J532" s="1"/>
      <c r="K532" s="1"/>
      <c r="L532" s="1"/>
      <c r="M532" s="1"/>
      <c r="N532" s="140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9">
        <v>3</v>
      </c>
      <c r="C533" s="40">
        <f t="shared" si="111"/>
        <v>7074.7019708859998</v>
      </c>
      <c r="D533" s="40">
        <f t="shared" si="107"/>
        <v>1352.5165532576175</v>
      </c>
      <c r="E533" s="40">
        <f t="shared" si="108"/>
        <v>7074.7019708860007</v>
      </c>
      <c r="F533" s="40">
        <f t="shared" si="109"/>
        <v>8427.2185241436182</v>
      </c>
      <c r="G533" s="40">
        <f t="shared" si="110"/>
        <v>0</v>
      </c>
      <c r="H533" s="1"/>
      <c r="I533" s="1"/>
      <c r="J533" s="137"/>
      <c r="K533" s="6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9">
        <v>4</v>
      </c>
      <c r="C534" s="40"/>
      <c r="D534" s="40"/>
      <c r="E534" s="40"/>
      <c r="F534" s="40"/>
      <c r="G534" s="40"/>
      <c r="H534" s="1"/>
      <c r="I534" s="1"/>
      <c r="J534" s="1"/>
      <c r="K534" s="6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06">
        <v>5</v>
      </c>
      <c r="C535" s="110"/>
      <c r="D535" s="110"/>
      <c r="E535" s="110"/>
      <c r="F535" s="110"/>
      <c r="G535" s="110"/>
      <c r="H535" s="1"/>
      <c r="I535" s="1"/>
      <c r="J535" s="1"/>
      <c r="K535" s="6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15" t="s">
        <v>445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51" t="s">
        <v>446</v>
      </c>
      <c r="C537" s="6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6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1" t="s">
        <v>447</v>
      </c>
      <c r="C539" s="6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1" t="s">
        <v>448</v>
      </c>
      <c r="C540" s="6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1" t="s">
        <v>449</v>
      </c>
      <c r="C541" s="6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1" t="s">
        <v>450</v>
      </c>
      <c r="C542" s="6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1" t="s">
        <v>451</v>
      </c>
      <c r="C543" s="40">
        <f>C4</f>
        <v>0.02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1" t="s">
        <v>452</v>
      </c>
      <c r="C544" s="6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1"/>
      <c r="C545" s="6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1" t="s">
        <v>453</v>
      </c>
      <c r="C546" s="40">
        <f>D531/(1+C543)</f>
        <v>3373.7024221453285</v>
      </c>
      <c r="D546" s="11" t="s">
        <v>454</v>
      </c>
      <c r="E546" s="1"/>
      <c r="F546" s="137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1" t="s">
        <v>455</v>
      </c>
      <c r="C547" s="40">
        <f>D532/(1+C543)^2</f>
        <v>2391.3519305891964</v>
      </c>
      <c r="D547" s="11" t="s">
        <v>456</v>
      </c>
      <c r="E547" s="1"/>
      <c r="F547" s="137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1" t="s">
        <v>457</v>
      </c>
      <c r="C548" s="40">
        <f>D533/(1+C543)^3</f>
        <v>1274.5065559792401</v>
      </c>
      <c r="D548" s="11" t="s">
        <v>458</v>
      </c>
      <c r="E548" s="1"/>
      <c r="F548" s="137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1" t="s">
        <v>459</v>
      </c>
      <c r="C549" s="40">
        <f>D534/(1+C543)^4</f>
        <v>0</v>
      </c>
      <c r="D549" s="11" t="s">
        <v>460</v>
      </c>
      <c r="E549" s="1"/>
      <c r="F549" s="137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1" t="s">
        <v>461</v>
      </c>
      <c r="C550" s="40">
        <f>D535/(1+C543)^5</f>
        <v>0</v>
      </c>
      <c r="D550" s="11" t="s">
        <v>462</v>
      </c>
      <c r="E550" s="1"/>
      <c r="F550" s="137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1"/>
      <c r="C551" s="40"/>
      <c r="D551" s="1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51" t="s">
        <v>463</v>
      </c>
      <c r="C552" s="40"/>
      <c r="D552" s="1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1"/>
      <c r="C553" s="40"/>
      <c r="D553" s="1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1" t="s">
        <v>464</v>
      </c>
      <c r="C554" s="40">
        <f>E531/(1+C543)^1</f>
        <v>4888.2765230935129</v>
      </c>
      <c r="D554" s="11" t="s">
        <v>454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1" t="s">
        <v>465</v>
      </c>
      <c r="C555" s="40">
        <f>E532/(1+C543)^2</f>
        <v>5708.6274274880989</v>
      </c>
      <c r="D555" s="11" t="s">
        <v>456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1" t="s">
        <v>466</v>
      </c>
      <c r="C556" s="40">
        <f>E533/(1+C543)^3</f>
        <v>6666.6496774298739</v>
      </c>
      <c r="D556" s="11" t="s">
        <v>458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1" t="s">
        <v>467</v>
      </c>
      <c r="C557" s="40">
        <f>E534/(1+C543)^4</f>
        <v>0</v>
      </c>
      <c r="D557" s="11" t="s">
        <v>460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1" t="s">
        <v>468</v>
      </c>
      <c r="C558" s="40">
        <f>E535/(1+C543)^5</f>
        <v>0</v>
      </c>
      <c r="D558" s="11" t="s">
        <v>462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4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435" t="s">
        <v>469</v>
      </c>
      <c r="C560" s="436"/>
      <c r="D560" s="436"/>
      <c r="E560" s="436"/>
      <c r="F560" s="436"/>
      <c r="G560" s="437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448" t="s">
        <v>470</v>
      </c>
      <c r="C561" s="436"/>
      <c r="D561" s="436"/>
      <c r="E561" s="436"/>
      <c r="F561" s="436"/>
      <c r="G561" s="437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33" t="s">
        <v>471</v>
      </c>
      <c r="C562" s="142">
        <v>1</v>
      </c>
      <c r="D562" s="33">
        <v>2</v>
      </c>
      <c r="E562" s="33">
        <v>3</v>
      </c>
      <c r="F562" s="33">
        <v>4</v>
      </c>
      <c r="G562" s="33">
        <v>5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 t="s">
        <v>472</v>
      </c>
      <c r="C563" s="40">
        <f>C546</f>
        <v>3373.7024221453285</v>
      </c>
      <c r="D563" s="40">
        <f>C547</f>
        <v>2391.3519305891964</v>
      </c>
      <c r="E563" s="40">
        <f>C548</f>
        <v>1274.5065559792401</v>
      </c>
      <c r="F563" s="40">
        <f>C549</f>
        <v>0</v>
      </c>
      <c r="G563" s="40">
        <f>C550</f>
        <v>0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26" t="s">
        <v>473</v>
      </c>
      <c r="C564" s="110">
        <f>C554</f>
        <v>4888.2765230935129</v>
      </c>
      <c r="D564" s="110">
        <f>C555</f>
        <v>5708.6274274880989</v>
      </c>
      <c r="E564" s="110">
        <f>C556</f>
        <v>6666.6496774298739</v>
      </c>
      <c r="F564" s="110">
        <f>C557</f>
        <v>0</v>
      </c>
      <c r="G564" s="110">
        <f>C558</f>
        <v>0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41"/>
      <c r="D565" s="141"/>
      <c r="E565" s="141"/>
      <c r="F565" s="141"/>
      <c r="G565" s="14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435" t="s">
        <v>474</v>
      </c>
      <c r="C567" s="436"/>
      <c r="D567" s="436"/>
      <c r="E567" s="436"/>
      <c r="F567" s="436"/>
      <c r="G567" s="437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442" t="s">
        <v>278</v>
      </c>
      <c r="C568" s="435" t="s">
        <v>265</v>
      </c>
      <c r="D568" s="436"/>
      <c r="E568" s="436"/>
      <c r="F568" s="436"/>
      <c r="G568" s="437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443"/>
      <c r="C569" s="34">
        <v>1</v>
      </c>
      <c r="D569" s="34">
        <v>2</v>
      </c>
      <c r="E569" s="34">
        <v>3</v>
      </c>
      <c r="F569" s="34">
        <v>4</v>
      </c>
      <c r="G569" s="34">
        <v>5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 t="s">
        <v>475</v>
      </c>
      <c r="C570" s="40">
        <f>C442</f>
        <v>196560</v>
      </c>
      <c r="D570" s="40">
        <f>C570*(1+$C$345)</f>
        <v>200491.2</v>
      </c>
      <c r="E570" s="40">
        <f t="shared" ref="E570:G570" si="112">$D$570</f>
        <v>200491.2</v>
      </c>
      <c r="F570" s="40">
        <f t="shared" si="112"/>
        <v>200491.2</v>
      </c>
      <c r="G570" s="40">
        <f t="shared" si="112"/>
        <v>200491.2</v>
      </c>
      <c r="H570" s="9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2" t="s">
        <v>293</v>
      </c>
      <c r="C571" s="40">
        <f>C333</f>
        <v>11757.114515873014</v>
      </c>
      <c r="D571" s="40">
        <f>C571*(1+C345)</f>
        <v>11992.256806190475</v>
      </c>
      <c r="E571" s="40">
        <f t="shared" ref="E571:G571" si="113">D571</f>
        <v>11992.256806190475</v>
      </c>
      <c r="F571" s="40">
        <f t="shared" si="113"/>
        <v>11992.256806190475</v>
      </c>
      <c r="G571" s="40">
        <f t="shared" si="113"/>
        <v>11992.256806190475</v>
      </c>
      <c r="H571" s="9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40"/>
      <c r="D572" s="40"/>
      <c r="E572" s="40"/>
      <c r="F572" s="40"/>
      <c r="G572" s="40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2" t="s">
        <v>476</v>
      </c>
      <c r="C573" s="40">
        <f t="shared" ref="C573:G573" si="114">C570-C571</f>
        <v>184802.88548412698</v>
      </c>
      <c r="D573" s="40">
        <f t="shared" si="114"/>
        <v>188498.94319380954</v>
      </c>
      <c r="E573" s="40">
        <f t="shared" si="114"/>
        <v>188498.94319380954</v>
      </c>
      <c r="F573" s="40">
        <f t="shared" si="114"/>
        <v>188498.94319380954</v>
      </c>
      <c r="G573" s="40">
        <f t="shared" si="114"/>
        <v>188498.94319380954</v>
      </c>
      <c r="H573" s="1"/>
      <c r="I573" s="143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 t="s">
        <v>477</v>
      </c>
      <c r="C574" s="40">
        <f t="shared" ref="C574:G574" si="115">C573*1.5%</f>
        <v>2772.0432822619046</v>
      </c>
      <c r="D574" s="40">
        <f t="shared" si="115"/>
        <v>2827.4841479071429</v>
      </c>
      <c r="E574" s="40">
        <f t="shared" si="115"/>
        <v>2827.4841479071429</v>
      </c>
      <c r="F574" s="40">
        <f t="shared" si="115"/>
        <v>2827.4841479071429</v>
      </c>
      <c r="G574" s="40">
        <f t="shared" si="115"/>
        <v>2827.4841479071429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40"/>
      <c r="D575" s="40"/>
      <c r="E575" s="40"/>
      <c r="F575" s="40"/>
      <c r="G575" s="40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 t="s">
        <v>478</v>
      </c>
      <c r="C576" s="40">
        <f t="shared" ref="C576:G576" si="116">C573-C574</f>
        <v>182030.84220186507</v>
      </c>
      <c r="D576" s="40">
        <f t="shared" si="116"/>
        <v>185671.45904590239</v>
      </c>
      <c r="E576" s="40">
        <f t="shared" si="116"/>
        <v>185671.45904590239</v>
      </c>
      <c r="F576" s="40">
        <f t="shared" si="116"/>
        <v>185671.45904590239</v>
      </c>
      <c r="G576" s="40">
        <f t="shared" si="116"/>
        <v>185671.45904590239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 t="s">
        <v>479</v>
      </c>
      <c r="C577" s="40">
        <f>+E122+E138</f>
        <v>4237.1761904761906</v>
      </c>
      <c r="D577" s="40">
        <f>C577</f>
        <v>4237.1761904761906</v>
      </c>
      <c r="E577" s="40">
        <f>C577</f>
        <v>4237.1761904761906</v>
      </c>
      <c r="F577" s="40">
        <f>C577</f>
        <v>4237.1761904761906</v>
      </c>
      <c r="G577" s="40">
        <f>C577</f>
        <v>4237.1761904761906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 t="s">
        <v>480</v>
      </c>
      <c r="C578" s="40">
        <f t="shared" ref="C578:G578" si="117">+$E$167</f>
        <v>223.398</v>
      </c>
      <c r="D578" s="40">
        <f t="shared" si="117"/>
        <v>223.398</v>
      </c>
      <c r="E578" s="40">
        <f t="shared" si="117"/>
        <v>223.398</v>
      </c>
      <c r="F578" s="40">
        <f t="shared" si="117"/>
        <v>223.398</v>
      </c>
      <c r="G578" s="40">
        <f t="shared" si="117"/>
        <v>223.398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37" t="s">
        <v>481</v>
      </c>
      <c r="C579" s="43">
        <f t="shared" ref="C579:G579" si="118">C576+C577+C578</f>
        <v>186491.41639234126</v>
      </c>
      <c r="D579" s="43">
        <f t="shared" si="118"/>
        <v>190132.03323637857</v>
      </c>
      <c r="E579" s="43">
        <f t="shared" si="118"/>
        <v>190132.03323637857</v>
      </c>
      <c r="F579" s="43">
        <f t="shared" si="118"/>
        <v>190132.03323637857</v>
      </c>
      <c r="G579" s="43">
        <f t="shared" si="118"/>
        <v>190132.03323637857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435" t="s">
        <v>482</v>
      </c>
      <c r="C582" s="436"/>
      <c r="D582" s="436"/>
      <c r="E582" s="436"/>
      <c r="F582" s="436"/>
      <c r="G582" s="436"/>
      <c r="H582" s="437"/>
      <c r="I582" s="1" t="s">
        <v>483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442" t="s">
        <v>278</v>
      </c>
      <c r="C583" s="435" t="s">
        <v>265</v>
      </c>
      <c r="D583" s="436"/>
      <c r="E583" s="436"/>
      <c r="F583" s="436"/>
      <c r="G583" s="436"/>
      <c r="H583" s="43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443"/>
      <c r="C584" s="33">
        <v>0</v>
      </c>
      <c r="D584" s="33">
        <v>1</v>
      </c>
      <c r="E584" s="33">
        <v>2</v>
      </c>
      <c r="F584" s="33">
        <v>3</v>
      </c>
      <c r="G584" s="33">
        <v>4</v>
      </c>
      <c r="H584" s="33">
        <v>5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 t="s">
        <v>484</v>
      </c>
      <c r="C585" s="40">
        <f>D511</f>
        <v>-23719.903333333332</v>
      </c>
      <c r="D585" s="40">
        <f t="shared" ref="D585:G585" si="119">$E$511</f>
        <v>-114.80392156862763</v>
      </c>
      <c r="E585" s="40">
        <f t="shared" si="119"/>
        <v>-114.80392156862763</v>
      </c>
      <c r="F585" s="40">
        <f t="shared" si="119"/>
        <v>-114.80392156862763</v>
      </c>
      <c r="G585" s="40">
        <f t="shared" si="119"/>
        <v>-114.80392156862763</v>
      </c>
      <c r="H585" s="40">
        <f>+H496</f>
        <v>-10347.880952380952</v>
      </c>
      <c r="I585" s="9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2" t="s">
        <v>485</v>
      </c>
      <c r="C586" s="40"/>
      <c r="D586" s="40">
        <f t="shared" ref="D586:H586" si="120">C579</f>
        <v>186491.41639234126</v>
      </c>
      <c r="E586" s="40">
        <f t="shared" si="120"/>
        <v>190132.03323637857</v>
      </c>
      <c r="F586" s="40">
        <f t="shared" si="120"/>
        <v>190132.03323637857</v>
      </c>
      <c r="G586" s="40">
        <f t="shared" si="120"/>
        <v>190132.03323637857</v>
      </c>
      <c r="H586" s="40">
        <f t="shared" si="120"/>
        <v>190132.03323637857</v>
      </c>
      <c r="I586" s="9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37" t="s">
        <v>486</v>
      </c>
      <c r="C587" s="43">
        <f t="shared" ref="C587:H587" si="121">SUM(C585:C586)</f>
        <v>-23719.903333333332</v>
      </c>
      <c r="D587" s="43">
        <f t="shared" si="121"/>
        <v>186376.61247077264</v>
      </c>
      <c r="E587" s="43">
        <f t="shared" si="121"/>
        <v>190017.22931480996</v>
      </c>
      <c r="F587" s="43">
        <f t="shared" si="121"/>
        <v>190017.22931480996</v>
      </c>
      <c r="G587" s="43">
        <f t="shared" si="121"/>
        <v>190017.22931480996</v>
      </c>
      <c r="H587" s="43">
        <f t="shared" si="121"/>
        <v>179784.15228399762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435" t="s">
        <v>487</v>
      </c>
      <c r="C590" s="436"/>
      <c r="D590" s="436"/>
      <c r="E590" s="436"/>
      <c r="F590" s="436"/>
      <c r="G590" s="436"/>
      <c r="H590" s="43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442" t="s">
        <v>278</v>
      </c>
      <c r="C591" s="435" t="s">
        <v>265</v>
      </c>
      <c r="D591" s="436"/>
      <c r="E591" s="436"/>
      <c r="F591" s="436"/>
      <c r="G591" s="436"/>
      <c r="H591" s="43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443"/>
      <c r="C592" s="33">
        <v>0</v>
      </c>
      <c r="D592" s="33">
        <v>1</v>
      </c>
      <c r="E592" s="33">
        <v>2</v>
      </c>
      <c r="F592" s="33">
        <v>3</v>
      </c>
      <c r="G592" s="33">
        <v>4</v>
      </c>
      <c r="H592" s="33">
        <v>5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 t="s">
        <v>363</v>
      </c>
      <c r="C593" s="40">
        <f>C421</f>
        <v>-11954.99</v>
      </c>
      <c r="D593" s="40"/>
      <c r="E593" s="40"/>
      <c r="F593" s="40"/>
      <c r="G593" s="40"/>
      <c r="H593" s="40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44" t="s">
        <v>488</v>
      </c>
      <c r="C594" s="40" t="s">
        <v>369</v>
      </c>
      <c r="D594" s="40"/>
      <c r="E594" s="40"/>
      <c r="F594" s="40"/>
      <c r="G594" s="40" t="s">
        <v>369</v>
      </c>
      <c r="H594" s="40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2" t="s">
        <v>303</v>
      </c>
      <c r="C595" s="40">
        <f>C494</f>
        <v>-11764.913333333332</v>
      </c>
      <c r="D595" s="40">
        <f t="shared" ref="D595:G595" si="122">$D$585</f>
        <v>-114.80392156862763</v>
      </c>
      <c r="E595" s="40">
        <f t="shared" si="122"/>
        <v>-114.80392156862763</v>
      </c>
      <c r="F595" s="40">
        <f t="shared" si="122"/>
        <v>-114.80392156862763</v>
      </c>
      <c r="G595" s="40">
        <f t="shared" si="122"/>
        <v>-114.80392156862763</v>
      </c>
      <c r="H595" s="40">
        <f>SUM(C595:G595)</f>
        <v>-12224.129019607843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2" t="s">
        <v>489</v>
      </c>
      <c r="C596" s="40"/>
      <c r="D596" s="40"/>
      <c r="E596" s="40"/>
      <c r="F596" s="40"/>
      <c r="G596" s="40"/>
      <c r="H596" s="40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45" t="s">
        <v>400</v>
      </c>
      <c r="C597" s="110">
        <f t="shared" ref="C597:H597" si="123">SUM(C593:C595)</f>
        <v>-23719.903333333332</v>
      </c>
      <c r="D597" s="110">
        <f t="shared" si="123"/>
        <v>-114.80392156862763</v>
      </c>
      <c r="E597" s="110">
        <f t="shared" si="123"/>
        <v>-114.80392156862763</v>
      </c>
      <c r="F597" s="110">
        <f t="shared" si="123"/>
        <v>-114.80392156862763</v>
      </c>
      <c r="G597" s="110">
        <f t="shared" si="123"/>
        <v>-114.80392156862763</v>
      </c>
      <c r="H597" s="110">
        <f t="shared" si="123"/>
        <v>-12224.129019607843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435" t="s">
        <v>490</v>
      </c>
      <c r="C600" s="436"/>
      <c r="D600" s="436"/>
      <c r="E600" s="436"/>
      <c r="F600" s="436"/>
      <c r="G600" s="437"/>
      <c r="H600" s="146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442" t="s">
        <v>278</v>
      </c>
      <c r="C601" s="435" t="s">
        <v>265</v>
      </c>
      <c r="D601" s="436"/>
      <c r="E601" s="436"/>
      <c r="F601" s="436"/>
      <c r="G601" s="437"/>
      <c r="H601" s="146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443"/>
      <c r="C602" s="33">
        <v>1</v>
      </c>
      <c r="D602" s="33">
        <v>2</v>
      </c>
      <c r="E602" s="33">
        <v>3</v>
      </c>
      <c r="F602" s="33">
        <v>4</v>
      </c>
      <c r="G602" s="33">
        <v>5</v>
      </c>
      <c r="H602" s="146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 t="s">
        <v>375</v>
      </c>
      <c r="C603" s="40">
        <f t="shared" ref="C603:G603" si="124">C570</f>
        <v>196560</v>
      </c>
      <c r="D603" s="40">
        <f t="shared" si="124"/>
        <v>200491.2</v>
      </c>
      <c r="E603" s="40">
        <f t="shared" si="124"/>
        <v>200491.2</v>
      </c>
      <c r="F603" s="40">
        <f t="shared" si="124"/>
        <v>200491.2</v>
      </c>
      <c r="G603" s="40">
        <f t="shared" si="124"/>
        <v>200491.2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2" t="s">
        <v>491</v>
      </c>
      <c r="C604" s="40">
        <f t="shared" ref="C604:G604" si="125">C571</f>
        <v>11757.114515873014</v>
      </c>
      <c r="D604" s="40">
        <f t="shared" si="125"/>
        <v>11992.256806190475</v>
      </c>
      <c r="E604" s="40">
        <f t="shared" si="125"/>
        <v>11992.256806190475</v>
      </c>
      <c r="F604" s="40">
        <f t="shared" si="125"/>
        <v>11992.256806190475</v>
      </c>
      <c r="G604" s="40">
        <f t="shared" si="125"/>
        <v>11992.256806190475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40"/>
      <c r="D605" s="40"/>
      <c r="E605" s="40"/>
      <c r="F605" s="40"/>
      <c r="G605" s="40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2" t="s">
        <v>476</v>
      </c>
      <c r="C606" s="40">
        <f t="shared" ref="C606:G606" si="126">C603-C604</f>
        <v>184802.88548412698</v>
      </c>
      <c r="D606" s="40">
        <f t="shared" si="126"/>
        <v>188498.94319380954</v>
      </c>
      <c r="E606" s="40">
        <f t="shared" si="126"/>
        <v>188498.94319380954</v>
      </c>
      <c r="F606" s="40">
        <f t="shared" si="126"/>
        <v>188498.94319380954</v>
      </c>
      <c r="G606" s="40">
        <f t="shared" si="126"/>
        <v>188498.94319380954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 t="s">
        <v>492</v>
      </c>
      <c r="C607" s="40">
        <f t="shared" ref="C607:G607" si="127">C563</f>
        <v>3373.7024221453285</v>
      </c>
      <c r="D607" s="40">
        <f t="shared" si="127"/>
        <v>2391.3519305891964</v>
      </c>
      <c r="E607" s="40">
        <f t="shared" si="127"/>
        <v>1274.5065559792401</v>
      </c>
      <c r="F607" s="40">
        <f t="shared" si="127"/>
        <v>0</v>
      </c>
      <c r="G607" s="40">
        <f t="shared" si="127"/>
        <v>0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40"/>
      <c r="D608" s="40"/>
      <c r="E608" s="40"/>
      <c r="F608" s="40"/>
      <c r="G608" s="40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 t="s">
        <v>493</v>
      </c>
      <c r="C609" s="40">
        <f t="shared" ref="C609:G609" si="128">C606-C607</f>
        <v>181429.18306198166</v>
      </c>
      <c r="D609" s="40">
        <f t="shared" si="128"/>
        <v>186107.59126322035</v>
      </c>
      <c r="E609" s="40">
        <f t="shared" si="128"/>
        <v>187224.43663783031</v>
      </c>
      <c r="F609" s="40">
        <f t="shared" si="128"/>
        <v>188498.94319380954</v>
      </c>
      <c r="G609" s="40">
        <f t="shared" si="128"/>
        <v>188498.94319380954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 t="s">
        <v>477</v>
      </c>
      <c r="C610" s="40">
        <f t="shared" ref="C610:G610" si="129">C609*1.5%</f>
        <v>2721.4377459297248</v>
      </c>
      <c r="D610" s="40">
        <f t="shared" si="129"/>
        <v>2791.613868948305</v>
      </c>
      <c r="E610" s="40">
        <f t="shared" si="129"/>
        <v>2808.3665495674545</v>
      </c>
      <c r="F610" s="40">
        <f t="shared" si="129"/>
        <v>2827.4841479071429</v>
      </c>
      <c r="G610" s="40">
        <f t="shared" si="129"/>
        <v>2827.4841479071429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40"/>
      <c r="D611" s="40"/>
      <c r="E611" s="40"/>
      <c r="F611" s="40"/>
      <c r="G611" s="40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 t="s">
        <v>478</v>
      </c>
      <c r="C612" s="40">
        <f t="shared" ref="C612:G612" si="130">C609-C610</f>
        <v>178707.74531605194</v>
      </c>
      <c r="D612" s="40">
        <f t="shared" si="130"/>
        <v>183315.97739427205</v>
      </c>
      <c r="E612" s="40">
        <f t="shared" si="130"/>
        <v>184416.07008826284</v>
      </c>
      <c r="F612" s="40">
        <f t="shared" si="130"/>
        <v>185671.45904590239</v>
      </c>
      <c r="G612" s="40">
        <f t="shared" si="130"/>
        <v>185671.45904590239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 t="s">
        <v>479</v>
      </c>
      <c r="C613" s="40">
        <f t="shared" ref="C613:G613" si="131">$C$577</f>
        <v>4237.1761904761906</v>
      </c>
      <c r="D613" s="40">
        <f t="shared" si="131"/>
        <v>4237.1761904761906</v>
      </c>
      <c r="E613" s="40">
        <f t="shared" si="131"/>
        <v>4237.1761904761906</v>
      </c>
      <c r="F613" s="40">
        <f t="shared" si="131"/>
        <v>4237.1761904761906</v>
      </c>
      <c r="G613" s="40">
        <f t="shared" si="131"/>
        <v>4237.1761904761906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 t="s">
        <v>480</v>
      </c>
      <c r="C614" s="40">
        <f t="shared" ref="C614:G614" si="132">$C$578</f>
        <v>223.398</v>
      </c>
      <c r="D614" s="40">
        <f t="shared" si="132"/>
        <v>223.398</v>
      </c>
      <c r="E614" s="40">
        <f t="shared" si="132"/>
        <v>223.398</v>
      </c>
      <c r="F614" s="40">
        <f t="shared" si="132"/>
        <v>223.398</v>
      </c>
      <c r="G614" s="40">
        <f t="shared" si="132"/>
        <v>223.398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40"/>
      <c r="D615" s="40"/>
      <c r="E615" s="40"/>
      <c r="F615" s="40"/>
      <c r="G615" s="40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34" t="s">
        <v>494</v>
      </c>
      <c r="C616" s="43">
        <f t="shared" ref="C616:G616" si="133">SUM(C612:C614)</f>
        <v>183168.31950652812</v>
      </c>
      <c r="D616" s="43">
        <f t="shared" si="133"/>
        <v>187776.55158474823</v>
      </c>
      <c r="E616" s="43">
        <f t="shared" si="133"/>
        <v>188876.64427873903</v>
      </c>
      <c r="F616" s="43">
        <f t="shared" si="133"/>
        <v>190132.03323637857</v>
      </c>
      <c r="G616" s="43">
        <f t="shared" si="133"/>
        <v>190132.03323637857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435" t="s">
        <v>495</v>
      </c>
      <c r="C619" s="436"/>
      <c r="D619" s="436"/>
      <c r="E619" s="436"/>
      <c r="F619" s="436"/>
      <c r="G619" s="436"/>
      <c r="H619" s="43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442" t="s">
        <v>278</v>
      </c>
      <c r="C620" s="435" t="s">
        <v>265</v>
      </c>
      <c r="D620" s="436"/>
      <c r="E620" s="436"/>
      <c r="F620" s="436"/>
      <c r="G620" s="436"/>
      <c r="H620" s="43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443"/>
      <c r="C621" s="33">
        <v>0</v>
      </c>
      <c r="D621" s="33">
        <v>1</v>
      </c>
      <c r="E621" s="33">
        <v>2</v>
      </c>
      <c r="F621" s="33">
        <v>3</v>
      </c>
      <c r="G621" s="33">
        <v>4</v>
      </c>
      <c r="H621" s="33">
        <v>5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 t="s">
        <v>484</v>
      </c>
      <c r="C622" s="40">
        <f>C597</f>
        <v>-23719.903333333332</v>
      </c>
      <c r="D622" s="40">
        <f t="shared" ref="D622:G622" si="134">$D$597</f>
        <v>-114.80392156862763</v>
      </c>
      <c r="E622" s="40">
        <f t="shared" si="134"/>
        <v>-114.80392156862763</v>
      </c>
      <c r="F622" s="40">
        <f t="shared" si="134"/>
        <v>-114.80392156862763</v>
      </c>
      <c r="G622" s="40">
        <f t="shared" si="134"/>
        <v>-114.80392156862763</v>
      </c>
      <c r="H622" s="40">
        <f>H435</f>
        <v>12224.129019607843</v>
      </c>
      <c r="I622" s="9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 t="s">
        <v>485</v>
      </c>
      <c r="C623" s="40"/>
      <c r="D623" s="40">
        <f t="shared" ref="D623:H623" si="135">C616</f>
        <v>183168.31950652812</v>
      </c>
      <c r="E623" s="40">
        <f t="shared" si="135"/>
        <v>187776.55158474823</v>
      </c>
      <c r="F623" s="40">
        <f t="shared" si="135"/>
        <v>188876.64427873903</v>
      </c>
      <c r="G623" s="40">
        <f t="shared" si="135"/>
        <v>190132.03323637857</v>
      </c>
      <c r="H623" s="40">
        <f t="shared" si="135"/>
        <v>190132.03323637857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40"/>
      <c r="D624" s="40"/>
      <c r="E624" s="40"/>
      <c r="F624" s="40"/>
      <c r="G624" s="40"/>
      <c r="H624" s="40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47" t="s">
        <v>496</v>
      </c>
      <c r="C625" s="110">
        <f>C622</f>
        <v>-23719.903333333332</v>
      </c>
      <c r="D625" s="110">
        <f t="shared" ref="D625:H625" si="136">SUM(D622:D623)</f>
        <v>183053.5155849595</v>
      </c>
      <c r="E625" s="110">
        <f t="shared" si="136"/>
        <v>187661.74766317962</v>
      </c>
      <c r="F625" s="110">
        <f t="shared" si="136"/>
        <v>188761.84035717041</v>
      </c>
      <c r="G625" s="110">
        <f t="shared" si="136"/>
        <v>190017.22931480996</v>
      </c>
      <c r="H625" s="110">
        <f t="shared" si="136"/>
        <v>202356.16225598642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435" t="s">
        <v>497</v>
      </c>
      <c r="C628" s="436"/>
      <c r="D628" s="436"/>
      <c r="E628" s="436"/>
      <c r="F628" s="436"/>
      <c r="G628" s="436"/>
      <c r="H628" s="43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442" t="s">
        <v>278</v>
      </c>
      <c r="C629" s="435" t="s">
        <v>265</v>
      </c>
      <c r="D629" s="436"/>
      <c r="E629" s="436"/>
      <c r="F629" s="436"/>
      <c r="G629" s="436"/>
      <c r="H629" s="43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443"/>
      <c r="C630" s="33">
        <v>0</v>
      </c>
      <c r="D630" s="33">
        <v>1</v>
      </c>
      <c r="E630" s="33">
        <v>2</v>
      </c>
      <c r="F630" s="33">
        <v>3</v>
      </c>
      <c r="G630" s="33">
        <v>4</v>
      </c>
      <c r="H630" s="33">
        <v>5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 t="s">
        <v>363</v>
      </c>
      <c r="C631" s="40">
        <f>C593</f>
        <v>-11954.99</v>
      </c>
      <c r="D631" s="40"/>
      <c r="E631" s="40"/>
      <c r="F631" s="40"/>
      <c r="G631" s="40"/>
      <c r="H631" s="40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44" t="s">
        <v>498</v>
      </c>
      <c r="C632" s="40" t="s">
        <v>369</v>
      </c>
      <c r="D632" s="40"/>
      <c r="E632" s="40"/>
      <c r="F632" s="40"/>
      <c r="G632" s="40"/>
      <c r="H632" s="40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 t="s">
        <v>303</v>
      </c>
      <c r="C633" s="40">
        <f>C595</f>
        <v>-11764.913333333332</v>
      </c>
      <c r="D633" s="40">
        <f t="shared" ref="D633:G633" si="137">$D$597</f>
        <v>-114.80392156862763</v>
      </c>
      <c r="E633" s="40">
        <f t="shared" si="137"/>
        <v>-114.80392156862763</v>
      </c>
      <c r="F633" s="40">
        <f t="shared" si="137"/>
        <v>-114.80392156862763</v>
      </c>
      <c r="G633" s="40">
        <f t="shared" si="137"/>
        <v>-114.80392156862763</v>
      </c>
      <c r="H633" s="40">
        <f>-SUM(C633:G633)</f>
        <v>12224.129019607843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 t="s">
        <v>489</v>
      </c>
      <c r="C634" s="40"/>
      <c r="D634" s="40"/>
      <c r="E634" s="40"/>
      <c r="F634" s="40"/>
      <c r="G634" s="40"/>
      <c r="H634" s="40">
        <f>H495</f>
        <v>1876.2480672268903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 t="s">
        <v>499</v>
      </c>
      <c r="C635" s="40">
        <f>C531</f>
        <v>18000</v>
      </c>
      <c r="D635" s="40"/>
      <c r="E635" s="40"/>
      <c r="F635" s="40"/>
      <c r="G635" s="40"/>
      <c r="H635" s="40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 t="s">
        <v>500</v>
      </c>
      <c r="C636" s="40"/>
      <c r="D636" s="40">
        <f t="shared" ref="D636:H636" si="138">-C564</f>
        <v>-4888.2765230935129</v>
      </c>
      <c r="E636" s="40">
        <f t="shared" si="138"/>
        <v>-5708.6274274880989</v>
      </c>
      <c r="F636" s="40">
        <f t="shared" si="138"/>
        <v>-6666.6496774298739</v>
      </c>
      <c r="G636" s="40">
        <f t="shared" si="138"/>
        <v>0</v>
      </c>
      <c r="H636" s="40">
        <f t="shared" si="138"/>
        <v>0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26" t="s">
        <v>501</v>
      </c>
      <c r="C637" s="110">
        <f>SUM(C631:C635)</f>
        <v>-5719.9033333333318</v>
      </c>
      <c r="D637" s="110">
        <f t="shared" ref="D637:G637" si="139">D633+D636</f>
        <v>-5003.0804446621405</v>
      </c>
      <c r="E637" s="110">
        <f t="shared" si="139"/>
        <v>-5823.4313490567265</v>
      </c>
      <c r="F637" s="110">
        <f t="shared" si="139"/>
        <v>-6781.4535989985015</v>
      </c>
      <c r="G637" s="110">
        <f t="shared" si="139"/>
        <v>-114.80392156862763</v>
      </c>
      <c r="H637" s="110">
        <f>SUM(H633:H636)</f>
        <v>14100.377086834733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435" t="s">
        <v>502</v>
      </c>
      <c r="C640" s="436"/>
      <c r="D640" s="436"/>
      <c r="E640" s="436"/>
      <c r="F640" s="436"/>
      <c r="G640" s="437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442" t="s">
        <v>278</v>
      </c>
      <c r="C641" s="435" t="s">
        <v>265</v>
      </c>
      <c r="D641" s="436"/>
      <c r="E641" s="436"/>
      <c r="F641" s="436"/>
      <c r="G641" s="437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443"/>
      <c r="C642" s="33">
        <v>1</v>
      </c>
      <c r="D642" s="33">
        <v>2</v>
      </c>
      <c r="E642" s="33">
        <v>3</v>
      </c>
      <c r="F642" s="33">
        <v>4</v>
      </c>
      <c r="G642" s="33">
        <v>5</v>
      </c>
      <c r="H642" s="12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2" t="s">
        <v>475</v>
      </c>
      <c r="C643" s="81">
        <f t="shared" ref="C643:G643" si="140">C603</f>
        <v>196560</v>
      </c>
      <c r="D643" s="81">
        <f t="shared" si="140"/>
        <v>200491.2</v>
      </c>
      <c r="E643" s="81">
        <f t="shared" si="140"/>
        <v>200491.2</v>
      </c>
      <c r="F643" s="81">
        <f t="shared" si="140"/>
        <v>200491.2</v>
      </c>
      <c r="G643" s="81">
        <f t="shared" si="140"/>
        <v>200491.2</v>
      </c>
      <c r="H643" s="9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2" t="s">
        <v>491</v>
      </c>
      <c r="C644" s="81">
        <f t="shared" ref="C644:G644" si="141">C604</f>
        <v>11757.114515873014</v>
      </c>
      <c r="D644" s="81">
        <f t="shared" si="141"/>
        <v>11992.256806190475</v>
      </c>
      <c r="E644" s="81">
        <f t="shared" si="141"/>
        <v>11992.256806190475</v>
      </c>
      <c r="F644" s="81">
        <f t="shared" si="141"/>
        <v>11992.256806190475</v>
      </c>
      <c r="G644" s="81">
        <f t="shared" si="141"/>
        <v>11992.256806190475</v>
      </c>
      <c r="H644" s="9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40"/>
      <c r="D645" s="40"/>
      <c r="E645" s="40"/>
      <c r="F645" s="40"/>
      <c r="G645" s="40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2" t="s">
        <v>476</v>
      </c>
      <c r="C646" s="40">
        <f t="shared" ref="C646:G646" si="142">C643-C644</f>
        <v>184802.88548412698</v>
      </c>
      <c r="D646" s="40">
        <f t="shared" si="142"/>
        <v>188498.94319380954</v>
      </c>
      <c r="E646" s="40">
        <f t="shared" si="142"/>
        <v>188498.94319380954</v>
      </c>
      <c r="F646" s="40">
        <f t="shared" si="142"/>
        <v>188498.94319380954</v>
      </c>
      <c r="G646" s="40">
        <f t="shared" si="142"/>
        <v>188498.94319380954</v>
      </c>
      <c r="H646" s="9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 t="s">
        <v>503</v>
      </c>
      <c r="C647" s="40">
        <f t="shared" ref="C647:D647" si="143">C563</f>
        <v>3373.7024221453285</v>
      </c>
      <c r="D647" s="40">
        <f t="shared" si="143"/>
        <v>2391.3519305891964</v>
      </c>
      <c r="E647" s="40">
        <f>E564</f>
        <v>6666.6496774298739</v>
      </c>
      <c r="F647" s="40">
        <f t="shared" ref="F647:G647" si="144">F563</f>
        <v>0</v>
      </c>
      <c r="G647" s="40">
        <f t="shared" si="144"/>
        <v>0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40"/>
      <c r="D648" s="40"/>
      <c r="E648" s="40"/>
      <c r="F648" s="40"/>
      <c r="G648" s="40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 t="s">
        <v>493</v>
      </c>
      <c r="C649" s="40">
        <f t="shared" ref="C649:G649" si="145">C646-C647</f>
        <v>181429.18306198166</v>
      </c>
      <c r="D649" s="40">
        <f t="shared" si="145"/>
        <v>186107.59126322035</v>
      </c>
      <c r="E649" s="40">
        <f t="shared" si="145"/>
        <v>181832.29351637966</v>
      </c>
      <c r="F649" s="40">
        <f t="shared" si="145"/>
        <v>188498.94319380954</v>
      </c>
      <c r="G649" s="40">
        <f t="shared" si="145"/>
        <v>188498.94319380954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 t="s">
        <v>477</v>
      </c>
      <c r="C650" s="40">
        <f t="shared" ref="C650:G650" si="146">C649*1.5%</f>
        <v>2721.4377459297248</v>
      </c>
      <c r="D650" s="40">
        <f t="shared" si="146"/>
        <v>2791.613868948305</v>
      </c>
      <c r="E650" s="40">
        <f t="shared" si="146"/>
        <v>2727.4844027456948</v>
      </c>
      <c r="F650" s="40">
        <f t="shared" si="146"/>
        <v>2827.4841479071429</v>
      </c>
      <c r="G650" s="40">
        <f t="shared" si="146"/>
        <v>2827.4841479071429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40"/>
      <c r="D651" s="40"/>
      <c r="E651" s="40"/>
      <c r="F651" s="40"/>
      <c r="G651" s="40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 t="s">
        <v>478</v>
      </c>
      <c r="C652" s="40">
        <f t="shared" ref="C652:G652" si="147">C649-C650</f>
        <v>178707.74531605194</v>
      </c>
      <c r="D652" s="40">
        <f t="shared" si="147"/>
        <v>183315.97739427205</v>
      </c>
      <c r="E652" s="40">
        <f t="shared" si="147"/>
        <v>179104.80911363396</v>
      </c>
      <c r="F652" s="40">
        <f t="shared" si="147"/>
        <v>185671.45904590239</v>
      </c>
      <c r="G652" s="40">
        <f t="shared" si="147"/>
        <v>185671.45904590239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 t="s">
        <v>504</v>
      </c>
      <c r="C653" s="40">
        <f t="shared" ref="C653:G653" si="148">$C$613</f>
        <v>4237.1761904761906</v>
      </c>
      <c r="D653" s="40">
        <f t="shared" si="148"/>
        <v>4237.1761904761906</v>
      </c>
      <c r="E653" s="40">
        <f t="shared" si="148"/>
        <v>4237.1761904761906</v>
      </c>
      <c r="F653" s="40">
        <f t="shared" si="148"/>
        <v>4237.1761904761906</v>
      </c>
      <c r="G653" s="40">
        <f t="shared" si="148"/>
        <v>4237.1761904761906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 t="s">
        <v>480</v>
      </c>
      <c r="C654" s="40">
        <f t="shared" ref="C654:G654" si="149">$C$614</f>
        <v>223.398</v>
      </c>
      <c r="D654" s="40">
        <f t="shared" si="149"/>
        <v>223.398</v>
      </c>
      <c r="E654" s="40">
        <f t="shared" si="149"/>
        <v>223.398</v>
      </c>
      <c r="F654" s="40">
        <f t="shared" si="149"/>
        <v>223.398</v>
      </c>
      <c r="G654" s="40">
        <f t="shared" si="149"/>
        <v>223.398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40"/>
      <c r="D655" s="40"/>
      <c r="E655" s="40"/>
      <c r="F655" s="40"/>
      <c r="G655" s="40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34" t="s">
        <v>505</v>
      </c>
      <c r="C656" s="43">
        <f t="shared" ref="C656:G656" si="150">SUM(C652:C655)</f>
        <v>183168.31950652812</v>
      </c>
      <c r="D656" s="43">
        <f t="shared" si="150"/>
        <v>187776.55158474823</v>
      </c>
      <c r="E656" s="43">
        <f t="shared" si="150"/>
        <v>183565.38330411015</v>
      </c>
      <c r="F656" s="43">
        <f t="shared" si="150"/>
        <v>190132.03323637857</v>
      </c>
      <c r="G656" s="43">
        <f t="shared" si="150"/>
        <v>190132.03323637857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435" t="s">
        <v>506</v>
      </c>
      <c r="C659" s="436"/>
      <c r="D659" s="436"/>
      <c r="E659" s="436"/>
      <c r="F659" s="436"/>
      <c r="G659" s="436"/>
      <c r="H659" s="43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442" t="s">
        <v>278</v>
      </c>
      <c r="C660" s="435" t="s">
        <v>265</v>
      </c>
      <c r="D660" s="436"/>
      <c r="E660" s="436"/>
      <c r="F660" s="436"/>
      <c r="G660" s="436"/>
      <c r="H660" s="43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443"/>
      <c r="C661" s="33">
        <v>0</v>
      </c>
      <c r="D661" s="33">
        <v>1</v>
      </c>
      <c r="E661" s="33">
        <v>2</v>
      </c>
      <c r="F661" s="33">
        <v>3</v>
      </c>
      <c r="G661" s="33">
        <v>4</v>
      </c>
      <c r="H661" s="33">
        <v>5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1" t="s">
        <v>484</v>
      </c>
      <c r="C662" s="40">
        <f t="shared" ref="C662:H662" si="151">C637</f>
        <v>-5719.9033333333318</v>
      </c>
      <c r="D662" s="40">
        <f t="shared" si="151"/>
        <v>-5003.0804446621405</v>
      </c>
      <c r="E662" s="40">
        <f t="shared" si="151"/>
        <v>-5823.4313490567265</v>
      </c>
      <c r="F662" s="40">
        <f t="shared" si="151"/>
        <v>-6781.4535989985015</v>
      </c>
      <c r="G662" s="40">
        <f t="shared" si="151"/>
        <v>-114.80392156862763</v>
      </c>
      <c r="H662" s="40">
        <f t="shared" si="151"/>
        <v>14100.377086834733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8" t="s">
        <v>485</v>
      </c>
      <c r="C663" s="40"/>
      <c r="D663" s="40">
        <f t="shared" ref="D663:H663" si="152">C656</f>
        <v>183168.31950652812</v>
      </c>
      <c r="E663" s="40">
        <f t="shared" si="152"/>
        <v>187776.55158474823</v>
      </c>
      <c r="F663" s="40">
        <f t="shared" si="152"/>
        <v>183565.38330411015</v>
      </c>
      <c r="G663" s="40">
        <f t="shared" si="152"/>
        <v>190132.03323637857</v>
      </c>
      <c r="H663" s="40">
        <f t="shared" si="152"/>
        <v>190132.03323637857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1"/>
      <c r="C664" s="40"/>
      <c r="D664" s="40"/>
      <c r="E664" s="40"/>
      <c r="F664" s="40"/>
      <c r="G664" s="40"/>
      <c r="H664" s="40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48" t="s">
        <v>507</v>
      </c>
      <c r="C665" s="110">
        <f t="shared" ref="C665:H665" si="153">SUM(C662:C664)</f>
        <v>-5719.9033333333318</v>
      </c>
      <c r="D665" s="110">
        <f t="shared" si="153"/>
        <v>178165.23906186598</v>
      </c>
      <c r="E665" s="110">
        <f t="shared" si="153"/>
        <v>181953.12023569152</v>
      </c>
      <c r="F665" s="110">
        <f t="shared" si="153"/>
        <v>176783.92970511166</v>
      </c>
      <c r="G665" s="110">
        <f t="shared" si="153"/>
        <v>190017.22931480996</v>
      </c>
      <c r="H665" s="110">
        <f t="shared" si="153"/>
        <v>204232.41032321329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435" t="s">
        <v>508</v>
      </c>
      <c r="C668" s="436"/>
      <c r="D668" s="436"/>
      <c r="E668" s="436"/>
      <c r="F668" s="436"/>
      <c r="G668" s="436"/>
      <c r="H668" s="43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442" t="s">
        <v>509</v>
      </c>
      <c r="C669" s="33" t="s">
        <v>510</v>
      </c>
      <c r="D669" s="435" t="s">
        <v>511</v>
      </c>
      <c r="E669" s="436"/>
      <c r="F669" s="436"/>
      <c r="G669" s="436"/>
      <c r="H669" s="43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443"/>
      <c r="C670" s="33">
        <v>0</v>
      </c>
      <c r="D670" s="33">
        <v>1</v>
      </c>
      <c r="E670" s="33">
        <v>2</v>
      </c>
      <c r="F670" s="33">
        <v>3</v>
      </c>
      <c r="G670" s="33">
        <v>4</v>
      </c>
      <c r="H670" s="33">
        <v>5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1" t="s">
        <v>512</v>
      </c>
      <c r="C671" s="40">
        <f>D502</f>
        <v>-10838</v>
      </c>
      <c r="D671" s="40"/>
      <c r="E671" s="40"/>
      <c r="F671" s="40"/>
      <c r="G671" s="40"/>
      <c r="H671" s="40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1" t="s">
        <v>158</v>
      </c>
      <c r="C672" s="40">
        <f t="shared" ref="C672:C673" si="154">D508</f>
        <v>-1116.99</v>
      </c>
      <c r="D672" s="40"/>
      <c r="E672" s="40"/>
      <c r="F672" s="40"/>
      <c r="G672" s="40"/>
      <c r="H672" s="40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1" t="s">
        <v>513</v>
      </c>
      <c r="C673" s="40">
        <f t="shared" si="154"/>
        <v>0</v>
      </c>
      <c r="D673" s="40"/>
      <c r="E673" s="40"/>
      <c r="F673" s="40"/>
      <c r="G673" s="40"/>
      <c r="H673" s="40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1" t="s">
        <v>303</v>
      </c>
      <c r="C674" s="40">
        <f>C633</f>
        <v>-11764.913333333332</v>
      </c>
      <c r="D674" s="40">
        <f t="shared" ref="D674:G674" si="155">$D$633</f>
        <v>-114.80392156862763</v>
      </c>
      <c r="E674" s="40">
        <f t="shared" si="155"/>
        <v>-114.80392156862763</v>
      </c>
      <c r="F674" s="40">
        <f t="shared" si="155"/>
        <v>-114.80392156862763</v>
      </c>
      <c r="G674" s="40">
        <f t="shared" si="155"/>
        <v>-114.80392156862763</v>
      </c>
      <c r="H674" s="40" t="s">
        <v>369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1"/>
      <c r="C675" s="40"/>
      <c r="D675" s="40"/>
      <c r="E675" s="40"/>
      <c r="F675" s="40"/>
      <c r="G675" s="40"/>
      <c r="H675" s="40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51" t="s">
        <v>419</v>
      </c>
      <c r="C676" s="40">
        <f t="shared" ref="C676:G676" si="156">SUM(C671:C674)</f>
        <v>-23719.903333333332</v>
      </c>
      <c r="D676" s="40">
        <f t="shared" si="156"/>
        <v>-114.80392156862763</v>
      </c>
      <c r="E676" s="40">
        <f t="shared" si="156"/>
        <v>-114.80392156862763</v>
      </c>
      <c r="F676" s="40">
        <f t="shared" si="156"/>
        <v>-114.80392156862763</v>
      </c>
      <c r="G676" s="40">
        <f t="shared" si="156"/>
        <v>-114.80392156862763</v>
      </c>
      <c r="H676" s="40" t="s">
        <v>369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41" t="s">
        <v>514</v>
      </c>
      <c r="C677" s="40">
        <f>C531</f>
        <v>18000</v>
      </c>
      <c r="D677" s="40"/>
      <c r="E677" s="40"/>
      <c r="F677" s="40"/>
      <c r="G677" s="40"/>
      <c r="H677" s="40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1"/>
      <c r="C678" s="40"/>
      <c r="D678" s="40"/>
      <c r="E678" s="40"/>
      <c r="F678" s="40"/>
      <c r="G678" s="40"/>
      <c r="H678" s="40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51" t="s">
        <v>515</v>
      </c>
      <c r="C679" s="40">
        <f t="shared" ref="C679:H679" si="157">SUM(C676:C677)</f>
        <v>-5719.9033333333318</v>
      </c>
      <c r="D679" s="40">
        <f t="shared" si="157"/>
        <v>-114.80392156862763</v>
      </c>
      <c r="E679" s="40">
        <f t="shared" si="157"/>
        <v>-114.80392156862763</v>
      </c>
      <c r="F679" s="40">
        <f t="shared" si="157"/>
        <v>-114.80392156862763</v>
      </c>
      <c r="G679" s="40">
        <f t="shared" si="157"/>
        <v>-114.80392156862763</v>
      </c>
      <c r="H679" s="40">
        <f t="shared" si="157"/>
        <v>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1" t="s">
        <v>516</v>
      </c>
      <c r="C680" s="40"/>
      <c r="D680" s="40">
        <f t="shared" ref="D680:H680" si="158">-C564</f>
        <v>-4888.2765230935129</v>
      </c>
      <c r="E680" s="40">
        <f t="shared" si="158"/>
        <v>-5708.6274274880989</v>
      </c>
      <c r="F680" s="40">
        <f t="shared" si="158"/>
        <v>-6666.6496774298739</v>
      </c>
      <c r="G680" s="40">
        <f t="shared" si="158"/>
        <v>0</v>
      </c>
      <c r="H680" s="40">
        <f t="shared" si="158"/>
        <v>0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1" t="s">
        <v>399</v>
      </c>
      <c r="C681" s="40"/>
      <c r="D681" s="40"/>
      <c r="E681" s="40"/>
      <c r="F681" s="40"/>
      <c r="G681" s="40"/>
      <c r="H681" s="40" t="s">
        <v>369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1" t="s">
        <v>303</v>
      </c>
      <c r="C682" s="40"/>
      <c r="D682" s="40"/>
      <c r="E682" s="40"/>
      <c r="F682" s="40"/>
      <c r="G682" s="40"/>
      <c r="H682" s="40">
        <f>H633</f>
        <v>12224.129019607843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1" t="s">
        <v>517</v>
      </c>
      <c r="C683" s="40"/>
      <c r="D683" s="40"/>
      <c r="E683" s="40"/>
      <c r="F683" s="40"/>
      <c r="G683" s="40"/>
      <c r="H683" s="40">
        <f>H495</f>
        <v>1876.2480672268903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1"/>
      <c r="C684" s="40"/>
      <c r="D684" s="40"/>
      <c r="E684" s="40"/>
      <c r="F684" s="40"/>
      <c r="G684" s="40"/>
      <c r="H684" s="40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76" t="s">
        <v>518</v>
      </c>
      <c r="C685" s="77">
        <f t="shared" ref="C685:H685" si="159">SUM(C679:C683)</f>
        <v>-5719.9033333333318</v>
      </c>
      <c r="D685" s="77">
        <f t="shared" si="159"/>
        <v>-5003.0804446621405</v>
      </c>
      <c r="E685" s="77">
        <f t="shared" si="159"/>
        <v>-5823.4313490567265</v>
      </c>
      <c r="F685" s="77">
        <f t="shared" si="159"/>
        <v>-6781.4535989985015</v>
      </c>
      <c r="G685" s="77">
        <f t="shared" si="159"/>
        <v>-114.80392156862763</v>
      </c>
      <c r="H685" s="77">
        <f t="shared" si="159"/>
        <v>14100.377086834733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1" t="s">
        <v>519</v>
      </c>
      <c r="C686" s="40"/>
      <c r="D686" s="40"/>
      <c r="E686" s="40"/>
      <c r="F686" s="40"/>
      <c r="G686" s="40"/>
      <c r="H686" s="40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1" t="s">
        <v>520</v>
      </c>
      <c r="C687" s="40"/>
      <c r="D687" s="40"/>
      <c r="E687" s="40"/>
      <c r="F687" s="40"/>
      <c r="G687" s="40"/>
      <c r="H687" s="40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1" t="s">
        <v>521</v>
      </c>
      <c r="C688" s="40"/>
      <c r="D688" s="40">
        <f t="shared" ref="D688:H688" si="160">C643</f>
        <v>196560</v>
      </c>
      <c r="E688" s="40">
        <f t="shared" si="160"/>
        <v>200491.2</v>
      </c>
      <c r="F688" s="40">
        <f t="shared" si="160"/>
        <v>200491.2</v>
      </c>
      <c r="G688" s="40">
        <f t="shared" si="160"/>
        <v>200491.2</v>
      </c>
      <c r="H688" s="40">
        <f t="shared" si="160"/>
        <v>200491.2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51" t="s">
        <v>475</v>
      </c>
      <c r="C689" s="40"/>
      <c r="D689" s="40">
        <f t="shared" ref="D689:H689" si="161">D688</f>
        <v>196560</v>
      </c>
      <c r="E689" s="40">
        <f t="shared" si="161"/>
        <v>200491.2</v>
      </c>
      <c r="F689" s="40">
        <f t="shared" si="161"/>
        <v>200491.2</v>
      </c>
      <c r="G689" s="40">
        <f t="shared" si="161"/>
        <v>200491.2</v>
      </c>
      <c r="H689" s="40">
        <f t="shared" si="161"/>
        <v>200491.2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1" t="s">
        <v>522</v>
      </c>
      <c r="C690" s="40"/>
      <c r="D690" s="40"/>
      <c r="E690" s="40"/>
      <c r="F690" s="40"/>
      <c r="G690" s="40"/>
      <c r="H690" s="40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1" t="s">
        <v>176</v>
      </c>
      <c r="C691" s="40"/>
      <c r="D691" s="40">
        <f>C323</f>
        <v>7594.0583333333325</v>
      </c>
      <c r="E691" s="40">
        <f t="shared" ref="E691:H691" si="162">$D$458</f>
        <v>7698.6663333333327</v>
      </c>
      <c r="F691" s="40">
        <f t="shared" si="162"/>
        <v>7698.6663333333327</v>
      </c>
      <c r="G691" s="40">
        <f t="shared" si="162"/>
        <v>7698.6663333333327</v>
      </c>
      <c r="H691" s="40">
        <f t="shared" si="162"/>
        <v>7698.6663333333327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1" t="s">
        <v>188</v>
      </c>
      <c r="C692" s="40"/>
      <c r="D692" s="40">
        <f t="shared" ref="D692:H692" si="163">$C$469</f>
        <v>3746.6741904761902</v>
      </c>
      <c r="E692" s="40">
        <f t="shared" si="163"/>
        <v>3746.6741904761902</v>
      </c>
      <c r="F692" s="40">
        <f t="shared" si="163"/>
        <v>3746.6741904761902</v>
      </c>
      <c r="G692" s="40">
        <f t="shared" si="163"/>
        <v>3746.6741904761902</v>
      </c>
      <c r="H692" s="40">
        <f t="shared" si="163"/>
        <v>3746.6741904761902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1" t="s">
        <v>523</v>
      </c>
      <c r="C693" s="40"/>
      <c r="D693" s="40">
        <f t="shared" ref="D693:H693" si="164">$F$175</f>
        <v>840</v>
      </c>
      <c r="E693" s="40">
        <f t="shared" si="164"/>
        <v>840</v>
      </c>
      <c r="F693" s="40">
        <f t="shared" si="164"/>
        <v>840</v>
      </c>
      <c r="G693" s="40">
        <f t="shared" si="164"/>
        <v>840</v>
      </c>
      <c r="H693" s="40">
        <f t="shared" si="164"/>
        <v>840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51" t="s">
        <v>293</v>
      </c>
      <c r="C694" s="40"/>
      <c r="D694" s="79">
        <f t="shared" ref="D694:H694" si="165">SUM(D691:D693)</f>
        <v>12180.732523809522</v>
      </c>
      <c r="E694" s="79">
        <f t="shared" si="165"/>
        <v>12285.340523809522</v>
      </c>
      <c r="F694" s="79">
        <f t="shared" si="165"/>
        <v>12285.340523809522</v>
      </c>
      <c r="G694" s="79">
        <f t="shared" si="165"/>
        <v>12285.340523809522</v>
      </c>
      <c r="H694" s="79">
        <f t="shared" si="165"/>
        <v>12285.340523809522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51" t="s">
        <v>524</v>
      </c>
      <c r="C695" s="40"/>
      <c r="D695" s="40">
        <f t="shared" ref="D695:H695" si="166">D689-D694</f>
        <v>184379.26747619046</v>
      </c>
      <c r="E695" s="40">
        <f t="shared" si="166"/>
        <v>188205.8594761905</v>
      </c>
      <c r="F695" s="40">
        <f t="shared" si="166"/>
        <v>188205.8594761905</v>
      </c>
      <c r="G695" s="40">
        <f t="shared" si="166"/>
        <v>188205.8594761905</v>
      </c>
      <c r="H695" s="40">
        <f t="shared" si="166"/>
        <v>188205.8594761905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1" t="s">
        <v>525</v>
      </c>
      <c r="C696" s="40"/>
      <c r="D696" s="40">
        <f t="shared" ref="D696:H696" si="167">C563</f>
        <v>3373.7024221453285</v>
      </c>
      <c r="E696" s="40">
        <f t="shared" si="167"/>
        <v>2391.3519305891964</v>
      </c>
      <c r="F696" s="40">
        <f t="shared" si="167"/>
        <v>1274.5065559792401</v>
      </c>
      <c r="G696" s="40">
        <f t="shared" si="167"/>
        <v>0</v>
      </c>
      <c r="H696" s="40">
        <f t="shared" si="167"/>
        <v>0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51" t="s">
        <v>493</v>
      </c>
      <c r="C697" s="40"/>
      <c r="D697" s="79">
        <f t="shared" ref="D697:H697" si="168">D695-D696</f>
        <v>181005.56505404515</v>
      </c>
      <c r="E697" s="79">
        <f t="shared" si="168"/>
        <v>185814.50754560131</v>
      </c>
      <c r="F697" s="79">
        <f t="shared" si="168"/>
        <v>186931.35292021127</v>
      </c>
      <c r="G697" s="79">
        <f t="shared" si="168"/>
        <v>188205.8594761905</v>
      </c>
      <c r="H697" s="79">
        <f t="shared" si="168"/>
        <v>188205.8594761905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1" t="s">
        <v>526</v>
      </c>
      <c r="C698" s="40"/>
      <c r="D698" s="40">
        <f t="shared" ref="D698:H698" si="169">-D697*1.5%</f>
        <v>-2715.0834758106771</v>
      </c>
      <c r="E698" s="40">
        <f t="shared" si="169"/>
        <v>-2787.2176131840197</v>
      </c>
      <c r="F698" s="40">
        <f t="shared" si="169"/>
        <v>-2803.9702938031687</v>
      </c>
      <c r="G698" s="40">
        <f t="shared" si="169"/>
        <v>-2823.0878921428575</v>
      </c>
      <c r="H698" s="40">
        <f t="shared" si="169"/>
        <v>-2823.0878921428575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1" t="s">
        <v>478</v>
      </c>
      <c r="C699" s="40"/>
      <c r="D699" s="79">
        <f t="shared" ref="D699:H699" si="170">SUM(D697:D698)</f>
        <v>178290.48157823447</v>
      </c>
      <c r="E699" s="79">
        <f t="shared" si="170"/>
        <v>183027.2899324173</v>
      </c>
      <c r="F699" s="79">
        <f t="shared" si="170"/>
        <v>184127.3826264081</v>
      </c>
      <c r="G699" s="79">
        <f t="shared" si="170"/>
        <v>185382.77158404764</v>
      </c>
      <c r="H699" s="79">
        <f t="shared" si="170"/>
        <v>185382.77158404764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1" t="s">
        <v>527</v>
      </c>
      <c r="C700" s="40"/>
      <c r="D700" s="40">
        <f t="shared" ref="D700:H700" si="171">$C$653</f>
        <v>4237.1761904761906</v>
      </c>
      <c r="E700" s="40">
        <f t="shared" si="171"/>
        <v>4237.1761904761906</v>
      </c>
      <c r="F700" s="40">
        <f t="shared" si="171"/>
        <v>4237.1761904761906</v>
      </c>
      <c r="G700" s="40">
        <f t="shared" si="171"/>
        <v>4237.1761904761906</v>
      </c>
      <c r="H700" s="40">
        <f t="shared" si="171"/>
        <v>4237.1761904761906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1" t="s">
        <v>390</v>
      </c>
      <c r="C701" s="40"/>
      <c r="D701" s="40">
        <f t="shared" ref="D701:H701" si="172">$C$654</f>
        <v>223.398</v>
      </c>
      <c r="E701" s="40">
        <f t="shared" si="172"/>
        <v>223.398</v>
      </c>
      <c r="F701" s="40">
        <f t="shared" si="172"/>
        <v>223.398</v>
      </c>
      <c r="G701" s="40">
        <f t="shared" si="172"/>
        <v>223.398</v>
      </c>
      <c r="H701" s="40">
        <f t="shared" si="172"/>
        <v>223.398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76" t="s">
        <v>485</v>
      </c>
      <c r="C702" s="77"/>
      <c r="D702" s="77">
        <f t="shared" ref="D702:H702" si="173">SUM(D699:D701)</f>
        <v>182751.05576871065</v>
      </c>
      <c r="E702" s="77">
        <f t="shared" si="173"/>
        <v>187487.86412289349</v>
      </c>
      <c r="F702" s="77">
        <f t="shared" si="173"/>
        <v>188587.95681688428</v>
      </c>
      <c r="G702" s="77">
        <f t="shared" si="173"/>
        <v>189843.34577452383</v>
      </c>
      <c r="H702" s="77">
        <f t="shared" si="173"/>
        <v>189843.34577452383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37" t="s">
        <v>528</v>
      </c>
      <c r="C703" s="43">
        <f t="shared" ref="C703:H703" si="174">C685+C702</f>
        <v>-5719.9033333333318</v>
      </c>
      <c r="D703" s="43">
        <f t="shared" si="174"/>
        <v>177747.97532404852</v>
      </c>
      <c r="E703" s="43">
        <f t="shared" si="174"/>
        <v>181664.43277383677</v>
      </c>
      <c r="F703" s="43">
        <f t="shared" si="174"/>
        <v>181806.50321788579</v>
      </c>
      <c r="G703" s="43">
        <f t="shared" si="174"/>
        <v>189728.54185295521</v>
      </c>
      <c r="H703" s="43">
        <f t="shared" si="174"/>
        <v>203943.72286135855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51">
    <mergeCell ref="C82:F82"/>
    <mergeCell ref="B85:F85"/>
    <mergeCell ref="B105:F105"/>
    <mergeCell ref="E126:I126"/>
    <mergeCell ref="B141:F141"/>
    <mergeCell ref="E158:I158"/>
    <mergeCell ref="J158:J159"/>
    <mergeCell ref="E163:I163"/>
    <mergeCell ref="J163:J164"/>
    <mergeCell ref="B158:B159"/>
    <mergeCell ref="C158:C159"/>
    <mergeCell ref="D158:D159"/>
    <mergeCell ref="B163:B164"/>
    <mergeCell ref="C163:C164"/>
    <mergeCell ref="D163:D164"/>
    <mergeCell ref="J126:J127"/>
    <mergeCell ref="B149:F149"/>
    <mergeCell ref="B157:J157"/>
    <mergeCell ref="C73:F73"/>
    <mergeCell ref="C74:F74"/>
    <mergeCell ref="C75:F75"/>
    <mergeCell ref="C76:F76"/>
    <mergeCell ref="C77:F77"/>
    <mergeCell ref="C78:F78"/>
    <mergeCell ref="C79:F79"/>
    <mergeCell ref="C80:F80"/>
    <mergeCell ref="C81:F81"/>
    <mergeCell ref="B9:E9"/>
    <mergeCell ref="B20:F20"/>
    <mergeCell ref="B30:F30"/>
    <mergeCell ref="B39:F39"/>
    <mergeCell ref="B54:F54"/>
    <mergeCell ref="B64:F64"/>
    <mergeCell ref="B70:F70"/>
    <mergeCell ref="C71:F71"/>
    <mergeCell ref="C72:F72"/>
    <mergeCell ref="K126:K127"/>
    <mergeCell ref="B114:K114"/>
    <mergeCell ref="C115:C116"/>
    <mergeCell ref="D115:D116"/>
    <mergeCell ref="E115:I115"/>
    <mergeCell ref="J115:J116"/>
    <mergeCell ref="K115:K116"/>
    <mergeCell ref="B125:K125"/>
    <mergeCell ref="B115:B116"/>
    <mergeCell ref="B126:B127"/>
    <mergeCell ref="C126:C127"/>
    <mergeCell ref="D126:D127"/>
    <mergeCell ref="B178:D178"/>
    <mergeCell ref="B213:F213"/>
    <mergeCell ref="B235:F235"/>
    <mergeCell ref="B239:E239"/>
    <mergeCell ref="B247:E247"/>
    <mergeCell ref="B262:F262"/>
    <mergeCell ref="B274:F274"/>
    <mergeCell ref="B170:F170"/>
    <mergeCell ref="E321:G321"/>
    <mergeCell ref="I321:K321"/>
    <mergeCell ref="I322:J322"/>
    <mergeCell ref="I323:J323"/>
    <mergeCell ref="I324:J324"/>
    <mergeCell ref="E325:F325"/>
    <mergeCell ref="I325:J325"/>
    <mergeCell ref="I326:J326"/>
    <mergeCell ref="B288:F288"/>
    <mergeCell ref="B300:F300"/>
    <mergeCell ref="B304:F304"/>
    <mergeCell ref="B306:H306"/>
    <mergeCell ref="B307:B308"/>
    <mergeCell ref="C307:H307"/>
    <mergeCell ref="B321:C321"/>
    <mergeCell ref="B362:G362"/>
    <mergeCell ref="C363:G363"/>
    <mergeCell ref="E322:F322"/>
    <mergeCell ref="B350:G350"/>
    <mergeCell ref="B351:G351"/>
    <mergeCell ref="B352:B353"/>
    <mergeCell ref="C352:G352"/>
    <mergeCell ref="B360:G360"/>
    <mergeCell ref="B363:B364"/>
    <mergeCell ref="B389:B390"/>
    <mergeCell ref="B398:B399"/>
    <mergeCell ref="B376:G376"/>
    <mergeCell ref="B377:B378"/>
    <mergeCell ref="C377:G377"/>
    <mergeCell ref="B388:G388"/>
    <mergeCell ref="C389:G389"/>
    <mergeCell ref="B396:G396"/>
    <mergeCell ref="B397:G397"/>
    <mergeCell ref="C398:G398"/>
    <mergeCell ref="B418:G418"/>
    <mergeCell ref="B419:B420"/>
    <mergeCell ref="C419:G419"/>
    <mergeCell ref="B426:H426"/>
    <mergeCell ref="B427:B428"/>
    <mergeCell ref="C427:H427"/>
    <mergeCell ref="B567:G567"/>
    <mergeCell ref="B568:B569"/>
    <mergeCell ref="C568:G568"/>
    <mergeCell ref="B440:G440"/>
    <mergeCell ref="B445:H445"/>
    <mergeCell ref="B446:B447"/>
    <mergeCell ref="C446:H446"/>
    <mergeCell ref="B461:G461"/>
    <mergeCell ref="B561:G561"/>
    <mergeCell ref="B582:H582"/>
    <mergeCell ref="B583:B584"/>
    <mergeCell ref="C583:H583"/>
    <mergeCell ref="B600:G600"/>
    <mergeCell ref="C601:G601"/>
    <mergeCell ref="B619:H619"/>
    <mergeCell ref="B620:B621"/>
    <mergeCell ref="C620:H620"/>
    <mergeCell ref="B628:H628"/>
    <mergeCell ref="B590:H590"/>
    <mergeCell ref="C591:H591"/>
    <mergeCell ref="B591:B592"/>
    <mergeCell ref="B601:B602"/>
    <mergeCell ref="B629:B630"/>
    <mergeCell ref="C629:H629"/>
    <mergeCell ref="B462:B463"/>
    <mergeCell ref="B473:B474"/>
    <mergeCell ref="B482:B483"/>
    <mergeCell ref="B491:B492"/>
    <mergeCell ref="B500:B501"/>
    <mergeCell ref="B511:C511"/>
    <mergeCell ref="B520:C520"/>
    <mergeCell ref="C462:G462"/>
    <mergeCell ref="B472:G472"/>
    <mergeCell ref="C473:G473"/>
    <mergeCell ref="B481:G481"/>
    <mergeCell ref="C482:G482"/>
    <mergeCell ref="B490:H490"/>
    <mergeCell ref="C491:H491"/>
    <mergeCell ref="B499:I499"/>
    <mergeCell ref="D500:I500"/>
    <mergeCell ref="C500:C501"/>
    <mergeCell ref="B514:F514"/>
    <mergeCell ref="H515:J515"/>
    <mergeCell ref="H520:J520"/>
    <mergeCell ref="B529:G529"/>
    <mergeCell ref="B560:G560"/>
    <mergeCell ref="B668:H668"/>
    <mergeCell ref="D669:H669"/>
    <mergeCell ref="B640:G640"/>
    <mergeCell ref="B641:B642"/>
    <mergeCell ref="C641:G641"/>
    <mergeCell ref="B659:H659"/>
    <mergeCell ref="B660:B661"/>
    <mergeCell ref="C660:H660"/>
    <mergeCell ref="B669:B670"/>
  </mergeCells>
  <pageMargins left="0.7" right="0.7" top="0.75" bottom="0.75" header="0" footer="0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398F98"/>
  </sheetPr>
  <dimension ref="A1:AB1000"/>
  <sheetViews>
    <sheetView showGridLines="0" workbookViewId="0">
      <selection activeCell="N29" sqref="N29"/>
    </sheetView>
  </sheetViews>
  <sheetFormatPr baseColWidth="10" defaultColWidth="12.625" defaultRowHeight="15" customHeight="1"/>
  <cols>
    <col min="1" max="1" width="2.375" customWidth="1"/>
    <col min="2" max="2" width="7.75" customWidth="1"/>
    <col min="3" max="3" width="9.375" customWidth="1"/>
    <col min="4" max="12" width="7.875" customWidth="1"/>
    <col min="13" max="14" width="6.5" customWidth="1"/>
    <col min="15" max="15" width="6.625" customWidth="1"/>
    <col min="16" max="28" width="7.75" customWidth="1"/>
  </cols>
  <sheetData>
    <row r="1" spans="1:28">
      <c r="A1" s="1"/>
      <c r="B1" s="1"/>
      <c r="C1" s="39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"/>
      <c r="B2" s="435" t="s">
        <v>529</v>
      </c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7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"/>
      <c r="B3" s="435" t="s">
        <v>530</v>
      </c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7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"/>
      <c r="B4" s="1"/>
      <c r="C4" s="39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"/>
      <c r="B5" s="33" t="s">
        <v>531</v>
      </c>
      <c r="C5" s="42" t="s">
        <v>532</v>
      </c>
      <c r="D5" s="33" t="s">
        <v>533</v>
      </c>
      <c r="E5" s="33" t="s">
        <v>534</v>
      </c>
      <c r="F5" s="33" t="s">
        <v>535</v>
      </c>
      <c r="G5" s="33" t="s">
        <v>536</v>
      </c>
      <c r="H5" s="33" t="s">
        <v>537</v>
      </c>
      <c r="I5" s="33" t="s">
        <v>538</v>
      </c>
      <c r="J5" s="33" t="s">
        <v>539</v>
      </c>
      <c r="K5" s="33" t="s">
        <v>540</v>
      </c>
      <c r="L5" s="33" t="s">
        <v>541</v>
      </c>
      <c r="M5" s="33" t="s">
        <v>542</v>
      </c>
      <c r="N5" s="33" t="s">
        <v>543</v>
      </c>
      <c r="O5" s="33" t="s">
        <v>99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"/>
      <c r="B6" s="13">
        <v>1</v>
      </c>
      <c r="C6" s="39">
        <v>300</v>
      </c>
      <c r="D6" s="39">
        <v>334</v>
      </c>
      <c r="E6" s="39">
        <v>339</v>
      </c>
      <c r="F6" s="39">
        <v>341</v>
      </c>
      <c r="G6" s="39">
        <v>354</v>
      </c>
      <c r="H6" s="39">
        <v>443</v>
      </c>
      <c r="I6" s="39">
        <v>364</v>
      </c>
      <c r="J6" s="39">
        <v>414</v>
      </c>
      <c r="K6" s="39">
        <v>314</v>
      </c>
      <c r="L6" s="39">
        <v>444</v>
      </c>
      <c r="M6" s="39">
        <v>384</v>
      </c>
      <c r="N6" s="39">
        <v>337</v>
      </c>
      <c r="O6" s="39">
        <f t="shared" ref="O6:O10" si="0">SUM(C6:N6)</f>
        <v>4368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"/>
      <c r="B7" s="13">
        <v>2</v>
      </c>
      <c r="C7" s="39">
        <f>C18</f>
        <v>399.40909090909093</v>
      </c>
      <c r="D7" s="39">
        <f>D18</f>
        <v>404.85664335664342</v>
      </c>
      <c r="E7" s="39">
        <f t="shared" ref="E7:N7" si="1">E18</f>
        <v>410.30419580419584</v>
      </c>
      <c r="F7" s="39">
        <f t="shared" si="1"/>
        <v>415.75174825174827</v>
      </c>
      <c r="G7" s="39">
        <f t="shared" si="1"/>
        <v>421.19930069930075</v>
      </c>
      <c r="H7" s="39">
        <f t="shared" si="1"/>
        <v>426.64685314685318</v>
      </c>
      <c r="I7" s="39">
        <f t="shared" si="1"/>
        <v>432.09440559440566</v>
      </c>
      <c r="J7" s="39">
        <f t="shared" si="1"/>
        <v>437.54195804195808</v>
      </c>
      <c r="K7" s="39">
        <f t="shared" si="1"/>
        <v>442.98951048951051</v>
      </c>
      <c r="L7" s="39">
        <f t="shared" si="1"/>
        <v>448.43706293706293</v>
      </c>
      <c r="M7" s="39">
        <f t="shared" si="1"/>
        <v>453.88461538461542</v>
      </c>
      <c r="N7" s="39">
        <f t="shared" si="1"/>
        <v>459.3321678321679</v>
      </c>
      <c r="O7" s="39">
        <f t="shared" si="0"/>
        <v>5152.4475524475529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"/>
      <c r="B8" s="13">
        <v>3</v>
      </c>
      <c r="C8" s="39">
        <f t="shared" ref="C8:N8" si="2">C21</f>
        <v>464.77972027972032</v>
      </c>
      <c r="D8" s="39">
        <f t="shared" si="2"/>
        <v>470.22727272727275</v>
      </c>
      <c r="E8" s="39">
        <f t="shared" si="2"/>
        <v>475.67482517482517</v>
      </c>
      <c r="F8" s="39">
        <f>F21</f>
        <v>481.1223776223776</v>
      </c>
      <c r="G8" s="39">
        <f t="shared" si="2"/>
        <v>486.56993006993008</v>
      </c>
      <c r="H8" s="39">
        <f t="shared" si="2"/>
        <v>492.01748251748251</v>
      </c>
      <c r="I8" s="39">
        <f t="shared" si="2"/>
        <v>497.46503496503499</v>
      </c>
      <c r="J8" s="39">
        <f t="shared" si="2"/>
        <v>502.91258741258741</v>
      </c>
      <c r="K8" s="39">
        <f t="shared" si="2"/>
        <v>508.36013986013984</v>
      </c>
      <c r="L8" s="39">
        <f t="shared" si="2"/>
        <v>513.80769230769238</v>
      </c>
      <c r="M8" s="39">
        <f t="shared" si="2"/>
        <v>519.2552447552448</v>
      </c>
      <c r="N8" s="39">
        <f t="shared" si="2"/>
        <v>524.70279720279723</v>
      </c>
      <c r="O8" s="39">
        <f t="shared" si="0"/>
        <v>5936.8951048951058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"/>
      <c r="B9" s="13">
        <v>4</v>
      </c>
      <c r="C9" s="39">
        <f t="shared" ref="C9:N9" si="3">C24</f>
        <v>530.15034965034977</v>
      </c>
      <c r="D9" s="39">
        <f t="shared" si="3"/>
        <v>535.59790209790219</v>
      </c>
      <c r="E9" s="39">
        <f t="shared" si="3"/>
        <v>541.04545454545473</v>
      </c>
      <c r="F9" s="39">
        <f t="shared" si="3"/>
        <v>546.49300699300716</v>
      </c>
      <c r="G9" s="39">
        <f t="shared" si="3"/>
        <v>551.94055944055958</v>
      </c>
      <c r="H9" s="39">
        <f t="shared" si="3"/>
        <v>557.38811188811201</v>
      </c>
      <c r="I9" s="39">
        <f t="shared" si="3"/>
        <v>562.83566433566443</v>
      </c>
      <c r="J9" s="39">
        <f t="shared" si="3"/>
        <v>568.28321678321686</v>
      </c>
      <c r="K9" s="39">
        <f t="shared" si="3"/>
        <v>573.7307692307694</v>
      </c>
      <c r="L9" s="39">
        <f t="shared" si="3"/>
        <v>579.17832167832182</v>
      </c>
      <c r="M9" s="39">
        <f t="shared" si="3"/>
        <v>584.62587412587436</v>
      </c>
      <c r="N9" s="39">
        <f t="shared" si="3"/>
        <v>590.07342657342679</v>
      </c>
      <c r="O9" s="39">
        <f t="shared" si="0"/>
        <v>6721.3426573426586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"/>
      <c r="B10" s="149">
        <v>5</v>
      </c>
      <c r="C10" s="150">
        <f t="shared" ref="C10:N10" si="4">C27</f>
        <v>595.52097902097921</v>
      </c>
      <c r="D10" s="150">
        <f t="shared" si="4"/>
        <v>600.96853146853164</v>
      </c>
      <c r="E10" s="150">
        <f t="shared" si="4"/>
        <v>606.41608391608406</v>
      </c>
      <c r="F10" s="150">
        <f t="shared" si="4"/>
        <v>611.86363636363649</v>
      </c>
      <c r="G10" s="150">
        <f t="shared" si="4"/>
        <v>617.31118881118891</v>
      </c>
      <c r="H10" s="150">
        <f t="shared" si="4"/>
        <v>622.75874125874145</v>
      </c>
      <c r="I10" s="150">
        <f t="shared" si="4"/>
        <v>628.20629370629399</v>
      </c>
      <c r="J10" s="150">
        <f t="shared" si="4"/>
        <v>633.65384615384642</v>
      </c>
      <c r="K10" s="150">
        <f t="shared" si="4"/>
        <v>639.10139860139884</v>
      </c>
      <c r="L10" s="150">
        <f t="shared" si="4"/>
        <v>644.54895104895127</v>
      </c>
      <c r="M10" s="150">
        <f t="shared" si="4"/>
        <v>649.99650349650369</v>
      </c>
      <c r="N10" s="150">
        <f t="shared" si="4"/>
        <v>655.44405594405612</v>
      </c>
      <c r="O10" s="150">
        <f t="shared" si="0"/>
        <v>7505.7902097902124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"/>
      <c r="B11" s="1"/>
      <c r="C11" s="39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idden="1">
      <c r="A12" s="1"/>
      <c r="B12" s="458" t="s">
        <v>544</v>
      </c>
      <c r="C12" s="436"/>
      <c r="D12" s="436"/>
      <c r="E12" s="436"/>
      <c r="F12" s="436"/>
      <c r="G12" s="436"/>
      <c r="H12" s="436"/>
      <c r="I12" s="436"/>
      <c r="J12" s="436"/>
      <c r="K12" s="436"/>
      <c r="L12" s="436"/>
      <c r="M12" s="436"/>
      <c r="N12" s="4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idden="1">
      <c r="A13" s="1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idden="1">
      <c r="A14" s="1"/>
      <c r="B14" s="151" t="s">
        <v>545</v>
      </c>
      <c r="C14" s="152">
        <v>1</v>
      </c>
      <c r="D14" s="153">
        <v>2</v>
      </c>
      <c r="E14" s="153">
        <v>3</v>
      </c>
      <c r="F14" s="152">
        <v>4</v>
      </c>
      <c r="G14" s="153">
        <v>5</v>
      </c>
      <c r="H14" s="153">
        <v>6</v>
      </c>
      <c r="I14" s="152">
        <v>7</v>
      </c>
      <c r="J14" s="153">
        <v>8</v>
      </c>
      <c r="K14" s="153">
        <v>9</v>
      </c>
      <c r="L14" s="152">
        <v>10</v>
      </c>
      <c r="M14" s="153">
        <v>11</v>
      </c>
      <c r="N14" s="153">
        <v>12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idden="1">
      <c r="A15" s="1"/>
      <c r="B15" s="1" t="s">
        <v>521</v>
      </c>
      <c r="C15" s="39">
        <f t="shared" ref="C15:N15" si="5">C6</f>
        <v>300</v>
      </c>
      <c r="D15" s="39">
        <f t="shared" si="5"/>
        <v>334</v>
      </c>
      <c r="E15" s="39">
        <f t="shared" si="5"/>
        <v>339</v>
      </c>
      <c r="F15" s="39">
        <f t="shared" si="5"/>
        <v>341</v>
      </c>
      <c r="G15" s="39">
        <f t="shared" si="5"/>
        <v>354</v>
      </c>
      <c r="H15" s="39">
        <f t="shared" si="5"/>
        <v>443</v>
      </c>
      <c r="I15" s="39">
        <f t="shared" si="5"/>
        <v>364</v>
      </c>
      <c r="J15" s="39">
        <f t="shared" si="5"/>
        <v>414</v>
      </c>
      <c r="K15" s="39">
        <f t="shared" si="5"/>
        <v>314</v>
      </c>
      <c r="L15" s="39">
        <f t="shared" si="5"/>
        <v>444</v>
      </c>
      <c r="M15" s="39">
        <f t="shared" si="5"/>
        <v>384</v>
      </c>
      <c r="N15" s="39">
        <f t="shared" si="5"/>
        <v>337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5.25" hidden="1" customHeight="1">
      <c r="A16" s="1"/>
      <c r="B16" s="1"/>
      <c r="C16" s="3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idden="1">
      <c r="A17" s="1"/>
      <c r="B17" s="151" t="s">
        <v>545</v>
      </c>
      <c r="C17" s="152">
        <v>13</v>
      </c>
      <c r="D17" s="153">
        <v>14</v>
      </c>
      <c r="E17" s="152">
        <v>15</v>
      </c>
      <c r="F17" s="153">
        <v>16</v>
      </c>
      <c r="G17" s="152">
        <v>17</v>
      </c>
      <c r="H17" s="153">
        <v>18</v>
      </c>
      <c r="I17" s="152">
        <v>19</v>
      </c>
      <c r="J17" s="153">
        <v>20</v>
      </c>
      <c r="K17" s="152">
        <v>21</v>
      </c>
      <c r="L17" s="153">
        <v>22</v>
      </c>
      <c r="M17" s="152">
        <v>23</v>
      </c>
      <c r="N17" s="153">
        <v>24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idden="1">
      <c r="A18" s="1"/>
      <c r="B18" s="1" t="s">
        <v>521</v>
      </c>
      <c r="C18" s="39">
        <f t="array" ref="C18:N18">_xlfn.FORECAST.LINEAR(C17:N17,C15:N15,C14:N14)</f>
        <v>399.40909090909093</v>
      </c>
      <c r="D18" s="39">
        <v>404.85664335664342</v>
      </c>
      <c r="E18" s="39">
        <v>410.30419580419584</v>
      </c>
      <c r="F18" s="39">
        <v>415.75174825174827</v>
      </c>
      <c r="G18" s="39">
        <v>421.19930069930075</v>
      </c>
      <c r="H18" s="39">
        <v>426.64685314685318</v>
      </c>
      <c r="I18" s="39">
        <v>432.09440559440566</v>
      </c>
      <c r="J18" s="39">
        <v>437.54195804195808</v>
      </c>
      <c r="K18" s="39">
        <v>442.98951048951051</v>
      </c>
      <c r="L18" s="39">
        <v>448.43706293706293</v>
      </c>
      <c r="M18" s="39">
        <v>453.88461538461542</v>
      </c>
      <c r="N18" s="39">
        <v>459.3321678321679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5.25" hidden="1" customHeight="1">
      <c r="A19" s="1"/>
      <c r="B19" s="1"/>
      <c r="C19" s="3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idden="1">
      <c r="A20" s="1"/>
      <c r="B20" s="151" t="s">
        <v>545</v>
      </c>
      <c r="C20" s="152">
        <v>25</v>
      </c>
      <c r="D20" s="153">
        <v>26</v>
      </c>
      <c r="E20" s="152">
        <v>27</v>
      </c>
      <c r="F20" s="153">
        <v>28</v>
      </c>
      <c r="G20" s="152">
        <v>29</v>
      </c>
      <c r="H20" s="153">
        <v>30</v>
      </c>
      <c r="I20" s="152">
        <v>31</v>
      </c>
      <c r="J20" s="153">
        <v>32</v>
      </c>
      <c r="K20" s="152">
        <v>33</v>
      </c>
      <c r="L20" s="153">
        <v>34</v>
      </c>
      <c r="M20" s="152">
        <v>35</v>
      </c>
      <c r="N20" s="153">
        <v>36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hidden="1" customHeight="1">
      <c r="A21" s="1"/>
      <c r="B21" s="1" t="s">
        <v>521</v>
      </c>
      <c r="C21" s="39">
        <f t="array" ref="C21:N21">_xlfn.FORECAST.LINEAR(C20:N20,C18:N18,C17:N17)</f>
        <v>464.77972027972032</v>
      </c>
      <c r="D21" s="39">
        <v>470.22727272727275</v>
      </c>
      <c r="E21" s="39">
        <v>475.67482517482517</v>
      </c>
      <c r="F21" s="39">
        <v>481.1223776223776</v>
      </c>
      <c r="G21" s="39">
        <v>486.56993006993008</v>
      </c>
      <c r="H21" s="39">
        <v>492.01748251748251</v>
      </c>
      <c r="I21" s="39">
        <v>497.46503496503499</v>
      </c>
      <c r="J21" s="39">
        <v>502.91258741258741</v>
      </c>
      <c r="K21" s="39">
        <v>508.36013986013984</v>
      </c>
      <c r="L21" s="39">
        <v>513.80769230769238</v>
      </c>
      <c r="M21" s="39">
        <v>519.2552447552448</v>
      </c>
      <c r="N21" s="39">
        <v>524.70279720279723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5.25" hidden="1" customHeight="1">
      <c r="A22" s="1"/>
      <c r="B22" s="1"/>
      <c r="C22" s="3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hidden="1" customHeight="1">
      <c r="A23" s="1"/>
      <c r="B23" s="151" t="s">
        <v>545</v>
      </c>
      <c r="C23" s="152">
        <v>37</v>
      </c>
      <c r="D23" s="153">
        <v>38</v>
      </c>
      <c r="E23" s="152">
        <v>39</v>
      </c>
      <c r="F23" s="153">
        <v>40</v>
      </c>
      <c r="G23" s="152">
        <v>41</v>
      </c>
      <c r="H23" s="153">
        <v>42</v>
      </c>
      <c r="I23" s="152">
        <v>43</v>
      </c>
      <c r="J23" s="153">
        <v>44</v>
      </c>
      <c r="K23" s="152">
        <v>45</v>
      </c>
      <c r="L23" s="153">
        <v>46</v>
      </c>
      <c r="M23" s="152">
        <v>47</v>
      </c>
      <c r="N23" s="153">
        <v>48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hidden="1" customHeight="1">
      <c r="A24" s="1"/>
      <c r="B24" s="1" t="s">
        <v>521</v>
      </c>
      <c r="C24" s="39">
        <f t="array" ref="C24:N24">_xlfn.FORECAST.LINEAR(C23:N23,C21:N21,C20:N20)</f>
        <v>530.15034965034977</v>
      </c>
      <c r="D24" s="39">
        <v>535.59790209790219</v>
      </c>
      <c r="E24" s="39">
        <v>541.04545454545473</v>
      </c>
      <c r="F24" s="39">
        <v>546.49300699300716</v>
      </c>
      <c r="G24" s="39">
        <v>551.94055944055958</v>
      </c>
      <c r="H24" s="39">
        <v>557.38811188811201</v>
      </c>
      <c r="I24" s="39">
        <v>562.83566433566443</v>
      </c>
      <c r="J24" s="39">
        <v>568.28321678321686</v>
      </c>
      <c r="K24" s="39">
        <v>573.7307692307694</v>
      </c>
      <c r="L24" s="39">
        <v>579.17832167832182</v>
      </c>
      <c r="M24" s="39">
        <v>584.62587412587436</v>
      </c>
      <c r="N24" s="39">
        <v>590.07342657342679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5.25" hidden="1" customHeight="1">
      <c r="A25" s="1"/>
      <c r="B25" s="1"/>
      <c r="C25" s="3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hidden="1" customHeight="1">
      <c r="A26" s="1"/>
      <c r="B26" s="151" t="s">
        <v>545</v>
      </c>
      <c r="C26" s="152">
        <v>49</v>
      </c>
      <c r="D26" s="153">
        <v>50</v>
      </c>
      <c r="E26" s="152">
        <v>51</v>
      </c>
      <c r="F26" s="153">
        <v>52</v>
      </c>
      <c r="G26" s="152">
        <v>53</v>
      </c>
      <c r="H26" s="153">
        <v>54</v>
      </c>
      <c r="I26" s="152">
        <v>55</v>
      </c>
      <c r="J26" s="153">
        <v>56</v>
      </c>
      <c r="K26" s="152">
        <v>57</v>
      </c>
      <c r="L26" s="153">
        <v>58</v>
      </c>
      <c r="M26" s="152">
        <v>59</v>
      </c>
      <c r="N26" s="153">
        <v>60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hidden="1" customHeight="1">
      <c r="A27" s="1"/>
      <c r="B27" s="1" t="s">
        <v>545</v>
      </c>
      <c r="C27" s="39">
        <f t="array" ref="C27:N27">_xlfn.FORECAST.LINEAR(C26:N26,C24:N24,C23:N23)</f>
        <v>595.52097902097921</v>
      </c>
      <c r="D27" s="39">
        <v>600.96853146853164</v>
      </c>
      <c r="E27" s="39">
        <v>606.41608391608406</v>
      </c>
      <c r="F27" s="39">
        <v>611.86363636363649</v>
      </c>
      <c r="G27" s="39">
        <v>617.31118881118891</v>
      </c>
      <c r="H27" s="39">
        <v>622.75874125874145</v>
      </c>
      <c r="I27" s="39">
        <v>628.20629370629399</v>
      </c>
      <c r="J27" s="39">
        <v>633.65384615384642</v>
      </c>
      <c r="K27" s="39">
        <v>639.10139860139884</v>
      </c>
      <c r="L27" s="39">
        <v>644.54895104895127</v>
      </c>
      <c r="M27" s="39">
        <v>649.99650349650369</v>
      </c>
      <c r="N27" s="39">
        <v>655.44405594405612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>
      <c r="A28" s="1"/>
      <c r="B28" s="1"/>
      <c r="C28" s="3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>
      <c r="A29" s="1"/>
      <c r="B29" s="1"/>
      <c r="C29" s="3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1"/>
      <c r="B30" s="1"/>
      <c r="C30" s="3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>
      <c r="A31" s="1"/>
      <c r="B31" s="1"/>
      <c r="C31" s="3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1"/>
      <c r="B32" s="1"/>
      <c r="C32" s="3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>
      <c r="A33" s="1"/>
      <c r="B33" s="1"/>
      <c r="C33" s="3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1"/>
      <c r="B34" s="1"/>
      <c r="C34" s="3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1"/>
      <c r="B35" s="1"/>
      <c r="C35" s="3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1"/>
      <c r="B36" s="1"/>
      <c r="C36" s="3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1"/>
      <c r="B37" s="1"/>
      <c r="C37" s="3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>
      <c r="A38" s="1"/>
      <c r="B38" s="1"/>
      <c r="C38" s="39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"/>
      <c r="B39" s="1"/>
      <c r="C39" s="39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"/>
      <c r="B40" s="1"/>
      <c r="C40" s="39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"/>
      <c r="B41" s="1"/>
      <c r="C41" s="39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"/>
      <c r="B42" s="1"/>
      <c r="C42" s="39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"/>
      <c r="B43" s="1"/>
      <c r="C43" s="39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"/>
      <c r="B44" s="1"/>
      <c r="C44" s="3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"/>
      <c r="B45" s="1"/>
      <c r="C45" s="39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"/>
      <c r="B46" s="1"/>
      <c r="C46" s="39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"/>
      <c r="B47" s="1"/>
      <c r="C47" s="39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"/>
      <c r="B48" s="1"/>
      <c r="C48" s="39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39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39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39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39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39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39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39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39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39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39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39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39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39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39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39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39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39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39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39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39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39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39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39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39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39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39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39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39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39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39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39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39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39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39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39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39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39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39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39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39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39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39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39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39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39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39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39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39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39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39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39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39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39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39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39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39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39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39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39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39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39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39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39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39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39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39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39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39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39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39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39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39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3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39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39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39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39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39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39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39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39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39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39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39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39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39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39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39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39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3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3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39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39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39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3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3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3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3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3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3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3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39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39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39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3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39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39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39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39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39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39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39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39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39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39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39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39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39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39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39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39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39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39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39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39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39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39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39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39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39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39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39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39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39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39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39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39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39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39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39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39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39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39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39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39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39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39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39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39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39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39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39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39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39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39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39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39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39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39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39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39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39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39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39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39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39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39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39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39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39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39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39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39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39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39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39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39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39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39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39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39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39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39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39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39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39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39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39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39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39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39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39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39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39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39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39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39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39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39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39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39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39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39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39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39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39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39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39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39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39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39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39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39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39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39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39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39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39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39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39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39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39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39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39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39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39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39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39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39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39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39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39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39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39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39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39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39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39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39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39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39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39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39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39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39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39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39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39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39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39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39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39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39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39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39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39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39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39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39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39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39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39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39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39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39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39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39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39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39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39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39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39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39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39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39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39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39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39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39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39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39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39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39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39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39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39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39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39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39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39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39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39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39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39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39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39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39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39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39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39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39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39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39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39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39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39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39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39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39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39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39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39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39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39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39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39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39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39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39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39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39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39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39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39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39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39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39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39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39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39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39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39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39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39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39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39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39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39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39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39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39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39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39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39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39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39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39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39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39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39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39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39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39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39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39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39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39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39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39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39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39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39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39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39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39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39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39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39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39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39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39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39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39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39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39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39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39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39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39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39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39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39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39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39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39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39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39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39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39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39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39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39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39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39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39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39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39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39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39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39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39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39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39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39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39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39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39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39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39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39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39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39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39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39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39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39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39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39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39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39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39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39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39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39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39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39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39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39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39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39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39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39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39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39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39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39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39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39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39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39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39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39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39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39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39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39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39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39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39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39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39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39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39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39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39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39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39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39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39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39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39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39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39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39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39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39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39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39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39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39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39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39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39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39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39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39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39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39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39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39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39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39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39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39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39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39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39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39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39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39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39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39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39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39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39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39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39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39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39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39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39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39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39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39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39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39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39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39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39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39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39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39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39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39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39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39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39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39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39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39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39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39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39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39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39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39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39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39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39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39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39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39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39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39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39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39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39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39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39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39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39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39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39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39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39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39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39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39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39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39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39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39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39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39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39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39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39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39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39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39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39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39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39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39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39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39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39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39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39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39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39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39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39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39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39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39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39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39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39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39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39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39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39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39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39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39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39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39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39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39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39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39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39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39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39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39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39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39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39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39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39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39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39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39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39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39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39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39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39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39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39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39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39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39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39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39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39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39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39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39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39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39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39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39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39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39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39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39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39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39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39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39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39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39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39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39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39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39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39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39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39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39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39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39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39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39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39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39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39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39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39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39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39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39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39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39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39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39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39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39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39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39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39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39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39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39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39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39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39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39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39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39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39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39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39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39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39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39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39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39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39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39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39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39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39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39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39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39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39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39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39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39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39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39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39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39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39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39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39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39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39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39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39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39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39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39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39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39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39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39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39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39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39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39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39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39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39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39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39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39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39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39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39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39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39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39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39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39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39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39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39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39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39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39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39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39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39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39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39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39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39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39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39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39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39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39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39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39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39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39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39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39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39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39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39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39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39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39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39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39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39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39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39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39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39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39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39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39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39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39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39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39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39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39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39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39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39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39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39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39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39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39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39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39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39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39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39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39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39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39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39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39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39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39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39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39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39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39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39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39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39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39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39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39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39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39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39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39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39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39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39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39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39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39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39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39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39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39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39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39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39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39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39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39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39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39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39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39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39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39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39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39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39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39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39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39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39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39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39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39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39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39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39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39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39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39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39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39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39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39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39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39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39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39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39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39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39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39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39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39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39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39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39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39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39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39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39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39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39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39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39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39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39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39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39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39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39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39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39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39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39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39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39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39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39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39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39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39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39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39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39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39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39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39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39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39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39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39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39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39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39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39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39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39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39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39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39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39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39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39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39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39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39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39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39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39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39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39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39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39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39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39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39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39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39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39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39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39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39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39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39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39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39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39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39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39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39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39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39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39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39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39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39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39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39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39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39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39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39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39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39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39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3">
    <mergeCell ref="B2:O2"/>
    <mergeCell ref="B3:O3"/>
    <mergeCell ref="B12:N12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98F98"/>
  </sheetPr>
  <dimension ref="A1:Z1000"/>
  <sheetViews>
    <sheetView showGridLines="0" workbookViewId="0">
      <selection activeCell="C6" sqref="C6"/>
    </sheetView>
  </sheetViews>
  <sheetFormatPr baseColWidth="10" defaultColWidth="12.625" defaultRowHeight="15" customHeight="1"/>
  <cols>
    <col min="1" max="1" width="2.5" customWidth="1"/>
    <col min="2" max="2" width="7.75" customWidth="1"/>
    <col min="3" max="3" width="7.875" customWidth="1"/>
    <col min="4" max="4" width="9.5" customWidth="1"/>
    <col min="5" max="15" width="10.125" customWidth="1"/>
    <col min="16" max="16" width="11.25" customWidth="1"/>
    <col min="17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546</v>
      </c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7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35" t="s">
        <v>547</v>
      </c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7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5">
      <c r="A5" s="1"/>
      <c r="B5" s="33" t="s">
        <v>531</v>
      </c>
      <c r="C5" s="37" t="s">
        <v>548</v>
      </c>
      <c r="D5" s="33" t="s">
        <v>532</v>
      </c>
      <c r="E5" s="33" t="s">
        <v>533</v>
      </c>
      <c r="F5" s="33" t="s">
        <v>534</v>
      </c>
      <c r="G5" s="33" t="s">
        <v>535</v>
      </c>
      <c r="H5" s="33" t="s">
        <v>536</v>
      </c>
      <c r="I5" s="33" t="s">
        <v>537</v>
      </c>
      <c r="J5" s="33" t="s">
        <v>538</v>
      </c>
      <c r="K5" s="33" t="s">
        <v>539</v>
      </c>
      <c r="L5" s="33" t="s">
        <v>540</v>
      </c>
      <c r="M5" s="33" t="s">
        <v>541</v>
      </c>
      <c r="N5" s="33" t="s">
        <v>542</v>
      </c>
      <c r="O5" s="33" t="s">
        <v>543</v>
      </c>
      <c r="P5" s="33" t="s">
        <v>99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3">
        <v>1</v>
      </c>
      <c r="C6" s="154">
        <f>Resumen!H8</f>
        <v>45</v>
      </c>
      <c r="D6" s="39">
        <f>$C$6*Venta_Unidades!C6</f>
        <v>13500</v>
      </c>
      <c r="E6" s="39">
        <f>$C$6*Venta_Unidades!D6</f>
        <v>15030</v>
      </c>
      <c r="F6" s="39">
        <f>$C$6*Venta_Unidades!E6</f>
        <v>15255</v>
      </c>
      <c r="G6" s="39">
        <f>$C$6*Venta_Unidades!F6</f>
        <v>15345</v>
      </c>
      <c r="H6" s="39">
        <f>$C$6*Venta_Unidades!G6</f>
        <v>15930</v>
      </c>
      <c r="I6" s="39">
        <f>$C$6*Venta_Unidades!H6</f>
        <v>19935</v>
      </c>
      <c r="J6" s="39">
        <f>$C$6*Venta_Unidades!I6</f>
        <v>16380</v>
      </c>
      <c r="K6" s="39">
        <f>$C$6*Venta_Unidades!J6</f>
        <v>18630</v>
      </c>
      <c r="L6" s="39">
        <f>$C$6*Venta_Unidades!K6</f>
        <v>14130</v>
      </c>
      <c r="M6" s="39">
        <f>$C$6*Venta_Unidades!L6</f>
        <v>19980</v>
      </c>
      <c r="N6" s="39">
        <f>$C$6*Venta_Unidades!M6</f>
        <v>17280</v>
      </c>
      <c r="O6" s="39">
        <f>$C$6*Venta_Unidades!N6</f>
        <v>15165</v>
      </c>
      <c r="P6" s="39">
        <f t="shared" ref="P6:P10" si="0">SUM(D6:O6)</f>
        <v>196560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3">
        <v>2</v>
      </c>
      <c r="C7" s="154">
        <f t="shared" ref="C7:C10" si="1">C6</f>
        <v>45</v>
      </c>
      <c r="D7" s="39">
        <f>$C$6*Venta_Unidades!C7</f>
        <v>17973.409090909092</v>
      </c>
      <c r="E7" s="39">
        <f>$C$6*Venta_Unidades!D7</f>
        <v>18218.548951048953</v>
      </c>
      <c r="F7" s="39">
        <f>$C$6*Venta_Unidades!E7</f>
        <v>18463.688811188811</v>
      </c>
      <c r="G7" s="39">
        <f>$C$6*Venta_Unidades!F7</f>
        <v>18708.828671328672</v>
      </c>
      <c r="H7" s="39">
        <f>$C$6*Venta_Unidades!G7</f>
        <v>18953.968531468534</v>
      </c>
      <c r="I7" s="39">
        <f>$C$6*Venta_Unidades!H7</f>
        <v>19199.108391608392</v>
      </c>
      <c r="J7" s="39">
        <f>$C$6*Venta_Unidades!I7</f>
        <v>19444.248251748253</v>
      </c>
      <c r="K7" s="39">
        <f>$C$6*Venta_Unidades!J7</f>
        <v>19689.388111888115</v>
      </c>
      <c r="L7" s="39">
        <f>$C$6*Venta_Unidades!K7</f>
        <v>19934.527972027972</v>
      </c>
      <c r="M7" s="39">
        <f>$C$6*Venta_Unidades!L7</f>
        <v>20179.667832167834</v>
      </c>
      <c r="N7" s="39">
        <f>$C$6*Venta_Unidades!M7</f>
        <v>20424.807692307695</v>
      </c>
      <c r="O7" s="39">
        <f>$C$6*Venta_Unidades!N7</f>
        <v>20669.947552447557</v>
      </c>
      <c r="P7" s="39">
        <f t="shared" si="0"/>
        <v>231860.13986013987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3">
        <v>3</v>
      </c>
      <c r="C8" s="154">
        <f t="shared" si="1"/>
        <v>45</v>
      </c>
      <c r="D8" s="39">
        <f>$C$6*Venta_Unidades!C8</f>
        <v>20915.087412587414</v>
      </c>
      <c r="E8" s="39">
        <f>$C$6*Venta_Unidades!D8</f>
        <v>21160.227272727272</v>
      </c>
      <c r="F8" s="39">
        <f>$C$6*Venta_Unidades!E8</f>
        <v>21405.367132867133</v>
      </c>
      <c r="G8" s="39">
        <f>$C$6*Venta_Unidades!F8</f>
        <v>21650.506993006991</v>
      </c>
      <c r="H8" s="39">
        <f>$C$6*Venta_Unidades!G8</f>
        <v>21895.646853146853</v>
      </c>
      <c r="I8" s="39">
        <f>$C$6*Venta_Unidades!H8</f>
        <v>22140.786713286714</v>
      </c>
      <c r="J8" s="39">
        <f>$C$6*Venta_Unidades!I8</f>
        <v>22385.926573426575</v>
      </c>
      <c r="K8" s="39">
        <f>$C$6*Venta_Unidades!J8</f>
        <v>22631.066433566433</v>
      </c>
      <c r="L8" s="39">
        <f>$C$6*Venta_Unidades!K8</f>
        <v>22876.206293706291</v>
      </c>
      <c r="M8" s="39">
        <f>$C$6*Venta_Unidades!L8</f>
        <v>23121.346153846156</v>
      </c>
      <c r="N8" s="39">
        <f>$C$6*Venta_Unidades!M8</f>
        <v>23366.486013986017</v>
      </c>
      <c r="O8" s="39">
        <f>$C$6*Venta_Unidades!N8</f>
        <v>23611.625874125875</v>
      </c>
      <c r="P8" s="39">
        <f t="shared" si="0"/>
        <v>267160.27972027974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3">
        <v>4</v>
      </c>
      <c r="C9" s="154">
        <f t="shared" si="1"/>
        <v>45</v>
      </c>
      <c r="D9" s="39">
        <f>$C$6*Venta_Unidades!C9</f>
        <v>23856.76573426574</v>
      </c>
      <c r="E9" s="39">
        <f>$C$6*Venta_Unidades!D9</f>
        <v>24101.905594405598</v>
      </c>
      <c r="F9" s="39">
        <f>$C$6*Venta_Unidades!E9</f>
        <v>24347.045454545463</v>
      </c>
      <c r="G9" s="39">
        <f>$C$6*Venta_Unidades!F9</f>
        <v>24592.185314685321</v>
      </c>
      <c r="H9" s="39">
        <f>$C$6*Venta_Unidades!G9</f>
        <v>24837.325174825182</v>
      </c>
      <c r="I9" s="39">
        <f>$C$6*Venta_Unidades!H9</f>
        <v>25082.46503496504</v>
      </c>
      <c r="J9" s="39">
        <f>$C$6*Venta_Unidades!I9</f>
        <v>25327.604895104898</v>
      </c>
      <c r="K9" s="39">
        <f>$C$6*Venta_Unidades!J9</f>
        <v>25572.744755244759</v>
      </c>
      <c r="L9" s="39">
        <f>$C$6*Venta_Unidades!K9</f>
        <v>25817.884615384624</v>
      </c>
      <c r="M9" s="39">
        <f>$C$6*Venta_Unidades!L9</f>
        <v>26063.024475524482</v>
      </c>
      <c r="N9" s="39">
        <f>$C$6*Venta_Unidades!M9</f>
        <v>26308.164335664347</v>
      </c>
      <c r="O9" s="39">
        <f>$C$6*Venta_Unidades!N9</f>
        <v>26553.304195804205</v>
      </c>
      <c r="P9" s="39">
        <f t="shared" si="0"/>
        <v>302460.41958041966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49">
        <v>5</v>
      </c>
      <c r="C10" s="155">
        <f t="shared" si="1"/>
        <v>45</v>
      </c>
      <c r="D10" s="150">
        <f>$C$6*Venta_Unidades!C10</f>
        <v>26798.444055944063</v>
      </c>
      <c r="E10" s="150">
        <f>$C$6*Venta_Unidades!D10</f>
        <v>27043.583916083924</v>
      </c>
      <c r="F10" s="150">
        <f>$C$6*Venta_Unidades!E10</f>
        <v>27288.723776223782</v>
      </c>
      <c r="G10" s="150">
        <f>$C$6*Venta_Unidades!F10</f>
        <v>27533.863636363643</v>
      </c>
      <c r="H10" s="150">
        <f>$C$6*Venta_Unidades!G10</f>
        <v>27779.003496503501</v>
      </c>
      <c r="I10" s="150">
        <f>$C$6*Venta_Unidades!H10</f>
        <v>28024.143356643366</v>
      </c>
      <c r="J10" s="150">
        <f>$C$6*Venta_Unidades!I10</f>
        <v>28269.283216783231</v>
      </c>
      <c r="K10" s="150">
        <f>$C$6*Venta_Unidades!J10</f>
        <v>28514.423076923089</v>
      </c>
      <c r="L10" s="150">
        <f>$C$6*Venta_Unidades!K10</f>
        <v>28759.562937062947</v>
      </c>
      <c r="M10" s="150">
        <f>$C$6*Venta_Unidades!L10</f>
        <v>29004.702797202808</v>
      </c>
      <c r="N10" s="150">
        <f>$C$6*Venta_Unidades!M10</f>
        <v>29249.842657342666</v>
      </c>
      <c r="O10" s="150">
        <f>$C$6*Venta_Unidades!N10</f>
        <v>29494.982517482524</v>
      </c>
      <c r="P10" s="150">
        <f t="shared" si="0"/>
        <v>337760.55944055953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56" t="s">
        <v>549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2:P2"/>
    <mergeCell ref="B3:P3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98F98"/>
  </sheetPr>
  <dimension ref="A1:Z1000"/>
  <sheetViews>
    <sheetView showGridLines="0" workbookViewId="0">
      <selection activeCell="B25" sqref="B25"/>
    </sheetView>
  </sheetViews>
  <sheetFormatPr baseColWidth="10" defaultColWidth="12.625" defaultRowHeight="15" customHeight="1"/>
  <cols>
    <col min="1" max="1" width="2.5" customWidth="1"/>
    <col min="2" max="2" width="42.625" customWidth="1"/>
    <col min="3" max="8" width="12" customWidth="1"/>
    <col min="9" max="9" width="7.75" customWidth="1"/>
    <col min="10" max="10" width="42.625" customWidth="1"/>
    <col min="11" max="16" width="12" customWidth="1"/>
    <col min="17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550</v>
      </c>
      <c r="C2" s="436"/>
      <c r="D2" s="436"/>
      <c r="E2" s="436"/>
      <c r="F2" s="436"/>
      <c r="G2" s="436"/>
      <c r="H2" s="43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35" t="s">
        <v>551</v>
      </c>
      <c r="C3" s="436"/>
      <c r="D3" s="436"/>
      <c r="E3" s="436"/>
      <c r="F3" s="436"/>
      <c r="G3" s="436"/>
      <c r="H3" s="43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459"/>
      <c r="C4" s="431"/>
      <c r="D4" s="431"/>
      <c r="E4" s="431"/>
      <c r="F4" s="431"/>
      <c r="G4" s="431"/>
      <c r="H4" s="43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442" t="s">
        <v>552</v>
      </c>
      <c r="C5" s="435" t="s">
        <v>553</v>
      </c>
      <c r="D5" s="436"/>
      <c r="E5" s="436"/>
      <c r="F5" s="437"/>
      <c r="G5" s="435" t="s">
        <v>554</v>
      </c>
      <c r="H5" s="437"/>
      <c r="I5" s="1"/>
      <c r="J5" s="442" t="str">
        <f t="shared" ref="J5:K5" si="0">B5</f>
        <v>RUBRO</v>
      </c>
      <c r="K5" s="435" t="str">
        <f t="shared" si="0"/>
        <v>INVERSIÓN INICIAL</v>
      </c>
      <c r="L5" s="436"/>
      <c r="M5" s="436"/>
      <c r="N5" s="437"/>
      <c r="O5" s="435" t="str">
        <f>G5</f>
        <v>FINANCIAMIENTO</v>
      </c>
      <c r="P5" s="437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>
      <c r="A6" s="1"/>
      <c r="B6" s="443"/>
      <c r="C6" s="37" t="s">
        <v>555</v>
      </c>
      <c r="D6" s="37" t="s">
        <v>556</v>
      </c>
      <c r="E6" s="37" t="s">
        <v>548</v>
      </c>
      <c r="F6" s="37" t="s">
        <v>47</v>
      </c>
      <c r="G6" s="37" t="s">
        <v>424</v>
      </c>
      <c r="H6" s="37" t="s">
        <v>557</v>
      </c>
      <c r="I6" s="1"/>
      <c r="J6" s="443"/>
      <c r="K6" s="37" t="str">
        <f t="shared" ref="K6:P6" si="1">C6</f>
        <v>Unidad de Medida</v>
      </c>
      <c r="L6" s="37" t="str">
        <f t="shared" si="1"/>
        <v>Unidad Requerida</v>
      </c>
      <c r="M6" s="37" t="str">
        <f t="shared" si="1"/>
        <v>Valor Unitario</v>
      </c>
      <c r="N6" s="37" t="str">
        <f t="shared" si="1"/>
        <v>Total</v>
      </c>
      <c r="O6" s="37" t="str">
        <f t="shared" si="1"/>
        <v>Capital Propio</v>
      </c>
      <c r="P6" s="37" t="str">
        <f t="shared" si="1"/>
        <v>Préstamo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57" t="s">
        <v>558</v>
      </c>
      <c r="C7" s="158"/>
      <c r="D7" s="159"/>
      <c r="E7" s="160"/>
      <c r="F7" s="161">
        <f>F8+F11+F19+F22</f>
        <v>10838</v>
      </c>
      <c r="G7" s="161"/>
      <c r="H7" s="161"/>
      <c r="I7" s="1"/>
      <c r="J7" s="157" t="str">
        <f t="shared" ref="J7:J29" si="2">B7</f>
        <v>A. ACTIVO TANGIBLE</v>
      </c>
      <c r="K7" s="158"/>
      <c r="L7" s="159"/>
      <c r="M7" s="160"/>
      <c r="N7" s="161">
        <f>F7</f>
        <v>10838</v>
      </c>
      <c r="O7" s="161"/>
      <c r="P7" s="16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1" t="s">
        <v>559</v>
      </c>
      <c r="C8" s="11"/>
      <c r="D8" s="39"/>
      <c r="E8" s="40"/>
      <c r="F8" s="79">
        <f>SUM(F9:F10)</f>
        <v>1527</v>
      </c>
      <c r="G8" s="40"/>
      <c r="H8" s="40"/>
      <c r="I8" s="1"/>
      <c r="J8" s="51" t="str">
        <f t="shared" si="2"/>
        <v>Maquinarias y equipos</v>
      </c>
      <c r="K8" s="11"/>
      <c r="L8" s="39"/>
      <c r="M8" s="40">
        <f t="shared" ref="M8:N8" si="3">E8</f>
        <v>0</v>
      </c>
      <c r="N8" s="79">
        <f t="shared" si="3"/>
        <v>1527</v>
      </c>
      <c r="O8" s="40"/>
      <c r="P8" s="40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1" t="s">
        <v>560</v>
      </c>
      <c r="C9" s="11" t="s">
        <v>120</v>
      </c>
      <c r="D9" s="39">
        <f>'Estudio ADEK'!C24</f>
        <v>1</v>
      </c>
      <c r="E9" s="40">
        <f>'Estudio ADEK'!D24</f>
        <v>1500</v>
      </c>
      <c r="F9" s="40">
        <f>'Estudio ADEK'!E24</f>
        <v>1500</v>
      </c>
      <c r="G9" s="40"/>
      <c r="H9" s="40"/>
      <c r="I9" s="1"/>
      <c r="J9" s="11" t="str">
        <f t="shared" si="2"/>
        <v>Plancha Plana(Estampado)</v>
      </c>
      <c r="K9" s="11" t="str">
        <f t="shared" ref="K9:N9" si="4">C9</f>
        <v>Unidad</v>
      </c>
      <c r="L9" s="39">
        <f t="shared" si="4"/>
        <v>1</v>
      </c>
      <c r="M9" s="40">
        <f t="shared" si="4"/>
        <v>1500</v>
      </c>
      <c r="N9" s="40">
        <f t="shared" si="4"/>
        <v>1500</v>
      </c>
      <c r="O9" s="40"/>
      <c r="P9" s="40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1" t="s">
        <v>54</v>
      </c>
      <c r="C10" s="11" t="s">
        <v>120</v>
      </c>
      <c r="D10" s="39">
        <f>'Estudio ADEK'!C25</f>
        <v>1</v>
      </c>
      <c r="E10" s="40">
        <f>'Estudio ADEK'!D25</f>
        <v>27</v>
      </c>
      <c r="F10" s="40">
        <f>'Estudio ADEK'!E25</f>
        <v>27</v>
      </c>
      <c r="G10" s="40"/>
      <c r="H10" s="40"/>
      <c r="I10" s="1"/>
      <c r="J10" s="11" t="str">
        <f t="shared" si="2"/>
        <v xml:space="preserve">Pistola Etiquetadora Textil </v>
      </c>
      <c r="K10" s="11" t="str">
        <f t="shared" ref="K10:N10" si="5">C10</f>
        <v>Unidad</v>
      </c>
      <c r="L10" s="39">
        <f t="shared" si="5"/>
        <v>1</v>
      </c>
      <c r="M10" s="40">
        <f t="shared" si="5"/>
        <v>27</v>
      </c>
      <c r="N10" s="40">
        <f t="shared" si="5"/>
        <v>27</v>
      </c>
      <c r="O10" s="40"/>
      <c r="P10" s="40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51" t="s">
        <v>561</v>
      </c>
      <c r="C11" s="11"/>
      <c r="D11" s="39"/>
      <c r="E11" s="40"/>
      <c r="F11" s="79">
        <f>SUM(F12:F18)</f>
        <v>554</v>
      </c>
      <c r="G11" s="40"/>
      <c r="H11" s="40"/>
      <c r="I11" s="1"/>
      <c r="J11" s="51" t="str">
        <f t="shared" si="2"/>
        <v>Muebles y enseres</v>
      </c>
      <c r="K11" s="11"/>
      <c r="L11" s="39"/>
      <c r="M11" s="40"/>
      <c r="N11" s="79">
        <f>F11</f>
        <v>554</v>
      </c>
      <c r="O11" s="40"/>
      <c r="P11" s="40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1" t="s">
        <v>62</v>
      </c>
      <c r="C12" s="11" t="s">
        <v>120</v>
      </c>
      <c r="D12" s="39">
        <f>'Estudio ADEK'!C41</f>
        <v>1</v>
      </c>
      <c r="E12" s="40">
        <f>'Estudio ADEK'!D41</f>
        <v>130</v>
      </c>
      <c r="F12" s="40">
        <f>'Estudio ADEK'!E41</f>
        <v>130</v>
      </c>
      <c r="G12" s="40"/>
      <c r="H12" s="40"/>
      <c r="I12" s="1"/>
      <c r="J12" s="11" t="str">
        <f t="shared" si="2"/>
        <v>Escritorio para computador</v>
      </c>
      <c r="K12" s="11" t="str">
        <f t="shared" ref="K12:N12" si="6">C12</f>
        <v>Unidad</v>
      </c>
      <c r="L12" s="39">
        <f t="shared" si="6"/>
        <v>1</v>
      </c>
      <c r="M12" s="40">
        <f t="shared" si="6"/>
        <v>130</v>
      </c>
      <c r="N12" s="40">
        <f t="shared" si="6"/>
        <v>130</v>
      </c>
      <c r="O12" s="40"/>
      <c r="P12" s="40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1" t="s">
        <v>63</v>
      </c>
      <c r="C13" s="11" t="s">
        <v>120</v>
      </c>
      <c r="D13" s="39">
        <f>'Estudio ADEK'!C42</f>
        <v>1</v>
      </c>
      <c r="E13" s="40">
        <f>'Estudio ADEK'!D42</f>
        <v>50</v>
      </c>
      <c r="F13" s="40">
        <f>'Estudio ADEK'!E42</f>
        <v>50</v>
      </c>
      <c r="G13" s="40"/>
      <c r="H13" s="40"/>
      <c r="I13" s="1"/>
      <c r="J13" s="11" t="str">
        <f t="shared" si="2"/>
        <v>Silla de escritorio</v>
      </c>
      <c r="K13" s="11" t="str">
        <f t="shared" ref="K13:N13" si="7">C13</f>
        <v>Unidad</v>
      </c>
      <c r="L13" s="39">
        <f t="shared" si="7"/>
        <v>1</v>
      </c>
      <c r="M13" s="40">
        <f t="shared" si="7"/>
        <v>50</v>
      </c>
      <c r="N13" s="40">
        <f t="shared" si="7"/>
        <v>50</v>
      </c>
      <c r="O13" s="40"/>
      <c r="P13" s="40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1" t="s">
        <v>562</v>
      </c>
      <c r="C14" s="11" t="s">
        <v>120</v>
      </c>
      <c r="D14" s="39">
        <f>'Estudio ADEK'!C43</f>
        <v>2</v>
      </c>
      <c r="E14" s="40">
        <f>'Estudio ADEK'!D43</f>
        <v>30</v>
      </c>
      <c r="F14" s="40">
        <f>'Estudio ADEK'!E43</f>
        <v>60</v>
      </c>
      <c r="G14" s="40"/>
      <c r="H14" s="40"/>
      <c r="I14" s="1"/>
      <c r="J14" s="11" t="str">
        <f t="shared" si="2"/>
        <v xml:space="preserve">Silla </v>
      </c>
      <c r="K14" s="11" t="str">
        <f t="shared" ref="K14:N14" si="8">C14</f>
        <v>Unidad</v>
      </c>
      <c r="L14" s="39">
        <f t="shared" si="8"/>
        <v>2</v>
      </c>
      <c r="M14" s="40">
        <f t="shared" si="8"/>
        <v>30</v>
      </c>
      <c r="N14" s="40">
        <f t="shared" si="8"/>
        <v>60</v>
      </c>
      <c r="O14" s="40"/>
      <c r="P14" s="40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1" t="s">
        <v>65</v>
      </c>
      <c r="C15" s="11" t="s">
        <v>120</v>
      </c>
      <c r="D15" s="39">
        <f>'Estudio ADEK'!C44</f>
        <v>1</v>
      </c>
      <c r="E15" s="40">
        <f>'Estudio ADEK'!D44</f>
        <v>220</v>
      </c>
      <c r="F15" s="40">
        <f>'Estudio ADEK'!E44</f>
        <v>220</v>
      </c>
      <c r="G15" s="40"/>
      <c r="H15" s="40"/>
      <c r="I15" s="1"/>
      <c r="J15" s="11" t="str">
        <f t="shared" si="2"/>
        <v xml:space="preserve">Exhibidor de polos </v>
      </c>
      <c r="K15" s="11" t="str">
        <f t="shared" ref="K15:N15" si="9">C15</f>
        <v>Unidad</v>
      </c>
      <c r="L15" s="39">
        <f t="shared" si="9"/>
        <v>1</v>
      </c>
      <c r="M15" s="40">
        <f t="shared" si="9"/>
        <v>220</v>
      </c>
      <c r="N15" s="40">
        <f t="shared" si="9"/>
        <v>220</v>
      </c>
      <c r="O15" s="40"/>
      <c r="P15" s="40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1" t="s">
        <v>66</v>
      </c>
      <c r="C16" s="11" t="s">
        <v>120</v>
      </c>
      <c r="D16" s="39">
        <f>'Estudio ADEK'!C45</f>
        <v>1</v>
      </c>
      <c r="E16" s="40">
        <f>'Estudio ADEK'!D45</f>
        <v>15</v>
      </c>
      <c r="F16" s="40">
        <f>'Estudio ADEK'!E45</f>
        <v>15</v>
      </c>
      <c r="G16" s="40"/>
      <c r="H16" s="40"/>
      <c r="I16" s="1"/>
      <c r="J16" s="11" t="str">
        <f t="shared" si="2"/>
        <v>Espejo para vestidor</v>
      </c>
      <c r="K16" s="11" t="str">
        <f t="shared" ref="K16:N16" si="10">C16</f>
        <v>Unidad</v>
      </c>
      <c r="L16" s="39">
        <f t="shared" si="10"/>
        <v>1</v>
      </c>
      <c r="M16" s="40">
        <f t="shared" si="10"/>
        <v>15</v>
      </c>
      <c r="N16" s="40">
        <f t="shared" si="10"/>
        <v>15</v>
      </c>
      <c r="O16" s="40"/>
      <c r="P16" s="40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1" t="s">
        <v>67</v>
      </c>
      <c r="C17" s="11" t="s">
        <v>120</v>
      </c>
      <c r="D17" s="39">
        <f>'Estudio ADEK'!C46</f>
        <v>1</v>
      </c>
      <c r="E17" s="40">
        <f>'Estudio ADEK'!D46</f>
        <v>49</v>
      </c>
      <c r="F17" s="40">
        <f>'Estudio ADEK'!E46</f>
        <v>49</v>
      </c>
      <c r="G17" s="40"/>
      <c r="H17" s="40"/>
      <c r="I17" s="1"/>
      <c r="J17" s="11" t="str">
        <f t="shared" si="2"/>
        <v>Probador vestidor de metal</v>
      </c>
      <c r="K17" s="11" t="str">
        <f t="shared" ref="K17:N17" si="11">C17</f>
        <v>Unidad</v>
      </c>
      <c r="L17" s="39">
        <f t="shared" si="11"/>
        <v>1</v>
      </c>
      <c r="M17" s="40">
        <f t="shared" si="11"/>
        <v>49</v>
      </c>
      <c r="N17" s="40">
        <f t="shared" si="11"/>
        <v>49</v>
      </c>
      <c r="O17" s="40"/>
      <c r="P17" s="40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1" t="s">
        <v>68</v>
      </c>
      <c r="C18" s="11" t="s">
        <v>120</v>
      </c>
      <c r="D18" s="39">
        <f>'Estudio ADEK'!C47</f>
        <v>1</v>
      </c>
      <c r="E18" s="40">
        <f>'Estudio ADEK'!D47</f>
        <v>30</v>
      </c>
      <c r="F18" s="40">
        <f>'Estudio ADEK'!E47</f>
        <v>30</v>
      </c>
      <c r="G18" s="40"/>
      <c r="H18" s="40"/>
      <c r="I18" s="1"/>
      <c r="J18" s="11" t="str">
        <f t="shared" si="2"/>
        <v>Cortina de vestidor de polos</v>
      </c>
      <c r="K18" s="11" t="str">
        <f t="shared" ref="K18:N18" si="12">C18</f>
        <v>Unidad</v>
      </c>
      <c r="L18" s="39">
        <f t="shared" si="12"/>
        <v>1</v>
      </c>
      <c r="M18" s="40">
        <f t="shared" si="12"/>
        <v>30</v>
      </c>
      <c r="N18" s="40">
        <f t="shared" si="12"/>
        <v>30</v>
      </c>
      <c r="O18" s="40"/>
      <c r="P18" s="40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51" t="s">
        <v>563</v>
      </c>
      <c r="C19" s="11"/>
      <c r="D19" s="39"/>
      <c r="E19" s="40"/>
      <c r="F19" s="79">
        <f>SUM(F20:F21)</f>
        <v>5357</v>
      </c>
      <c r="G19" s="40"/>
      <c r="H19" s="40"/>
      <c r="I19" s="1"/>
      <c r="J19" s="51" t="str">
        <f t="shared" si="2"/>
        <v>Equipo informático</v>
      </c>
      <c r="K19" s="11"/>
      <c r="L19" s="39"/>
      <c r="M19" s="40"/>
      <c r="N19" s="79">
        <f>F19</f>
        <v>5357</v>
      </c>
      <c r="O19" s="40"/>
      <c r="P19" s="40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1" t="s">
        <v>51</v>
      </c>
      <c r="C20" s="11" t="s">
        <v>120</v>
      </c>
      <c r="D20" s="39">
        <f>'Estudio ADEK'!C22</f>
        <v>2</v>
      </c>
      <c r="E20" s="40">
        <f>'Estudio ADEK'!D22</f>
        <v>1899</v>
      </c>
      <c r="F20" s="40">
        <f>'Estudio ADEK'!E22</f>
        <v>3798</v>
      </c>
      <c r="G20" s="40"/>
      <c r="H20" s="40"/>
      <c r="I20" s="1"/>
      <c r="J20" s="11" t="str">
        <f t="shared" si="2"/>
        <v>Computadora portátil Laptop</v>
      </c>
      <c r="K20" s="11" t="str">
        <f t="shared" ref="K20:N20" si="13">C20</f>
        <v>Unidad</v>
      </c>
      <c r="L20" s="39">
        <f t="shared" si="13"/>
        <v>2</v>
      </c>
      <c r="M20" s="40">
        <f t="shared" si="13"/>
        <v>1899</v>
      </c>
      <c r="N20" s="40">
        <f t="shared" si="13"/>
        <v>3798</v>
      </c>
      <c r="O20" s="40"/>
      <c r="P20" s="40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1" t="s">
        <v>564</v>
      </c>
      <c r="C21" s="11" t="s">
        <v>120</v>
      </c>
      <c r="D21" s="39">
        <f>'Estudio ADEK'!C23</f>
        <v>1</v>
      </c>
      <c r="E21" s="40">
        <f>'Estudio ADEK'!D23</f>
        <v>1559</v>
      </c>
      <c r="F21" s="40">
        <f>'Estudio ADEK'!E23</f>
        <v>1559</v>
      </c>
      <c r="G21" s="40"/>
      <c r="H21" s="40"/>
      <c r="I21" s="1"/>
      <c r="J21" s="11" t="str">
        <f t="shared" si="2"/>
        <v xml:space="preserve">Impresora </v>
      </c>
      <c r="K21" s="11" t="str">
        <f t="shared" ref="K21:N21" si="14">C21</f>
        <v>Unidad</v>
      </c>
      <c r="L21" s="39">
        <f t="shared" si="14"/>
        <v>1</v>
      </c>
      <c r="M21" s="40">
        <f t="shared" si="14"/>
        <v>1559</v>
      </c>
      <c r="N21" s="40">
        <f t="shared" si="14"/>
        <v>1559</v>
      </c>
      <c r="O21" s="40"/>
      <c r="P21" s="40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51" t="s">
        <v>565</v>
      </c>
      <c r="C22" s="11"/>
      <c r="D22" s="39"/>
      <c r="E22" s="40"/>
      <c r="F22" s="79">
        <f>F23</f>
        <v>3400</v>
      </c>
      <c r="G22" s="40"/>
      <c r="H22" s="40"/>
      <c r="I22" s="1"/>
      <c r="J22" s="51" t="str">
        <f t="shared" si="2"/>
        <v>Vehículos</v>
      </c>
      <c r="K22" s="11"/>
      <c r="L22" s="39"/>
      <c r="M22" s="40"/>
      <c r="N22" s="79">
        <f>F22</f>
        <v>3400</v>
      </c>
      <c r="O22" s="40"/>
      <c r="P22" s="40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1" t="s">
        <v>69</v>
      </c>
      <c r="C23" s="11" t="s">
        <v>120</v>
      </c>
      <c r="D23" s="39">
        <f>'Estudio ADEK'!C48</f>
        <v>1</v>
      </c>
      <c r="E23" s="40">
        <f>'Estudio ADEK'!D48</f>
        <v>3400</v>
      </c>
      <c r="F23" s="40">
        <f>'Estudio ADEK'!E48</f>
        <v>3400</v>
      </c>
      <c r="G23" s="40"/>
      <c r="H23" s="40"/>
      <c r="I23" s="1"/>
      <c r="J23" s="11" t="str">
        <f t="shared" si="2"/>
        <v>Moto lineal (eléctrica)</v>
      </c>
      <c r="K23" s="11" t="str">
        <f t="shared" ref="K23:N23" si="15">C23</f>
        <v>Unidad</v>
      </c>
      <c r="L23" s="39">
        <f t="shared" si="15"/>
        <v>1</v>
      </c>
      <c r="M23" s="40">
        <f t="shared" si="15"/>
        <v>3400</v>
      </c>
      <c r="N23" s="40">
        <f t="shared" si="15"/>
        <v>3400</v>
      </c>
      <c r="O23" s="40"/>
      <c r="P23" s="40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57" t="s">
        <v>566</v>
      </c>
      <c r="C24" s="162"/>
      <c r="D24" s="163"/>
      <c r="E24" s="160"/>
      <c r="F24" s="164">
        <f>SUM(F25:F28)</f>
        <v>1116.99</v>
      </c>
      <c r="G24" s="160"/>
      <c r="H24" s="160"/>
      <c r="I24" s="1"/>
      <c r="J24" s="157" t="str">
        <f t="shared" si="2"/>
        <v>B. INTANGIBLES</v>
      </c>
      <c r="K24" s="162"/>
      <c r="L24" s="163"/>
      <c r="M24" s="160"/>
      <c r="N24" s="164">
        <f>F24</f>
        <v>1116.99</v>
      </c>
      <c r="O24" s="160"/>
      <c r="P24" s="160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1" t="s">
        <v>73</v>
      </c>
      <c r="C25" s="11" t="s">
        <v>567</v>
      </c>
      <c r="D25" s="39">
        <v>1</v>
      </c>
      <c r="E25" s="40">
        <f>'Estudio ADEK'!E56</f>
        <v>534.99</v>
      </c>
      <c r="F25" s="40">
        <f t="shared" ref="F25:F28" si="16">D25*E25</f>
        <v>534.99</v>
      </c>
      <c r="G25" s="40"/>
      <c r="H25" s="40"/>
      <c r="I25" s="1"/>
      <c r="J25" s="11" t="str">
        <f t="shared" si="2"/>
        <v>REGISTRO DE MARCA Y LOGO</v>
      </c>
      <c r="K25" s="11" t="str">
        <f t="shared" ref="K25:N25" si="17">C25</f>
        <v>Documento</v>
      </c>
      <c r="L25" s="39">
        <f t="shared" si="17"/>
        <v>1</v>
      </c>
      <c r="M25" s="40">
        <f t="shared" si="17"/>
        <v>534.99</v>
      </c>
      <c r="N25" s="40">
        <f t="shared" si="17"/>
        <v>534.99</v>
      </c>
      <c r="O25" s="40"/>
      <c r="P25" s="40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1" t="s">
        <v>74</v>
      </c>
      <c r="C26" s="11" t="s">
        <v>567</v>
      </c>
      <c r="D26" s="39">
        <v>1</v>
      </c>
      <c r="E26" s="40">
        <f>'Estudio ADEK'!E57</f>
        <v>477</v>
      </c>
      <c r="F26" s="40">
        <f t="shared" si="16"/>
        <v>477</v>
      </c>
      <c r="G26" s="40"/>
      <c r="H26" s="40"/>
      <c r="I26" s="1"/>
      <c r="J26" s="11" t="str">
        <f t="shared" si="2"/>
        <v>CONSTITUCIÓN DE LA EMPRESA</v>
      </c>
      <c r="K26" s="11" t="str">
        <f t="shared" ref="K26:N26" si="18">C26</f>
        <v>Documento</v>
      </c>
      <c r="L26" s="39">
        <f t="shared" si="18"/>
        <v>1</v>
      </c>
      <c r="M26" s="40">
        <f t="shared" si="18"/>
        <v>477</v>
      </c>
      <c r="N26" s="40">
        <f t="shared" si="18"/>
        <v>477</v>
      </c>
      <c r="O26" s="40"/>
      <c r="P26" s="40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1" t="s">
        <v>75</v>
      </c>
      <c r="C27" s="11" t="s">
        <v>567</v>
      </c>
      <c r="D27" s="39">
        <v>1</v>
      </c>
      <c r="E27" s="40">
        <f>'Estudio ADEK'!E58</f>
        <v>60</v>
      </c>
      <c r="F27" s="40">
        <f t="shared" si="16"/>
        <v>60</v>
      </c>
      <c r="G27" s="40"/>
      <c r="H27" s="40"/>
      <c r="I27" s="1"/>
      <c r="J27" s="11" t="str">
        <f t="shared" si="2"/>
        <v>CAPACITACIÓN AL PERSONAL</v>
      </c>
      <c r="K27" s="11" t="str">
        <f t="shared" ref="K27:N27" si="19">C27</f>
        <v>Documento</v>
      </c>
      <c r="L27" s="39">
        <f t="shared" si="19"/>
        <v>1</v>
      </c>
      <c r="M27" s="40">
        <f t="shared" si="19"/>
        <v>60</v>
      </c>
      <c r="N27" s="40">
        <f t="shared" si="19"/>
        <v>60</v>
      </c>
      <c r="O27" s="40"/>
      <c r="P27" s="4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1" t="s">
        <v>76</v>
      </c>
      <c r="C28" s="11" t="s">
        <v>567</v>
      </c>
      <c r="D28" s="39">
        <v>1</v>
      </c>
      <c r="E28" s="40">
        <f>'Estudio ADEK'!E59</f>
        <v>45</v>
      </c>
      <c r="F28" s="40">
        <f t="shared" si="16"/>
        <v>45</v>
      </c>
      <c r="G28" s="40"/>
      <c r="H28" s="40"/>
      <c r="I28" s="1"/>
      <c r="J28" s="11" t="str">
        <f t="shared" si="2"/>
        <v>INSCRIPCIÓN EN SUNARP</v>
      </c>
      <c r="K28" s="11" t="str">
        <f t="shared" ref="K28:N28" si="20">C28</f>
        <v>Documento</v>
      </c>
      <c r="L28" s="39">
        <f t="shared" si="20"/>
        <v>1</v>
      </c>
      <c r="M28" s="40">
        <f t="shared" si="20"/>
        <v>45</v>
      </c>
      <c r="N28" s="40">
        <f t="shared" si="20"/>
        <v>45</v>
      </c>
      <c r="O28" s="40"/>
      <c r="P28" s="40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76" t="s">
        <v>568</v>
      </c>
      <c r="C29" s="10"/>
      <c r="D29" s="82"/>
      <c r="E29" s="83"/>
      <c r="F29" s="77">
        <f>F24+F7</f>
        <v>11954.99</v>
      </c>
      <c r="G29" s="77"/>
      <c r="H29" s="77"/>
      <c r="I29" s="1"/>
      <c r="J29" s="76" t="str">
        <f t="shared" si="2"/>
        <v>TOTAL DE ACTIVO FIJO</v>
      </c>
      <c r="K29" s="10"/>
      <c r="L29" s="82"/>
      <c r="M29" s="83"/>
      <c r="N29" s="77">
        <f>F29</f>
        <v>11954.99</v>
      </c>
      <c r="O29" s="77"/>
      <c r="P29" s="77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57" t="s">
        <v>569</v>
      </c>
      <c r="C30" s="162"/>
      <c r="D30" s="163"/>
      <c r="E30" s="160"/>
      <c r="F30" s="164">
        <f>'Estudio ADEK'!C340</f>
        <v>11764.913333333332</v>
      </c>
      <c r="G30" s="160"/>
      <c r="H30" s="160"/>
      <c r="I30" s="1"/>
      <c r="J30" s="157" t="s">
        <v>570</v>
      </c>
      <c r="K30" s="162"/>
      <c r="L30" s="163"/>
      <c r="M30" s="160"/>
      <c r="N30" s="164"/>
      <c r="O30" s="160"/>
      <c r="P30" s="160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1" t="s">
        <v>571</v>
      </c>
      <c r="C31" s="11" t="s">
        <v>572</v>
      </c>
      <c r="D31" s="39">
        <v>1</v>
      </c>
      <c r="E31" s="40">
        <f>'Estudio ADEK'!G322</f>
        <v>5230.3999999999996</v>
      </c>
      <c r="F31" s="40">
        <f t="shared" ref="F31:F35" si="21">D31*E31</f>
        <v>5230.3999999999996</v>
      </c>
      <c r="G31" s="40"/>
      <c r="H31" s="40"/>
      <c r="I31" s="1"/>
      <c r="J31" s="11" t="s">
        <v>573</v>
      </c>
      <c r="K31" s="11" t="s">
        <v>574</v>
      </c>
      <c r="L31" s="39">
        <v>1</v>
      </c>
      <c r="M31" s="40">
        <f>'KW_Año 1'!P12</f>
        <v>12336.332666666667</v>
      </c>
      <c r="N31" s="40">
        <f>L31*M31</f>
        <v>12336.332666666667</v>
      </c>
      <c r="O31" s="40"/>
      <c r="P31" s="40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1" t="s">
        <v>575</v>
      </c>
      <c r="C32" s="11" t="s">
        <v>572</v>
      </c>
      <c r="D32" s="39">
        <v>1</v>
      </c>
      <c r="E32" s="40">
        <f>'Estudio ADEK'!G323</f>
        <v>2115</v>
      </c>
      <c r="F32" s="40">
        <f t="shared" si="21"/>
        <v>2115</v>
      </c>
      <c r="G32" s="40"/>
      <c r="H32" s="40"/>
      <c r="I32" s="1"/>
      <c r="J32" s="11"/>
      <c r="K32" s="11"/>
      <c r="L32" s="39"/>
      <c r="M32" s="40"/>
      <c r="N32" s="40"/>
      <c r="O32" s="40"/>
      <c r="P32" s="40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1" t="s">
        <v>576</v>
      </c>
      <c r="C33" s="11" t="s">
        <v>572</v>
      </c>
      <c r="D33" s="39">
        <v>1</v>
      </c>
      <c r="E33" s="40">
        <f>'Estudio ADEK'!G324</f>
        <v>248.6583333333333</v>
      </c>
      <c r="F33" s="40">
        <f t="shared" si="21"/>
        <v>248.6583333333333</v>
      </c>
      <c r="G33" s="40"/>
      <c r="H33" s="40"/>
      <c r="I33" s="1"/>
      <c r="J33" s="11"/>
      <c r="K33" s="11"/>
      <c r="L33" s="39"/>
      <c r="M33" s="40"/>
      <c r="N33" s="40"/>
      <c r="O33" s="40"/>
      <c r="P33" s="40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1" t="s">
        <v>188</v>
      </c>
      <c r="C34" s="11" t="s">
        <v>572</v>
      </c>
      <c r="D34" s="39">
        <v>1</v>
      </c>
      <c r="E34" s="40">
        <f>'Estudio ADEK'!C324</f>
        <v>2393.0561825396826</v>
      </c>
      <c r="F34" s="40">
        <f t="shared" si="21"/>
        <v>2393.0561825396826</v>
      </c>
      <c r="G34" s="40"/>
      <c r="H34" s="40"/>
      <c r="I34" s="1"/>
      <c r="J34" s="11"/>
      <c r="K34" s="11"/>
      <c r="L34" s="39"/>
      <c r="M34" s="40"/>
      <c r="N34" s="40"/>
      <c r="O34" s="40"/>
      <c r="P34" s="40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1" t="s">
        <v>193</v>
      </c>
      <c r="C35" s="11" t="s">
        <v>572</v>
      </c>
      <c r="D35" s="39">
        <v>1</v>
      </c>
      <c r="E35" s="40">
        <f>'Estudio ADEK'!C325</f>
        <v>1770</v>
      </c>
      <c r="F35" s="40">
        <f t="shared" si="21"/>
        <v>1770</v>
      </c>
      <c r="G35" s="40"/>
      <c r="H35" s="40"/>
      <c r="I35" s="1"/>
      <c r="J35" s="11"/>
      <c r="K35" s="11"/>
      <c r="L35" s="39"/>
      <c r="M35" s="40"/>
      <c r="N35" s="40"/>
      <c r="O35" s="40"/>
      <c r="P35" s="40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76" t="s">
        <v>577</v>
      </c>
      <c r="C36" s="10"/>
      <c r="D36" s="82"/>
      <c r="E36" s="77"/>
      <c r="F36" s="77">
        <f>SUM(F31:F35)</f>
        <v>11757.114515873014</v>
      </c>
      <c r="G36" s="77"/>
      <c r="H36" s="77"/>
      <c r="I36" s="1"/>
      <c r="J36" s="76" t="str">
        <f t="shared" ref="J36:J37" si="22">B36</f>
        <v>TOTAL DE CAPITAL DE TRABAJO</v>
      </c>
      <c r="K36" s="10"/>
      <c r="L36" s="82"/>
      <c r="M36" s="77">
        <f>E36</f>
        <v>0</v>
      </c>
      <c r="N36" s="77">
        <f>SUM(N31:N35)</f>
        <v>12336.332666666667</v>
      </c>
      <c r="O36" s="77"/>
      <c r="P36" s="77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78" t="s">
        <v>578</v>
      </c>
      <c r="C37" s="165"/>
      <c r="D37" s="44"/>
      <c r="E37" s="43"/>
      <c r="F37" s="43">
        <f>F29+F30</f>
        <v>23719.903333333332</v>
      </c>
      <c r="G37" s="43">
        <f>F37*C39</f>
        <v>5719.9033333333318</v>
      </c>
      <c r="H37" s="43">
        <f>F37*C40</f>
        <v>18000</v>
      </c>
      <c r="I37" s="1"/>
      <c r="J37" s="78" t="str">
        <f t="shared" si="22"/>
        <v>TOTAL DE INVERSIÓN</v>
      </c>
      <c r="K37" s="165"/>
      <c r="L37" s="44"/>
      <c r="M37" s="43"/>
      <c r="N37" s="43">
        <f>N29+M31</f>
        <v>24291.322666666667</v>
      </c>
      <c r="O37" s="43">
        <f t="shared" ref="O37:P37" si="23">G37</f>
        <v>5719.9033333333318</v>
      </c>
      <c r="P37" s="43">
        <f t="shared" si="23"/>
        <v>18000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 t="s">
        <v>579</v>
      </c>
      <c r="C39" s="28">
        <f>100%-C40</f>
        <v>0.24114361905072401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 t="s">
        <v>557</v>
      </c>
      <c r="C40" s="28">
        <f>'Estudio ADEK'!C517</f>
        <v>0.75885638094927599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K5:N5"/>
    <mergeCell ref="O5:P5"/>
    <mergeCell ref="B2:H2"/>
    <mergeCell ref="B3:H3"/>
    <mergeCell ref="B4:H4"/>
    <mergeCell ref="B5:B6"/>
    <mergeCell ref="C5:F5"/>
    <mergeCell ref="G5:H5"/>
    <mergeCell ref="J5:J6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98F98"/>
  </sheetPr>
  <dimension ref="A1:Z1000"/>
  <sheetViews>
    <sheetView showGridLines="0" workbookViewId="0">
      <selection activeCell="H25" sqref="H25"/>
    </sheetView>
  </sheetViews>
  <sheetFormatPr baseColWidth="10" defaultColWidth="12.625" defaultRowHeight="15" customHeight="1"/>
  <cols>
    <col min="1" max="1" width="2.375" customWidth="1"/>
    <col min="2" max="2" width="42.625" customWidth="1"/>
    <col min="3" max="8" width="15.5" customWidth="1"/>
    <col min="9" max="9" width="2.375" customWidth="1"/>
    <col min="10" max="12" width="15.5" customWidth="1"/>
    <col min="13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580</v>
      </c>
      <c r="C2" s="436"/>
      <c r="D2" s="436"/>
      <c r="E2" s="436"/>
      <c r="F2" s="436"/>
      <c r="G2" s="436"/>
      <c r="H2" s="43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35" t="s">
        <v>581</v>
      </c>
      <c r="C3" s="436"/>
      <c r="D3" s="436"/>
      <c r="E3" s="436"/>
      <c r="F3" s="436"/>
      <c r="G3" s="436"/>
      <c r="H3" s="43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>
      <c r="A5" s="1"/>
      <c r="B5" s="37" t="s">
        <v>582</v>
      </c>
      <c r="C5" s="37" t="s">
        <v>583</v>
      </c>
      <c r="D5" s="37" t="s">
        <v>584</v>
      </c>
      <c r="E5" s="37" t="s">
        <v>585</v>
      </c>
      <c r="F5" s="37" t="s">
        <v>586</v>
      </c>
      <c r="G5" s="37" t="s">
        <v>587</v>
      </c>
      <c r="H5" s="37" t="s">
        <v>588</v>
      </c>
      <c r="I5" s="1"/>
      <c r="J5" s="37" t="s">
        <v>589</v>
      </c>
      <c r="K5" s="37" t="s">
        <v>590</v>
      </c>
      <c r="L5" s="37" t="s">
        <v>591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66" t="s">
        <v>592</v>
      </c>
      <c r="C6" s="167">
        <f>SUM(C7:C8)</f>
        <v>1527</v>
      </c>
      <c r="D6" s="168" t="s">
        <v>593</v>
      </c>
      <c r="E6" s="167"/>
      <c r="F6" s="167">
        <f>SUM(F7:F8)</f>
        <v>305.39999999999998</v>
      </c>
      <c r="G6" s="167"/>
      <c r="H6" s="167">
        <f>SUM(H7:H8)</f>
        <v>0</v>
      </c>
      <c r="I6" s="169"/>
      <c r="J6" s="167">
        <f t="shared" ref="J6:L6" si="0">SUM(J7:J8)</f>
        <v>534.45000000000005</v>
      </c>
      <c r="K6" s="167">
        <f t="shared" si="0"/>
        <v>0</v>
      </c>
      <c r="L6" s="167">
        <f t="shared" si="0"/>
        <v>534.45000000000005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70" t="str">
        <f>'Estudio ADEK'!B119</f>
        <v xml:space="preserve">Plancha Plana(Estampado) </v>
      </c>
      <c r="C7" s="171">
        <f>'Estudio ADEK'!E24</f>
        <v>1500</v>
      </c>
      <c r="D7" s="172">
        <f>'Estudio ADEK'!C119</f>
        <v>5</v>
      </c>
      <c r="E7" s="171">
        <f t="shared" ref="E7:E8" si="1">1/D7</f>
        <v>0.2</v>
      </c>
      <c r="F7" s="171">
        <f t="shared" ref="F7:F8" si="2">E7*C7</f>
        <v>300</v>
      </c>
      <c r="G7" s="171">
        <f>F7*Resumen!$H$4</f>
        <v>1500</v>
      </c>
      <c r="H7" s="171">
        <f t="shared" ref="H7:H8" si="3">C7-G7</f>
        <v>0</v>
      </c>
      <c r="I7" s="24"/>
      <c r="J7" s="40">
        <f t="shared" ref="J7:J8" si="4">C7*0.35</f>
        <v>525</v>
      </c>
      <c r="K7" s="40">
        <f t="shared" ref="K7:K8" si="5">C7-G7</f>
        <v>0</v>
      </c>
      <c r="L7" s="40">
        <f t="shared" ref="L7:L8" si="6">J7-K7</f>
        <v>525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70" t="str">
        <f>'Estudio ADEK'!B120</f>
        <v xml:space="preserve">Pistola Etiquetadora Textil </v>
      </c>
      <c r="C8" s="171">
        <f>'Estudio ADEK'!E25</f>
        <v>27</v>
      </c>
      <c r="D8" s="172">
        <f>'Estudio ADEK'!C120</f>
        <v>5</v>
      </c>
      <c r="E8" s="171">
        <f t="shared" si="1"/>
        <v>0.2</v>
      </c>
      <c r="F8" s="171">
        <f t="shared" si="2"/>
        <v>5.4</v>
      </c>
      <c r="G8" s="171">
        <f>F8*Resumen!$H$4</f>
        <v>27</v>
      </c>
      <c r="H8" s="171">
        <f t="shared" si="3"/>
        <v>0</v>
      </c>
      <c r="I8" s="24"/>
      <c r="J8" s="40">
        <f t="shared" si="4"/>
        <v>9.4499999999999993</v>
      </c>
      <c r="K8" s="40">
        <f t="shared" si="5"/>
        <v>0</v>
      </c>
      <c r="L8" s="40">
        <f t="shared" si="6"/>
        <v>9.4499999999999993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66" t="s">
        <v>594</v>
      </c>
      <c r="C9" s="167">
        <f>SUM(C10:C16)</f>
        <v>554</v>
      </c>
      <c r="D9" s="168" t="s">
        <v>593</v>
      </c>
      <c r="E9" s="167"/>
      <c r="F9" s="167">
        <f>SUM(F10:F16)</f>
        <v>119.94285714285714</v>
      </c>
      <c r="G9" s="167"/>
      <c r="H9" s="167">
        <f>SUM(H10:H16)</f>
        <v>14.285714285714292</v>
      </c>
      <c r="I9" s="169"/>
      <c r="J9" s="167">
        <f t="shared" ref="J9:L9" si="7">SUM(J10:J16)</f>
        <v>193.9</v>
      </c>
      <c r="K9" s="167">
        <f t="shared" si="7"/>
        <v>14.285714285714292</v>
      </c>
      <c r="L9" s="167">
        <f t="shared" si="7"/>
        <v>179.61428571428573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70" t="str">
        <f>'Estudio ADEK'!B128</f>
        <v>Escritorio para computador</v>
      </c>
      <c r="C10" s="171">
        <f>'Estudio ADEK'!E41</f>
        <v>130</v>
      </c>
      <c r="D10" s="172">
        <f>'Estudio ADEK'!C128</f>
        <v>5</v>
      </c>
      <c r="E10" s="171">
        <f t="shared" ref="E10:E16" si="8">1/D10</f>
        <v>0.2</v>
      </c>
      <c r="F10" s="171">
        <f t="shared" ref="F10:F16" si="9">E10*C10</f>
        <v>26</v>
      </c>
      <c r="G10" s="171">
        <f>F10*Resumen!$H$4</f>
        <v>130</v>
      </c>
      <c r="H10" s="171">
        <f t="shared" ref="H10:H16" si="10">C10-G10</f>
        <v>0</v>
      </c>
      <c r="I10" s="24"/>
      <c r="J10" s="40">
        <f t="shared" ref="J10:J16" si="11">C10*0.35</f>
        <v>45.5</v>
      </c>
      <c r="K10" s="40">
        <f t="shared" ref="K10:K16" si="12">C10-G10</f>
        <v>0</v>
      </c>
      <c r="L10" s="40">
        <f t="shared" ref="L10:L16" si="13">J10-K10</f>
        <v>45.5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70" t="str">
        <f>'Estudio ADEK'!B129</f>
        <v>Silla de escritorio</v>
      </c>
      <c r="C11" s="171">
        <f>'Estudio ADEK'!E42</f>
        <v>50</v>
      </c>
      <c r="D11" s="172">
        <f>'Estudio ADEK'!C129</f>
        <v>7</v>
      </c>
      <c r="E11" s="171">
        <f t="shared" si="8"/>
        <v>0.14285714285714285</v>
      </c>
      <c r="F11" s="171">
        <f t="shared" si="9"/>
        <v>7.1428571428571423</v>
      </c>
      <c r="G11" s="171">
        <f>F11*Resumen!$H$4</f>
        <v>35.714285714285708</v>
      </c>
      <c r="H11" s="171">
        <f t="shared" si="10"/>
        <v>14.285714285714292</v>
      </c>
      <c r="I11" s="24"/>
      <c r="J11" s="40">
        <f t="shared" si="11"/>
        <v>17.5</v>
      </c>
      <c r="K11" s="40">
        <f t="shared" si="12"/>
        <v>14.285714285714292</v>
      </c>
      <c r="L11" s="40">
        <f t="shared" si="13"/>
        <v>3.2142857142857082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70" t="str">
        <f>'Estudio ADEK'!B130</f>
        <v>Silla</v>
      </c>
      <c r="C12" s="171">
        <f>'Estudio ADEK'!E43</f>
        <v>60</v>
      </c>
      <c r="D12" s="172">
        <f>'Estudio ADEK'!C130</f>
        <v>5</v>
      </c>
      <c r="E12" s="171">
        <f t="shared" si="8"/>
        <v>0.2</v>
      </c>
      <c r="F12" s="171">
        <f t="shared" si="9"/>
        <v>12</v>
      </c>
      <c r="G12" s="171">
        <f>F12*Resumen!$H$4</f>
        <v>60</v>
      </c>
      <c r="H12" s="171">
        <f t="shared" si="10"/>
        <v>0</v>
      </c>
      <c r="I12" s="24"/>
      <c r="J12" s="40">
        <f t="shared" si="11"/>
        <v>21</v>
      </c>
      <c r="K12" s="40">
        <f t="shared" si="12"/>
        <v>0</v>
      </c>
      <c r="L12" s="40">
        <f t="shared" si="13"/>
        <v>21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70" t="str">
        <f>'Estudio ADEK'!B131</f>
        <v xml:space="preserve">Exhibidor de polos </v>
      </c>
      <c r="C13" s="171">
        <f>'Estudio ADEK'!E44</f>
        <v>220</v>
      </c>
      <c r="D13" s="172">
        <f>'Estudio ADEK'!C131</f>
        <v>5</v>
      </c>
      <c r="E13" s="171">
        <f t="shared" si="8"/>
        <v>0.2</v>
      </c>
      <c r="F13" s="171">
        <f t="shared" si="9"/>
        <v>44</v>
      </c>
      <c r="G13" s="171">
        <f>F13*Resumen!$H$4</f>
        <v>220</v>
      </c>
      <c r="H13" s="171">
        <f t="shared" si="10"/>
        <v>0</v>
      </c>
      <c r="I13" s="24"/>
      <c r="J13" s="40">
        <f t="shared" si="11"/>
        <v>77</v>
      </c>
      <c r="K13" s="40">
        <f t="shared" si="12"/>
        <v>0</v>
      </c>
      <c r="L13" s="40">
        <f t="shared" si="13"/>
        <v>77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70" t="str">
        <f>'Estudio ADEK'!B132</f>
        <v>Espejo para vestidor</v>
      </c>
      <c r="C14" s="171">
        <f>'Estudio ADEK'!E45</f>
        <v>15</v>
      </c>
      <c r="D14" s="172">
        <f>'Estudio ADEK'!C132</f>
        <v>1</v>
      </c>
      <c r="E14" s="171">
        <f t="shared" si="8"/>
        <v>1</v>
      </c>
      <c r="F14" s="171">
        <f t="shared" si="9"/>
        <v>15</v>
      </c>
      <c r="G14" s="171">
        <f>F14</f>
        <v>15</v>
      </c>
      <c r="H14" s="171">
        <f t="shared" si="10"/>
        <v>0</v>
      </c>
      <c r="I14" s="24"/>
      <c r="J14" s="40">
        <f t="shared" si="11"/>
        <v>5.25</v>
      </c>
      <c r="K14" s="40">
        <f t="shared" si="12"/>
        <v>0</v>
      </c>
      <c r="L14" s="40">
        <f t="shared" si="13"/>
        <v>5.25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70" t="str">
        <f>'Estudio ADEK'!B133</f>
        <v>Probador vestidor de metal</v>
      </c>
      <c r="C15" s="171">
        <f>'Estudio ADEK'!E46</f>
        <v>49</v>
      </c>
      <c r="D15" s="172">
        <f>'Estudio ADEK'!C133</f>
        <v>5</v>
      </c>
      <c r="E15" s="171">
        <f t="shared" si="8"/>
        <v>0.2</v>
      </c>
      <c r="F15" s="171">
        <f t="shared" si="9"/>
        <v>9.8000000000000007</v>
      </c>
      <c r="G15" s="171">
        <f>F15*Resumen!$H$4</f>
        <v>49</v>
      </c>
      <c r="H15" s="171">
        <f t="shared" si="10"/>
        <v>0</v>
      </c>
      <c r="I15" s="24"/>
      <c r="J15" s="40">
        <f t="shared" si="11"/>
        <v>17.149999999999999</v>
      </c>
      <c r="K15" s="40">
        <f t="shared" si="12"/>
        <v>0</v>
      </c>
      <c r="L15" s="40">
        <f t="shared" si="13"/>
        <v>17.149999999999999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70" t="str">
        <f>'Estudio ADEK'!B134</f>
        <v>Cortina de vestidor de polos</v>
      </c>
      <c r="C16" s="171">
        <f>'Estudio ADEK'!E47</f>
        <v>30</v>
      </c>
      <c r="D16" s="172">
        <f>'Estudio ADEK'!C134</f>
        <v>5</v>
      </c>
      <c r="E16" s="171">
        <f t="shared" si="8"/>
        <v>0.2</v>
      </c>
      <c r="F16" s="171">
        <f t="shared" si="9"/>
        <v>6</v>
      </c>
      <c r="G16" s="171">
        <f>F16*Resumen!$H$4</f>
        <v>30</v>
      </c>
      <c r="H16" s="171">
        <f t="shared" si="10"/>
        <v>0</v>
      </c>
      <c r="I16" s="24"/>
      <c r="J16" s="40">
        <f t="shared" si="11"/>
        <v>10.5</v>
      </c>
      <c r="K16" s="40">
        <f t="shared" si="12"/>
        <v>0</v>
      </c>
      <c r="L16" s="40">
        <f t="shared" si="13"/>
        <v>10.5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66" t="s">
        <v>595</v>
      </c>
      <c r="C17" s="167">
        <f>SUM(C18:C19)</f>
        <v>5357</v>
      </c>
      <c r="D17" s="173"/>
      <c r="E17" s="167"/>
      <c r="F17" s="167">
        <f>SUM(F18:F19)</f>
        <v>2678.5</v>
      </c>
      <c r="G17" s="167"/>
      <c r="H17" s="167">
        <f>SUM(H18:H19)</f>
        <v>2678.5</v>
      </c>
      <c r="I17" s="24"/>
      <c r="J17" s="77">
        <f t="shared" ref="J17:L17" si="14">SUM(J18:J19)</f>
        <v>1874.9499999999998</v>
      </c>
      <c r="K17" s="77">
        <f t="shared" si="14"/>
        <v>2678.5</v>
      </c>
      <c r="L17" s="77">
        <f t="shared" si="14"/>
        <v>-803.55000000000007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70" t="str">
        <f>'Estudio ADEK'!B117</f>
        <v>Computadora portátil Laptop</v>
      </c>
      <c r="C18" s="171">
        <f>'Estudio ADEK'!E22</f>
        <v>3798</v>
      </c>
      <c r="D18" s="172">
        <f>'Estudio ADEK'!C117</f>
        <v>2</v>
      </c>
      <c r="E18" s="171">
        <f t="shared" ref="E18:E19" si="15">1/D18</f>
        <v>0.5</v>
      </c>
      <c r="F18" s="171">
        <f t="shared" ref="F18:F19" si="16">E18*C18</f>
        <v>1899</v>
      </c>
      <c r="G18" s="171">
        <f t="shared" ref="G18:G19" si="17">F18</f>
        <v>1899</v>
      </c>
      <c r="H18" s="171">
        <f t="shared" ref="H18:H19" si="18">C18-G18</f>
        <v>1899</v>
      </c>
      <c r="I18" s="24"/>
      <c r="J18" s="40">
        <f t="shared" ref="J18:J19" si="19">C18*0.35</f>
        <v>1329.3</v>
      </c>
      <c r="K18" s="40">
        <f t="shared" ref="K18:K19" si="20">C18-G18</f>
        <v>1899</v>
      </c>
      <c r="L18" s="40">
        <f t="shared" ref="L18:L19" si="21">J18-K18</f>
        <v>-569.70000000000005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70" t="str">
        <f>'Estudio ADEK'!B118</f>
        <v>Impresora</v>
      </c>
      <c r="C19" s="171">
        <f>'Estudio ADEK'!E23</f>
        <v>1559</v>
      </c>
      <c r="D19" s="172">
        <f>'Estudio ADEK'!C118</f>
        <v>2</v>
      </c>
      <c r="E19" s="171">
        <f t="shared" si="15"/>
        <v>0.5</v>
      </c>
      <c r="F19" s="171">
        <f t="shared" si="16"/>
        <v>779.5</v>
      </c>
      <c r="G19" s="171">
        <f t="shared" si="17"/>
        <v>779.5</v>
      </c>
      <c r="H19" s="171">
        <f t="shared" si="18"/>
        <v>779.5</v>
      </c>
      <c r="I19" s="24"/>
      <c r="J19" s="40">
        <f t="shared" si="19"/>
        <v>545.65</v>
      </c>
      <c r="K19" s="40">
        <f t="shared" si="20"/>
        <v>779.5</v>
      </c>
      <c r="L19" s="40">
        <f t="shared" si="21"/>
        <v>-233.85000000000002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66" t="s">
        <v>565</v>
      </c>
      <c r="C20" s="167">
        <f>C21</f>
        <v>3400</v>
      </c>
      <c r="D20" s="168" t="s">
        <v>593</v>
      </c>
      <c r="E20" s="167"/>
      <c r="F20" s="167">
        <f>F21</f>
        <v>1133.3333333333333</v>
      </c>
      <c r="G20" s="167"/>
      <c r="H20" s="167">
        <f>H21</f>
        <v>1133.3333333333333</v>
      </c>
      <c r="I20" s="169"/>
      <c r="J20" s="167">
        <f t="shared" ref="J20:L20" si="22">J21</f>
        <v>1190</v>
      </c>
      <c r="K20" s="167">
        <f t="shared" si="22"/>
        <v>1133.3333333333333</v>
      </c>
      <c r="L20" s="167">
        <f t="shared" si="22"/>
        <v>56.666666666666742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70" t="str">
        <f>'Estudio ADEK'!B135</f>
        <v>Moto lineal (eléctrica)</v>
      </c>
      <c r="C21" s="171">
        <f>'Estudio ADEK'!E48</f>
        <v>3400</v>
      </c>
      <c r="D21" s="172">
        <f>'Estudio ADEK'!C135</f>
        <v>3</v>
      </c>
      <c r="E21" s="171">
        <f>1/D21</f>
        <v>0.33333333333333331</v>
      </c>
      <c r="F21" s="171">
        <f>E21*C21</f>
        <v>1133.3333333333333</v>
      </c>
      <c r="G21" s="171">
        <f>F21*Resumen!$H$4</f>
        <v>5666.6666666666661</v>
      </c>
      <c r="H21" s="171">
        <f>F21</f>
        <v>1133.3333333333333</v>
      </c>
      <c r="I21" s="24"/>
      <c r="J21" s="40">
        <f>C21*0.35</f>
        <v>1190</v>
      </c>
      <c r="K21" s="40">
        <f>H21</f>
        <v>1133.3333333333333</v>
      </c>
      <c r="L21" s="40">
        <f>J21-K21</f>
        <v>56.666666666666742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74" t="s">
        <v>99</v>
      </c>
      <c r="C22" s="175">
        <f>C20+C9+C6+C17</f>
        <v>10838</v>
      </c>
      <c r="D22" s="176" t="s">
        <v>593</v>
      </c>
      <c r="E22" s="175"/>
      <c r="F22" s="175">
        <f>F20+F9+F6+F17</f>
        <v>4237.1761904761897</v>
      </c>
      <c r="G22" s="175"/>
      <c r="H22" s="175">
        <f>H20+H9+H6+H17</f>
        <v>3826.1190476190477</v>
      </c>
      <c r="I22" s="177"/>
      <c r="J22" s="175">
        <f t="shared" ref="J22:L22" si="23">J20+J9+J6+J17</f>
        <v>3793.3</v>
      </c>
      <c r="K22" s="175">
        <f t="shared" si="23"/>
        <v>3826.1190476190477</v>
      </c>
      <c r="L22" s="175">
        <f t="shared" si="23"/>
        <v>-32.819047619047524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435" t="s">
        <v>596</v>
      </c>
      <c r="C25" s="436"/>
      <c r="D25" s="436"/>
      <c r="E25" s="436"/>
      <c r="F25" s="437"/>
      <c r="G25" s="36"/>
      <c r="H25" s="3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435" t="s">
        <v>597</v>
      </c>
      <c r="C26" s="436"/>
      <c r="D26" s="436"/>
      <c r="E26" s="436"/>
      <c r="F26" s="437"/>
      <c r="G26" s="36"/>
      <c r="H26" s="3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86"/>
      <c r="C27" s="86"/>
      <c r="D27" s="86"/>
      <c r="E27" s="86"/>
      <c r="F27" s="86"/>
      <c r="G27" s="86"/>
      <c r="H27" s="86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37" t="s">
        <v>598</v>
      </c>
      <c r="C28" s="37" t="s">
        <v>583</v>
      </c>
      <c r="D28" s="37" t="s">
        <v>584</v>
      </c>
      <c r="E28" s="37" t="s">
        <v>599</v>
      </c>
      <c r="F28" s="37" t="s">
        <v>600</v>
      </c>
      <c r="G28" s="38"/>
      <c r="H28" s="38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 t="str">
        <f>Inversión_Inicial!B25</f>
        <v>REGISTRO DE MARCA Y LOGO</v>
      </c>
      <c r="C29" s="40">
        <f>Inversión_Inicial!F25</f>
        <v>534.99</v>
      </c>
      <c r="D29" s="39">
        <v>5</v>
      </c>
      <c r="E29" s="40">
        <f t="shared" ref="E29:E32" si="24">1/D29</f>
        <v>0.2</v>
      </c>
      <c r="F29" s="40">
        <f t="shared" ref="F29:F32" si="25">C29*E29</f>
        <v>106.998</v>
      </c>
      <c r="G29" s="19"/>
      <c r="H29" s="1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 t="str">
        <f>Inversión_Inicial!B26</f>
        <v>CONSTITUCIÓN DE LA EMPRESA</v>
      </c>
      <c r="C30" s="40">
        <f>Inversión_Inicial!F26</f>
        <v>477</v>
      </c>
      <c r="D30" s="39">
        <v>5</v>
      </c>
      <c r="E30" s="40">
        <f t="shared" si="24"/>
        <v>0.2</v>
      </c>
      <c r="F30" s="40">
        <f t="shared" si="25"/>
        <v>95.4</v>
      </c>
      <c r="G30" s="19"/>
      <c r="H30" s="1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 t="str">
        <f>Inversión_Inicial!B27</f>
        <v>CAPACITACIÓN AL PERSONAL</v>
      </c>
      <c r="C31" s="40">
        <f>Inversión_Inicial!F27</f>
        <v>60</v>
      </c>
      <c r="D31" s="39">
        <v>5</v>
      </c>
      <c r="E31" s="40">
        <f t="shared" si="24"/>
        <v>0.2</v>
      </c>
      <c r="F31" s="40">
        <f t="shared" si="25"/>
        <v>12</v>
      </c>
      <c r="G31" s="19"/>
      <c r="H31" s="1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 t="str">
        <f>Inversión_Inicial!B28</f>
        <v>INSCRIPCIÓN EN SUNARP</v>
      </c>
      <c r="C32" s="40">
        <f>Inversión_Inicial!F28</f>
        <v>45</v>
      </c>
      <c r="D32" s="39">
        <v>5</v>
      </c>
      <c r="E32" s="40">
        <f t="shared" si="24"/>
        <v>0.2</v>
      </c>
      <c r="F32" s="40">
        <f t="shared" si="25"/>
        <v>9</v>
      </c>
      <c r="G32" s="19"/>
      <c r="H32" s="1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5" t="s">
        <v>99</v>
      </c>
      <c r="C33" s="178">
        <f>SUM(C29:C32)</f>
        <v>1116.99</v>
      </c>
      <c r="D33" s="44"/>
      <c r="E33" s="178"/>
      <c r="F33" s="178">
        <f>SUM(F29:F32)</f>
        <v>223.39800000000002</v>
      </c>
      <c r="G33" s="19"/>
      <c r="H33" s="1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H2"/>
    <mergeCell ref="B3:H3"/>
    <mergeCell ref="B25:F25"/>
    <mergeCell ref="B26:F26"/>
  </mergeCells>
  <pageMargins left="0.7" right="0.7" top="0.75" bottom="0.75" header="0" footer="0"/>
  <pageSetup orientation="landscape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4A9B82"/>
  </sheetPr>
  <dimension ref="A1:Z1000"/>
  <sheetViews>
    <sheetView showGridLines="0" workbookViewId="0">
      <selection activeCell="F29" sqref="F29"/>
    </sheetView>
  </sheetViews>
  <sheetFormatPr baseColWidth="10" defaultColWidth="12.625" defaultRowHeight="15" customHeight="1"/>
  <cols>
    <col min="1" max="1" width="2.375" customWidth="1"/>
    <col min="2" max="2" width="42.625" customWidth="1"/>
    <col min="3" max="3" width="20.75" customWidth="1"/>
    <col min="4" max="8" width="15.5" customWidth="1"/>
    <col min="9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59" t="s">
        <v>601</v>
      </c>
      <c r="C2" s="431"/>
      <c r="D2" s="431"/>
      <c r="E2" s="431"/>
      <c r="F2" s="431"/>
      <c r="G2" s="431"/>
      <c r="H2" s="43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59" t="s">
        <v>602</v>
      </c>
      <c r="C3" s="431"/>
      <c r="D3" s="431"/>
      <c r="E3" s="431"/>
      <c r="F3" s="431"/>
      <c r="G3" s="431"/>
      <c r="H3" s="43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442" t="s">
        <v>552</v>
      </c>
      <c r="C5" s="453" t="s">
        <v>102</v>
      </c>
      <c r="D5" s="453" t="s">
        <v>603</v>
      </c>
      <c r="E5" s="453" t="s">
        <v>604</v>
      </c>
      <c r="F5" s="453" t="s">
        <v>207</v>
      </c>
      <c r="G5" s="453" t="s">
        <v>175</v>
      </c>
      <c r="H5" s="442" t="s">
        <v>40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43"/>
      <c r="C6" s="443"/>
      <c r="D6" s="443"/>
      <c r="E6" s="443"/>
      <c r="F6" s="443"/>
      <c r="G6" s="443"/>
      <c r="H6" s="44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79" t="s">
        <v>605</v>
      </c>
      <c r="C7" s="10"/>
      <c r="D7" s="83">
        <f>SUM(D8:D13)</f>
        <v>18.168000000000003</v>
      </c>
      <c r="E7" s="82"/>
      <c r="F7" s="77">
        <f t="shared" ref="F7:G7" si="0">SUM(F8:F13)</f>
        <v>0</v>
      </c>
      <c r="G7" s="77">
        <f t="shared" si="0"/>
        <v>5230.3999999999996</v>
      </c>
      <c r="H7" s="83">
        <f t="shared" ref="H7:H18" si="1">F7+G7</f>
        <v>5230.3999999999996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 t="str">
        <f>'Estudio ADEK'!B88</f>
        <v>Polos de algodón</v>
      </c>
      <c r="C8" s="11" t="s">
        <v>606</v>
      </c>
      <c r="D8" s="40">
        <f>'Estudio ADEK'!E88</f>
        <v>15</v>
      </c>
      <c r="E8" s="39">
        <f>'Estudio ADEK'!D88</f>
        <v>300</v>
      </c>
      <c r="F8" s="40"/>
      <c r="G8" s="40">
        <f t="shared" ref="G8:G13" si="2">E8*D8</f>
        <v>4500</v>
      </c>
      <c r="H8" s="40">
        <f t="shared" si="1"/>
        <v>4500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 t="str">
        <f>'Estudio ADEK'!B89</f>
        <v>Papel transfer tela oscura (A4)</v>
      </c>
      <c r="C9" s="11" t="s">
        <v>606</v>
      </c>
      <c r="D9" s="40">
        <f>'Estudio ADEK'!E89</f>
        <v>1</v>
      </c>
      <c r="E9" s="39">
        <f>'Estudio ADEK'!D89</f>
        <v>200</v>
      </c>
      <c r="F9" s="40"/>
      <c r="G9" s="40">
        <f t="shared" si="2"/>
        <v>200</v>
      </c>
      <c r="H9" s="40">
        <f t="shared" si="1"/>
        <v>200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 t="str">
        <f>'Estudio ADEK'!B90</f>
        <v>Papel transfer tela clara (A4)</v>
      </c>
      <c r="C10" s="11" t="s">
        <v>606</v>
      </c>
      <c r="D10" s="40">
        <f>'Estudio ADEK'!E90</f>
        <v>0.6</v>
      </c>
      <c r="E10" s="39">
        <f>'Estudio ADEK'!D90</f>
        <v>100</v>
      </c>
      <c r="F10" s="40"/>
      <c r="G10" s="40">
        <f t="shared" si="2"/>
        <v>60</v>
      </c>
      <c r="H10" s="40">
        <f t="shared" si="1"/>
        <v>60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 t="str">
        <f>'Estudio ADEK'!B91</f>
        <v>Etiquetas colgantes</v>
      </c>
      <c r="C11" s="11" t="s">
        <v>606</v>
      </c>
      <c r="D11" s="40">
        <f>'Estudio ADEK'!E91</f>
        <v>0.6</v>
      </c>
      <c r="E11" s="39">
        <f>'Estudio ADEK'!D91</f>
        <v>300</v>
      </c>
      <c r="F11" s="40"/>
      <c r="G11" s="40">
        <f t="shared" si="2"/>
        <v>180</v>
      </c>
      <c r="H11" s="40">
        <f t="shared" si="1"/>
        <v>180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 t="str">
        <f>'Estudio ADEK'!B92</f>
        <v>Bolsas de papel</v>
      </c>
      <c r="C12" s="11" t="s">
        <v>606</v>
      </c>
      <c r="D12" s="40">
        <f>'Estudio ADEK'!E92</f>
        <v>0.89</v>
      </c>
      <c r="E12" s="39">
        <f>'Estudio ADEK'!D92</f>
        <v>300</v>
      </c>
      <c r="F12" s="40"/>
      <c r="G12" s="40">
        <f t="shared" si="2"/>
        <v>267</v>
      </c>
      <c r="H12" s="40">
        <f t="shared" si="1"/>
        <v>267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 t="str">
        <f>'Estudio ADEK'!B93</f>
        <v>Tinta pigmentada (100ml)</v>
      </c>
      <c r="C13" s="11" t="s">
        <v>607</v>
      </c>
      <c r="D13" s="40">
        <f>'Estudio ADEK'!E93</f>
        <v>7.8E-2</v>
      </c>
      <c r="E13" s="39">
        <f>'Estudio ADEK'!D93</f>
        <v>300</v>
      </c>
      <c r="F13" s="40"/>
      <c r="G13" s="40">
        <f t="shared" si="2"/>
        <v>23.4</v>
      </c>
      <c r="H13" s="40">
        <f t="shared" si="1"/>
        <v>23.4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79" t="s">
        <v>608</v>
      </c>
      <c r="C14" s="10"/>
      <c r="D14" s="83">
        <f>SUM(D15:D16)</f>
        <v>21.15</v>
      </c>
      <c r="E14" s="82"/>
      <c r="F14" s="77">
        <f t="shared" ref="F14:G14" si="3">SUM(F15:F16)</f>
        <v>0</v>
      </c>
      <c r="G14" s="77">
        <f t="shared" si="3"/>
        <v>2115</v>
      </c>
      <c r="H14" s="83">
        <f t="shared" si="1"/>
        <v>2115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15"/>
      <c r="B15" s="115" t="s">
        <v>609</v>
      </c>
      <c r="C15" s="16" t="s">
        <v>610</v>
      </c>
      <c r="D15" s="113">
        <v>11.85</v>
      </c>
      <c r="E15" s="180">
        <v>100</v>
      </c>
      <c r="F15" s="113"/>
      <c r="G15" s="113">
        <f t="shared" ref="G15:G16" si="4">D15*E15</f>
        <v>1185</v>
      </c>
      <c r="H15" s="113">
        <f t="shared" si="1"/>
        <v>1185</v>
      </c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 spans="1:26">
      <c r="A16" s="115"/>
      <c r="B16" s="115" t="s">
        <v>611</v>
      </c>
      <c r="C16" s="16" t="s">
        <v>610</v>
      </c>
      <c r="D16" s="113">
        <v>9.3000000000000007</v>
      </c>
      <c r="E16" s="180">
        <v>100</v>
      </c>
      <c r="F16" s="113"/>
      <c r="G16" s="113">
        <f t="shared" si="4"/>
        <v>930.00000000000011</v>
      </c>
      <c r="H16" s="113">
        <f t="shared" si="1"/>
        <v>930.00000000000011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spans="1:26">
      <c r="A17" s="1"/>
      <c r="B17" s="179" t="s">
        <v>612</v>
      </c>
      <c r="C17" s="10"/>
      <c r="D17" s="83">
        <f>SUM(D18)</f>
        <v>248.6583333333333</v>
      </c>
      <c r="E17" s="82"/>
      <c r="F17" s="77">
        <f t="shared" ref="F17:G17" si="5">F18</f>
        <v>248.6583333333333</v>
      </c>
      <c r="G17" s="77">
        <f t="shared" si="5"/>
        <v>0</v>
      </c>
      <c r="H17" s="83">
        <f t="shared" si="1"/>
        <v>248.6583333333333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 t="s">
        <v>285</v>
      </c>
      <c r="C18" s="11"/>
      <c r="D18" s="40">
        <f>'Estudio ADEK'!C185</f>
        <v>248.6583333333333</v>
      </c>
      <c r="E18" s="39">
        <v>1</v>
      </c>
      <c r="F18" s="40">
        <f>D18*E18</f>
        <v>248.6583333333333</v>
      </c>
      <c r="G18" s="40"/>
      <c r="H18" s="40">
        <f t="shared" si="1"/>
        <v>248.6583333333333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34" t="s">
        <v>613</v>
      </c>
      <c r="C19" s="78"/>
      <c r="D19" s="43"/>
      <c r="E19" s="42"/>
      <c r="F19" s="43">
        <f t="shared" ref="F19:H19" si="6">F7+F14+F17</f>
        <v>248.6583333333333</v>
      </c>
      <c r="G19" s="43">
        <f t="shared" si="6"/>
        <v>7345.4</v>
      </c>
      <c r="H19" s="43">
        <f t="shared" si="6"/>
        <v>7594.0583333333325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81">
        <f>'Estudio ADEK'!C66</f>
        <v>1185</v>
      </c>
      <c r="E22" s="182">
        <f t="shared" ref="E22:E23" si="7">D22/100</f>
        <v>11.85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81">
        <f>'Estudio ADEK'!C67</f>
        <v>930</v>
      </c>
      <c r="E23" s="182">
        <f t="shared" si="7"/>
        <v>9.3000000000000007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G5:G6"/>
    <mergeCell ref="H5:H6"/>
    <mergeCell ref="B2:H2"/>
    <mergeCell ref="B3:H3"/>
    <mergeCell ref="B5:B6"/>
    <mergeCell ref="C5:C6"/>
    <mergeCell ref="D5:D6"/>
    <mergeCell ref="E5:E6"/>
    <mergeCell ref="F5:F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>
      <selection activeCell="H29" sqref="H29"/>
    </sheetView>
  </sheetViews>
  <sheetFormatPr baseColWidth="10" defaultColWidth="12.625" defaultRowHeight="15" customHeight="1"/>
  <cols>
    <col min="1" max="1" width="2.375" customWidth="1"/>
    <col min="2" max="2" width="35.625" customWidth="1"/>
    <col min="3" max="10" width="15.5" customWidth="1"/>
    <col min="11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614</v>
      </c>
      <c r="C2" s="436"/>
      <c r="D2" s="436"/>
      <c r="E2" s="436"/>
      <c r="F2" s="436"/>
      <c r="G2" s="436"/>
      <c r="H2" s="436"/>
      <c r="I2" s="436"/>
      <c r="J2" s="437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0">
      <c r="A4" s="1"/>
      <c r="B4" s="37" t="s">
        <v>615</v>
      </c>
      <c r="C4" s="37" t="s">
        <v>616</v>
      </c>
      <c r="D4" s="37" t="s">
        <v>617</v>
      </c>
      <c r="E4" s="37" t="s">
        <v>618</v>
      </c>
      <c r="F4" s="37" t="s">
        <v>619</v>
      </c>
      <c r="G4" s="37" t="s">
        <v>620</v>
      </c>
      <c r="H4" s="37" t="s">
        <v>621</v>
      </c>
      <c r="I4" s="37" t="s">
        <v>622</v>
      </c>
      <c r="J4" s="37" t="s">
        <v>99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51" t="s">
        <v>623</v>
      </c>
      <c r="C5" s="79"/>
      <c r="D5" s="79"/>
      <c r="E5" s="79"/>
      <c r="F5" s="79"/>
      <c r="G5" s="154"/>
      <c r="H5" s="79"/>
      <c r="I5" s="79"/>
      <c r="J5" s="79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1" t="str">
        <f>'Estudio ADEK'!B143</f>
        <v>Gerente General</v>
      </c>
      <c r="C6" s="40">
        <f>'Estudio ADEK'!C143</f>
        <v>1200</v>
      </c>
      <c r="D6" s="40">
        <f t="shared" ref="D6:D7" si="0">C6*12</f>
        <v>14400</v>
      </c>
      <c r="E6" s="40">
        <v>0</v>
      </c>
      <c r="F6" s="40">
        <v>0</v>
      </c>
      <c r="G6" s="39">
        <v>1</v>
      </c>
      <c r="H6" s="40">
        <f t="shared" ref="H6:H7" si="1">D6+E6*G6+F6*G6</f>
        <v>14400</v>
      </c>
      <c r="I6" s="40">
        <f t="shared" ref="I6:I7" si="2">15*12</f>
        <v>180</v>
      </c>
      <c r="J6" s="40">
        <f t="shared" ref="J6:J7" si="3">H6+I6</f>
        <v>14580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1" t="str">
        <f>'Estudio ADEK'!B144</f>
        <v>Contador</v>
      </c>
      <c r="C7" s="40">
        <f>'Estudio ADEK'!C144</f>
        <v>930</v>
      </c>
      <c r="D7" s="40">
        <f t="shared" si="0"/>
        <v>11160</v>
      </c>
      <c r="E7" s="40">
        <v>0</v>
      </c>
      <c r="F7" s="40">
        <v>0</v>
      </c>
      <c r="G7" s="39">
        <v>1</v>
      </c>
      <c r="H7" s="40">
        <f t="shared" si="1"/>
        <v>11160</v>
      </c>
      <c r="I7" s="40">
        <f t="shared" si="2"/>
        <v>180</v>
      </c>
      <c r="J7" s="40">
        <f t="shared" si="3"/>
        <v>11340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1" t="s">
        <v>624</v>
      </c>
      <c r="C8" s="40"/>
      <c r="D8" s="40"/>
      <c r="E8" s="40"/>
      <c r="F8" s="40"/>
      <c r="G8" s="39"/>
      <c r="H8" s="40"/>
      <c r="I8" s="40"/>
      <c r="J8" s="4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1" t="s">
        <v>625</v>
      </c>
      <c r="C9" s="40">
        <v>930</v>
      </c>
      <c r="D9" s="40">
        <f t="shared" ref="D9:D11" si="4">C9*12</f>
        <v>11160</v>
      </c>
      <c r="E9" s="40">
        <v>0</v>
      </c>
      <c r="F9" s="40">
        <v>0</v>
      </c>
      <c r="G9" s="39">
        <v>1</v>
      </c>
      <c r="H9" s="40">
        <f t="shared" ref="H9:H11" si="5">D9+E9*G9+F9*G9</f>
        <v>11160</v>
      </c>
      <c r="I9" s="40">
        <f t="shared" ref="I9:I11" si="6">15*12</f>
        <v>180</v>
      </c>
      <c r="J9" s="40">
        <f t="shared" ref="J9:J11" si="7">H9+I9</f>
        <v>11340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15"/>
      <c r="B10" s="16" t="s">
        <v>609</v>
      </c>
      <c r="C10" s="113">
        <f>'Estudio ADEK'!C66</f>
        <v>1185</v>
      </c>
      <c r="D10" s="113">
        <f t="shared" si="4"/>
        <v>14220</v>
      </c>
      <c r="E10" s="113">
        <v>0</v>
      </c>
      <c r="F10" s="113">
        <v>0</v>
      </c>
      <c r="G10" s="180">
        <v>1</v>
      </c>
      <c r="H10" s="113">
        <f t="shared" si="5"/>
        <v>14220</v>
      </c>
      <c r="I10" s="113">
        <f t="shared" si="6"/>
        <v>180</v>
      </c>
      <c r="J10" s="113">
        <f t="shared" si="7"/>
        <v>14400</v>
      </c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 spans="1:26">
      <c r="A11" s="115"/>
      <c r="B11" s="16" t="s">
        <v>611</v>
      </c>
      <c r="C11" s="113">
        <f>'Estudio ADEK'!C67</f>
        <v>930</v>
      </c>
      <c r="D11" s="113">
        <f t="shared" si="4"/>
        <v>11160</v>
      </c>
      <c r="E11" s="113">
        <v>0</v>
      </c>
      <c r="F11" s="113">
        <v>0</v>
      </c>
      <c r="G11" s="180">
        <v>1</v>
      </c>
      <c r="H11" s="113">
        <f t="shared" si="5"/>
        <v>11160</v>
      </c>
      <c r="I11" s="113">
        <f t="shared" si="6"/>
        <v>180</v>
      </c>
      <c r="J11" s="113">
        <f t="shared" si="7"/>
        <v>11340</v>
      </c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 spans="1:26">
      <c r="A12" s="1"/>
      <c r="B12" s="165" t="s">
        <v>99</v>
      </c>
      <c r="C12" s="178"/>
      <c r="D12" s="178"/>
      <c r="E12" s="178"/>
      <c r="F12" s="178"/>
      <c r="G12" s="44"/>
      <c r="H12" s="178"/>
      <c r="I12" s="43">
        <f t="shared" ref="I12:J12" si="8">SUM(I6:I11)</f>
        <v>900</v>
      </c>
      <c r="J12" s="43">
        <f t="shared" si="8"/>
        <v>63000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1" t="s">
        <v>626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1" t="s">
        <v>627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1" t="s">
        <v>628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62">
        <v>150</v>
      </c>
      <c r="C17" s="11" t="s">
        <v>629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62">
        <v>4400</v>
      </c>
      <c r="C18" s="1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62">
        <f>B17*B18</f>
        <v>660000</v>
      </c>
      <c r="C19" s="11" t="s">
        <v>630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J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4A9B82"/>
  </sheetPr>
  <dimension ref="A1:Z1000"/>
  <sheetViews>
    <sheetView showGridLines="0" workbookViewId="0">
      <selection activeCell="F18" sqref="F18"/>
    </sheetView>
  </sheetViews>
  <sheetFormatPr baseColWidth="10" defaultColWidth="12.625" defaultRowHeight="15" customHeight="1"/>
  <cols>
    <col min="1" max="1" width="2.5" customWidth="1"/>
    <col min="2" max="2" width="35.625" customWidth="1"/>
    <col min="3" max="4" width="16.125" customWidth="1"/>
    <col min="5" max="5" width="18.125" customWidth="1"/>
    <col min="6" max="6" width="16.125" customWidth="1"/>
    <col min="7" max="7" width="7.875" customWidth="1"/>
    <col min="8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2" t="s">
        <v>631</v>
      </c>
      <c r="C2" s="431"/>
      <c r="D2" s="431"/>
      <c r="E2" s="431"/>
      <c r="F2" s="43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17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0">
      <c r="A4" s="1"/>
      <c r="B4" s="37" t="s">
        <v>552</v>
      </c>
      <c r="C4" s="37" t="s">
        <v>603</v>
      </c>
      <c r="D4" s="37" t="s">
        <v>632</v>
      </c>
      <c r="E4" s="37" t="s">
        <v>102</v>
      </c>
      <c r="F4" s="37" t="s">
        <v>40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50" t="s">
        <v>633</v>
      </c>
      <c r="C5" s="183"/>
      <c r="D5" s="184"/>
      <c r="E5" s="50"/>
      <c r="F5" s="18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85" t="str">
        <f>Costos_Totales!B18</f>
        <v>Gerente General</v>
      </c>
      <c r="C6" s="40">
        <f>Planilla!J6/12</f>
        <v>1215</v>
      </c>
      <c r="D6" s="39">
        <f>Planilla!G6</f>
        <v>1</v>
      </c>
      <c r="E6" s="41" t="str">
        <f>Costos_Totales!C18</f>
        <v>Mensual/8hrs/d</v>
      </c>
      <c r="F6" s="40">
        <f t="shared" ref="F6:F10" si="0">C6</f>
        <v>1215</v>
      </c>
      <c r="G6" s="2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85" t="str">
        <f>Costos_Totales!B19</f>
        <v>Contador</v>
      </c>
      <c r="C7" s="40">
        <f>Planilla!J7/12</f>
        <v>945</v>
      </c>
      <c r="D7" s="39">
        <f>Planilla!G7</f>
        <v>1</v>
      </c>
      <c r="E7" s="41" t="str">
        <f>Costos_Totales!C19</f>
        <v>Mensual/8hrs/d</v>
      </c>
      <c r="F7" s="40">
        <f t="shared" si="0"/>
        <v>945</v>
      </c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48" t="str">
        <f>Costos_Totales!B20</f>
        <v>Energía eléctrica</v>
      </c>
      <c r="C8" s="40">
        <f>'Estudio ADEK'!F151</f>
        <v>50</v>
      </c>
      <c r="D8" s="39">
        <f>Costos_Totales!E20</f>
        <v>1</v>
      </c>
      <c r="E8" s="41" t="str">
        <f>Costos_Totales!C20</f>
        <v>Horas /mes</v>
      </c>
      <c r="F8" s="40">
        <f t="shared" si="0"/>
        <v>50</v>
      </c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48" t="str">
        <f>Costos_Totales!B21</f>
        <v>Teléfono</v>
      </c>
      <c r="C9" s="40">
        <f>'Estudio ADEK'!F152</f>
        <v>30</v>
      </c>
      <c r="D9" s="39">
        <f>Costos_Totales!E21</f>
        <v>1</v>
      </c>
      <c r="E9" s="41" t="str">
        <f>Costos_Totales!C21</f>
        <v>Horas /mes</v>
      </c>
      <c r="F9" s="40">
        <f t="shared" si="0"/>
        <v>30</v>
      </c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48" t="str">
        <f>Costos_Totales!B22</f>
        <v>Internet</v>
      </c>
      <c r="C10" s="40">
        <f>'Estudio ADEK'!F153</f>
        <v>60</v>
      </c>
      <c r="D10" s="39">
        <f>Costos_Totales!E22</f>
        <v>1</v>
      </c>
      <c r="E10" s="41" t="str">
        <f>Costos_Totales!C22</f>
        <v>Horas /mes</v>
      </c>
      <c r="F10" s="40">
        <f t="shared" si="0"/>
        <v>60</v>
      </c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86" t="s">
        <v>634</v>
      </c>
      <c r="C11" s="83"/>
      <c r="D11" s="82"/>
      <c r="E11" s="10"/>
      <c r="F11" s="77">
        <f>SUM(F6:F10)</f>
        <v>2300</v>
      </c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3" t="s">
        <v>635</v>
      </c>
      <c r="C12" s="62"/>
      <c r="D12" s="24"/>
      <c r="E12" s="11"/>
      <c r="F12" s="62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85" t="str">
        <f>Planilla!B9</f>
        <v>Vendedor</v>
      </c>
      <c r="C13" s="40">
        <f>Planilla!J9/12</f>
        <v>945</v>
      </c>
      <c r="D13" s="39">
        <f>Costos_Totales!E26</f>
        <v>1</v>
      </c>
      <c r="E13" s="11" t="str">
        <f>Costos_Totales!C26</f>
        <v>Mensual/8hrs/d</v>
      </c>
      <c r="F13" s="40">
        <f t="shared" ref="F13:F16" si="1">C13</f>
        <v>945</v>
      </c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48" t="str">
        <f>Costos_Totales!B27</f>
        <v>Publicidad</v>
      </c>
      <c r="C14" s="40">
        <f>'Estudio ADEK'!E172</f>
        <v>25</v>
      </c>
      <c r="D14" s="39">
        <f>Costos_Totales!E27</f>
        <v>1</v>
      </c>
      <c r="E14" s="11" t="s">
        <v>128</v>
      </c>
      <c r="F14" s="40">
        <f t="shared" si="1"/>
        <v>25</v>
      </c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48" t="str">
        <f>Costos_Totales!B28</f>
        <v xml:space="preserve">Alquiler </v>
      </c>
      <c r="C15" s="40">
        <f>'Estudio ADEK'!E173</f>
        <v>800</v>
      </c>
      <c r="D15" s="39">
        <f>Costos_Totales!E28</f>
        <v>1</v>
      </c>
      <c r="E15" s="11" t="str">
        <f>Costos_Totales!C28</f>
        <v>Mensual</v>
      </c>
      <c r="F15" s="40">
        <f t="shared" si="1"/>
        <v>800</v>
      </c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48" t="str">
        <f>Costos_Totales!B29</f>
        <v>Transporte</v>
      </c>
      <c r="C16" s="40">
        <f>'Estudio ADEK'!E174</f>
        <v>15</v>
      </c>
      <c r="D16" s="39">
        <f>Costos_Totales!E29</f>
        <v>1</v>
      </c>
      <c r="E16" s="11" t="s">
        <v>128</v>
      </c>
      <c r="F16" s="40">
        <f t="shared" si="1"/>
        <v>15</v>
      </c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86" t="s">
        <v>636</v>
      </c>
      <c r="C17" s="83"/>
      <c r="D17" s="82"/>
      <c r="E17" s="10"/>
      <c r="F17" s="77">
        <f>SUM(F13:F16)</f>
        <v>1785</v>
      </c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47" t="s">
        <v>637</v>
      </c>
      <c r="C18" s="43">
        <f>+C11+C17</f>
        <v>0</v>
      </c>
      <c r="D18" s="42"/>
      <c r="E18" s="187"/>
      <c r="F18" s="43">
        <f>+F11+F17</f>
        <v>4085</v>
      </c>
      <c r="G18" s="188">
        <f>F18-F6-F7-F13</f>
        <v>980</v>
      </c>
      <c r="H18" s="1" t="s">
        <v>638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89" t="s">
        <v>639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F2"/>
  </mergeCells>
  <pageMargins left="0.7" right="0.7" top="0.75" bottom="0.75" header="0" footer="0"/>
  <pageSetup orientation="landscape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4A9B82"/>
  </sheetPr>
  <dimension ref="A1:Z1000"/>
  <sheetViews>
    <sheetView showGridLines="0" workbookViewId="0">
      <selection activeCell="F28" sqref="F28"/>
    </sheetView>
  </sheetViews>
  <sheetFormatPr baseColWidth="10" defaultColWidth="12.625" defaultRowHeight="15" customHeight="1"/>
  <cols>
    <col min="1" max="1" width="2.375" customWidth="1"/>
    <col min="2" max="2" width="42.625" customWidth="1"/>
    <col min="3" max="3" width="18" customWidth="1"/>
    <col min="4" max="8" width="15.625" customWidth="1"/>
    <col min="9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42" t="s">
        <v>552</v>
      </c>
      <c r="C2" s="453" t="s">
        <v>102</v>
      </c>
      <c r="D2" s="453" t="s">
        <v>603</v>
      </c>
      <c r="E2" s="453" t="s">
        <v>604</v>
      </c>
      <c r="F2" s="453" t="s">
        <v>207</v>
      </c>
      <c r="G2" s="453" t="s">
        <v>175</v>
      </c>
      <c r="H2" s="442" t="s">
        <v>40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43"/>
      <c r="C3" s="443"/>
      <c r="D3" s="443"/>
      <c r="E3" s="443"/>
      <c r="F3" s="443"/>
      <c r="G3" s="443"/>
      <c r="H3" s="44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76" t="s">
        <v>640</v>
      </c>
      <c r="C4" s="76"/>
      <c r="D4" s="77"/>
      <c r="E4" s="190"/>
      <c r="F4" s="77">
        <f t="shared" ref="F4:H4" si="0">F5+F12+F15</f>
        <v>248.6583333333333</v>
      </c>
      <c r="G4" s="77">
        <f t="shared" si="0"/>
        <v>7345.4</v>
      </c>
      <c r="H4" s="77">
        <f t="shared" si="0"/>
        <v>7594.0583333333325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57" t="s">
        <v>641</v>
      </c>
      <c r="C5" s="162"/>
      <c r="D5" s="160"/>
      <c r="E5" s="163"/>
      <c r="F5" s="164">
        <f t="shared" ref="F5:H5" si="1">SUM(F6:F11)</f>
        <v>0</v>
      </c>
      <c r="G5" s="164">
        <f t="shared" si="1"/>
        <v>5230.3999999999996</v>
      </c>
      <c r="H5" s="164">
        <f t="shared" si="1"/>
        <v>5230.3999999999996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1" t="str">
        <f>'Estudio ADEK'!B88</f>
        <v>Polos de algodón</v>
      </c>
      <c r="C6" s="11" t="s">
        <v>606</v>
      </c>
      <c r="D6" s="40">
        <f>'Estudio ADEK'!E88</f>
        <v>15</v>
      </c>
      <c r="E6" s="39">
        <f>'Estudio ADEK'!D88</f>
        <v>300</v>
      </c>
      <c r="F6" s="40"/>
      <c r="G6" s="40">
        <f t="shared" ref="G6:G11" si="2">E6*D6</f>
        <v>4500</v>
      </c>
      <c r="H6" s="40">
        <f t="shared" ref="H6:H11" si="3">F6+G6</f>
        <v>4500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1" t="str">
        <f>'Estudio ADEK'!B89</f>
        <v>Papel transfer tela oscura (A4)</v>
      </c>
      <c r="C7" s="11" t="s">
        <v>606</v>
      </c>
      <c r="D7" s="40">
        <f>'Estudio ADEK'!E89</f>
        <v>1</v>
      </c>
      <c r="E7" s="39">
        <f>'Estudio ADEK'!D89</f>
        <v>200</v>
      </c>
      <c r="F7" s="40"/>
      <c r="G7" s="40">
        <f t="shared" si="2"/>
        <v>200</v>
      </c>
      <c r="H7" s="40">
        <f t="shared" si="3"/>
        <v>200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1" t="str">
        <f>'Estudio ADEK'!B90</f>
        <v>Papel transfer tela clara (A4)</v>
      </c>
      <c r="C8" s="11" t="s">
        <v>606</v>
      </c>
      <c r="D8" s="40">
        <f>'Estudio ADEK'!E90</f>
        <v>0.6</v>
      </c>
      <c r="E8" s="39">
        <f>'Estudio ADEK'!D90</f>
        <v>100</v>
      </c>
      <c r="F8" s="40"/>
      <c r="G8" s="40">
        <f t="shared" si="2"/>
        <v>60</v>
      </c>
      <c r="H8" s="40">
        <f t="shared" si="3"/>
        <v>60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1" t="str">
        <f>'Estudio ADEK'!B91</f>
        <v>Etiquetas colgantes</v>
      </c>
      <c r="C9" s="11" t="s">
        <v>606</v>
      </c>
      <c r="D9" s="40">
        <f>'Estudio ADEK'!E91</f>
        <v>0.6</v>
      </c>
      <c r="E9" s="39">
        <f>'Estudio ADEK'!D91</f>
        <v>300</v>
      </c>
      <c r="F9" s="40"/>
      <c r="G9" s="40">
        <f t="shared" si="2"/>
        <v>180</v>
      </c>
      <c r="H9" s="40">
        <f t="shared" si="3"/>
        <v>180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1" t="str">
        <f>'Estudio ADEK'!B92</f>
        <v>Bolsas de papel</v>
      </c>
      <c r="C10" s="11" t="s">
        <v>606</v>
      </c>
      <c r="D10" s="40">
        <f>'Estudio ADEK'!E92</f>
        <v>0.89</v>
      </c>
      <c r="E10" s="39">
        <f>'Estudio ADEK'!D92</f>
        <v>300</v>
      </c>
      <c r="F10" s="40"/>
      <c r="G10" s="40">
        <f t="shared" si="2"/>
        <v>267</v>
      </c>
      <c r="H10" s="40">
        <f t="shared" si="3"/>
        <v>267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1" t="str">
        <f>'Estudio ADEK'!B93</f>
        <v>Tinta pigmentada (100ml)</v>
      </c>
      <c r="C11" s="11" t="s">
        <v>607</v>
      </c>
      <c r="D11" s="40">
        <f>'Estudio ADEK'!E93</f>
        <v>7.8E-2</v>
      </c>
      <c r="E11" s="39">
        <f>'Estudio ADEK'!D93</f>
        <v>300</v>
      </c>
      <c r="F11" s="40"/>
      <c r="G11" s="40">
        <f t="shared" si="2"/>
        <v>23.4</v>
      </c>
      <c r="H11" s="40">
        <f t="shared" si="3"/>
        <v>23.4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57" t="s">
        <v>642</v>
      </c>
      <c r="C12" s="162"/>
      <c r="D12" s="160"/>
      <c r="E12" s="163"/>
      <c r="F12" s="164">
        <f t="shared" ref="F12:H12" si="4">SUM(F13:F14)</f>
        <v>0</v>
      </c>
      <c r="G12" s="164">
        <f t="shared" si="4"/>
        <v>2115</v>
      </c>
      <c r="H12" s="164">
        <f t="shared" si="4"/>
        <v>2115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1" t="s">
        <v>609</v>
      </c>
      <c r="C13" s="11" t="s">
        <v>610</v>
      </c>
      <c r="D13" s="40">
        <f>'Estudio ADEK'!C66</f>
        <v>1185</v>
      </c>
      <c r="E13" s="39">
        <v>1</v>
      </c>
      <c r="F13" s="40"/>
      <c r="G13" s="40">
        <f t="shared" ref="G13:G14" si="5">D13*E13</f>
        <v>1185</v>
      </c>
      <c r="H13" s="40">
        <f t="shared" ref="H13:H14" si="6">F13+G13</f>
        <v>1185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1" t="s">
        <v>611</v>
      </c>
      <c r="C14" s="11" t="s">
        <v>610</v>
      </c>
      <c r="D14" s="40">
        <f>'Estudio ADEK'!C67</f>
        <v>930</v>
      </c>
      <c r="E14" s="39">
        <v>1</v>
      </c>
      <c r="F14" s="40"/>
      <c r="G14" s="40">
        <f t="shared" si="5"/>
        <v>930</v>
      </c>
      <c r="H14" s="40">
        <f t="shared" si="6"/>
        <v>930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57" t="s">
        <v>643</v>
      </c>
      <c r="C15" s="162"/>
      <c r="D15" s="160"/>
      <c r="E15" s="163"/>
      <c r="F15" s="164">
        <f t="shared" ref="F15:H15" si="7">F16</f>
        <v>248.6583333333333</v>
      </c>
      <c r="G15" s="164">
        <f t="shared" si="7"/>
        <v>0</v>
      </c>
      <c r="H15" s="164">
        <f t="shared" si="7"/>
        <v>248.6583333333333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1" t="s">
        <v>285</v>
      </c>
      <c r="C16" s="11"/>
      <c r="D16" s="40">
        <f>'Estudio ADEK'!C185</f>
        <v>248.6583333333333</v>
      </c>
      <c r="E16" s="39">
        <v>1</v>
      </c>
      <c r="F16" s="40">
        <f>D16*E16</f>
        <v>248.6583333333333</v>
      </c>
      <c r="G16" s="40"/>
      <c r="H16" s="40">
        <f>F16+G16</f>
        <v>248.6583333333333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76" t="s">
        <v>644</v>
      </c>
      <c r="C17" s="191"/>
      <c r="D17" s="77"/>
      <c r="E17" s="190"/>
      <c r="F17" s="77">
        <f t="shared" ref="F17:H17" si="8">SUM(F18:F24)</f>
        <v>2393.0561825396826</v>
      </c>
      <c r="G17" s="77">
        <f t="shared" si="8"/>
        <v>0</v>
      </c>
      <c r="H17" s="77">
        <f t="shared" si="8"/>
        <v>2393.0561825396826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92" t="str">
        <f>'Estudio ADEK'!B143</f>
        <v>Gerente General</v>
      </c>
      <c r="C18" s="11" t="s">
        <v>610</v>
      </c>
      <c r="D18" s="193">
        <f>'Estudio ADEK'!C143</f>
        <v>1200</v>
      </c>
      <c r="E18" s="39">
        <v>1</v>
      </c>
      <c r="F18" s="40">
        <f t="shared" ref="F18:F24" si="9">D18*E18</f>
        <v>1200</v>
      </c>
      <c r="G18" s="40"/>
      <c r="H18" s="40">
        <f t="shared" ref="H18:H24" si="10">F18+G18</f>
        <v>1200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92" t="str">
        <f>'Estudio ADEK'!B144</f>
        <v>Contador</v>
      </c>
      <c r="C19" s="11" t="s">
        <v>610</v>
      </c>
      <c r="D19" s="193">
        <f>'Estudio ADEK'!C144</f>
        <v>930</v>
      </c>
      <c r="E19" s="39">
        <v>1</v>
      </c>
      <c r="F19" s="40">
        <f t="shared" si="9"/>
        <v>930</v>
      </c>
      <c r="G19" s="40"/>
      <c r="H19" s="40">
        <f t="shared" si="10"/>
        <v>930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1" t="str">
        <f>'Estudio ADEK'!B151</f>
        <v>Energía eléctrica</v>
      </c>
      <c r="C20" s="11" t="s">
        <v>645</v>
      </c>
      <c r="D20" s="40">
        <f>'Estudio ADEK'!E151</f>
        <v>50</v>
      </c>
      <c r="E20" s="39">
        <f>'Estudio ADEK'!D151</f>
        <v>1</v>
      </c>
      <c r="F20" s="40">
        <f t="shared" si="9"/>
        <v>50</v>
      </c>
      <c r="G20" s="40"/>
      <c r="H20" s="40">
        <f t="shared" si="10"/>
        <v>50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1" t="str">
        <f>'Estudio ADEK'!B152</f>
        <v>Teléfono</v>
      </c>
      <c r="C21" s="11" t="s">
        <v>645</v>
      </c>
      <c r="D21" s="40">
        <f>'Estudio ADEK'!E152</f>
        <v>30</v>
      </c>
      <c r="E21" s="39">
        <f>'Estudio ADEK'!D152</f>
        <v>1</v>
      </c>
      <c r="F21" s="40">
        <f t="shared" si="9"/>
        <v>30</v>
      </c>
      <c r="G21" s="40"/>
      <c r="H21" s="40">
        <f t="shared" si="10"/>
        <v>30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1" t="str">
        <f>'Estudio ADEK'!B153</f>
        <v>Internet</v>
      </c>
      <c r="C22" s="11" t="s">
        <v>645</v>
      </c>
      <c r="D22" s="40">
        <f>'Estudio ADEK'!E153</f>
        <v>60</v>
      </c>
      <c r="E22" s="39">
        <f>'Estudio ADEK'!D153</f>
        <v>1</v>
      </c>
      <c r="F22" s="40">
        <f t="shared" si="9"/>
        <v>60</v>
      </c>
      <c r="G22" s="40"/>
      <c r="H22" s="40">
        <f t="shared" si="10"/>
        <v>60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1" t="str">
        <f>'Estudio ADEK'!B194</f>
        <v xml:space="preserve">Depreciación </v>
      </c>
      <c r="C23" s="11" t="s">
        <v>128</v>
      </c>
      <c r="D23" s="40">
        <f>'Estudio ADEK'!K324</f>
        <v>104.43968253968254</v>
      </c>
      <c r="E23" s="39">
        <v>1</v>
      </c>
      <c r="F23" s="40">
        <f t="shared" si="9"/>
        <v>104.43968253968254</v>
      </c>
      <c r="G23" s="40"/>
      <c r="H23" s="40">
        <f t="shared" si="10"/>
        <v>104.43968253968254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1" t="str">
        <f>'Estudio ADEK'!B193</f>
        <v xml:space="preserve">Amortización Pre operativos </v>
      </c>
      <c r="C24" s="11" t="s">
        <v>128</v>
      </c>
      <c r="D24" s="40">
        <f>'Estudio ADEK'!C193</f>
        <v>18.616499999999998</v>
      </c>
      <c r="E24" s="39">
        <v>1</v>
      </c>
      <c r="F24" s="40">
        <f t="shared" si="9"/>
        <v>18.616499999999998</v>
      </c>
      <c r="G24" s="40"/>
      <c r="H24" s="40">
        <f t="shared" si="10"/>
        <v>18.616499999999998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76" t="s">
        <v>646</v>
      </c>
      <c r="C25" s="191"/>
      <c r="D25" s="77"/>
      <c r="E25" s="190"/>
      <c r="F25" s="77">
        <f t="shared" ref="F25:H25" si="11">SUM(F26:F29)</f>
        <v>1770</v>
      </c>
      <c r="G25" s="77">
        <f t="shared" si="11"/>
        <v>0</v>
      </c>
      <c r="H25" s="77">
        <f t="shared" si="11"/>
        <v>1770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1" t="s">
        <v>625</v>
      </c>
      <c r="C26" s="11" t="s">
        <v>610</v>
      </c>
      <c r="D26" s="40">
        <v>930</v>
      </c>
      <c r="E26" s="39">
        <v>1</v>
      </c>
      <c r="F26" s="193">
        <f t="shared" ref="F26:F29" si="12">D26*E26</f>
        <v>930</v>
      </c>
      <c r="G26" s="40"/>
      <c r="H26" s="40">
        <f t="shared" ref="H26:H29" si="13">F26+G26</f>
        <v>930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1" t="str">
        <f>'Estudio ADEK'!B172</f>
        <v>Publicidad</v>
      </c>
      <c r="C27" s="11"/>
      <c r="D27" s="40">
        <f>'Estudio ADEK'!E172</f>
        <v>25</v>
      </c>
      <c r="E27" s="39">
        <f>'Estudio ADEK'!D172</f>
        <v>1</v>
      </c>
      <c r="F27" s="193">
        <f t="shared" si="12"/>
        <v>25</v>
      </c>
      <c r="G27" s="40"/>
      <c r="H27" s="40">
        <f t="shared" si="13"/>
        <v>25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1" t="str">
        <f>'Estudio ADEK'!B173</f>
        <v xml:space="preserve">Alquiler </v>
      </c>
      <c r="C28" s="11" t="s">
        <v>128</v>
      </c>
      <c r="D28" s="40">
        <f>'Estudio ADEK'!E173</f>
        <v>800</v>
      </c>
      <c r="E28" s="39">
        <f>'Estudio ADEK'!D173</f>
        <v>1</v>
      </c>
      <c r="F28" s="193">
        <f t="shared" si="12"/>
        <v>800</v>
      </c>
      <c r="G28" s="40"/>
      <c r="H28" s="40">
        <f t="shared" si="13"/>
        <v>800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1" t="str">
        <f>'Estudio ADEK'!B174</f>
        <v>Transporte</v>
      </c>
      <c r="C29" s="11"/>
      <c r="D29" s="40">
        <f>'Estudio ADEK'!E174</f>
        <v>15</v>
      </c>
      <c r="E29" s="39">
        <f>'Estudio ADEK'!D174</f>
        <v>1</v>
      </c>
      <c r="F29" s="193">
        <f t="shared" si="12"/>
        <v>15</v>
      </c>
      <c r="G29" s="40"/>
      <c r="H29" s="40">
        <f t="shared" si="13"/>
        <v>15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78" t="s">
        <v>647</v>
      </c>
      <c r="C30" s="78"/>
      <c r="D30" s="43"/>
      <c r="E30" s="42"/>
      <c r="F30" s="43">
        <f t="shared" ref="F30:G30" si="14">F25+F17+F4</f>
        <v>4411.7145158730164</v>
      </c>
      <c r="G30" s="43">
        <f t="shared" si="14"/>
        <v>7345.4</v>
      </c>
      <c r="H30" s="43">
        <f>SUM(F30+G30)</f>
        <v>11757.114515873016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G2:G3"/>
    <mergeCell ref="H2:H3"/>
    <mergeCell ref="B2:B3"/>
    <mergeCell ref="C2:C3"/>
    <mergeCell ref="D2:D3"/>
    <mergeCell ref="E2:E3"/>
    <mergeCell ref="F2:F3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4A9B82"/>
  </sheetPr>
  <dimension ref="A1:Z1000"/>
  <sheetViews>
    <sheetView showGridLines="0" workbookViewId="0">
      <selection activeCell="C8" sqref="C8"/>
    </sheetView>
  </sheetViews>
  <sheetFormatPr baseColWidth="10" defaultColWidth="12.625" defaultRowHeight="15" customHeight="1"/>
  <cols>
    <col min="1" max="1" width="2.375" customWidth="1"/>
    <col min="2" max="2" width="41.75" customWidth="1"/>
    <col min="3" max="4" width="15.5" customWidth="1"/>
    <col min="5" max="5" width="22" customWidth="1"/>
    <col min="6" max="6" width="9.25" customWidth="1"/>
    <col min="7" max="7" width="16.625" customWidth="1"/>
    <col min="8" max="8" width="7" customWidth="1"/>
    <col min="9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2" t="s">
        <v>648</v>
      </c>
      <c r="C2" s="43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78" t="s">
        <v>649</v>
      </c>
      <c r="C4" s="43" t="s">
        <v>650</v>
      </c>
      <c r="D4" s="1"/>
      <c r="E4" s="1"/>
      <c r="F4" s="1"/>
      <c r="G4" s="11"/>
      <c r="H4" s="194"/>
      <c r="I4" s="1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1" t="s">
        <v>277</v>
      </c>
      <c r="C5" s="40">
        <f>Costos_Totales!F17</f>
        <v>2393.0561825396826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1" t="s">
        <v>651</v>
      </c>
      <c r="C6" s="40">
        <f>Costos_Totales!F25</f>
        <v>1770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1" t="s">
        <v>652</v>
      </c>
      <c r="C7" s="40">
        <f>Costos_Totales!F15</f>
        <v>248.6583333333333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95" t="s">
        <v>653</v>
      </c>
      <c r="C8" s="196">
        <f>SUM(C5:C7)</f>
        <v>4411.7145158730164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78" t="s">
        <v>654</v>
      </c>
      <c r="C9" s="43" t="s">
        <v>650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1" t="s">
        <v>655</v>
      </c>
      <c r="C10" s="40">
        <f>Inversión_Inicial!F31</f>
        <v>5230.3999999999996</v>
      </c>
      <c r="D10" s="62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1" t="s">
        <v>575</v>
      </c>
      <c r="C11" s="40">
        <f>Inversión_Inicial!F32</f>
        <v>2115</v>
      </c>
      <c r="D11" s="62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1" t="s">
        <v>656</v>
      </c>
      <c r="C12" s="40">
        <f>Costos_Totales!G15</f>
        <v>0</v>
      </c>
      <c r="D12" s="62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95" t="s">
        <v>657</v>
      </c>
      <c r="C13" s="196">
        <f>C10+C11</f>
        <v>7345.4</v>
      </c>
      <c r="D13" s="62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78" t="s">
        <v>658</v>
      </c>
      <c r="C14" s="43">
        <f>(C8+C13)/C15</f>
        <v>39.19038171957672</v>
      </c>
      <c r="D14" s="62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1" t="s">
        <v>659</v>
      </c>
      <c r="C15" s="39">
        <f>'Estudio ADEK'!C2</f>
        <v>300</v>
      </c>
      <c r="D15" s="62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1" t="s">
        <v>660</v>
      </c>
      <c r="C16" s="40">
        <f>C8/C15</f>
        <v>14.705715052910055</v>
      </c>
      <c r="D16" s="62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1" t="s">
        <v>661</v>
      </c>
      <c r="C17" s="40">
        <f>C13/C15</f>
        <v>24.484666666666666</v>
      </c>
      <c r="D17" s="62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1" t="s">
        <v>662</v>
      </c>
      <c r="C18" s="40">
        <f>+C17+C16</f>
        <v>39.19038171957672</v>
      </c>
      <c r="D18" s="62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1" t="s">
        <v>663</v>
      </c>
      <c r="C19" s="40">
        <v>6</v>
      </c>
      <c r="D19" s="40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1" t="s">
        <v>664</v>
      </c>
      <c r="C20" s="40">
        <f>C18+C19</f>
        <v>45.19038171957672</v>
      </c>
      <c r="D20" s="178">
        <f>ROUND(C20,0)</f>
        <v>45</v>
      </c>
      <c r="E20" s="1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1" t="s">
        <v>665</v>
      </c>
      <c r="C21" s="40">
        <f>C20*18%</f>
        <v>8.1342687095238091</v>
      </c>
      <c r="D21" s="40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6" t="s">
        <v>666</v>
      </c>
      <c r="C22" s="40">
        <f>C20+C21</f>
        <v>53.324650429100529</v>
      </c>
      <c r="D22" s="113">
        <f>ROUND(C22,0)</f>
        <v>53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56" t="s">
        <v>667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97" t="s">
        <v>668</v>
      </c>
      <c r="C26" s="198">
        <f>Costos_Totales!G30</f>
        <v>7345.4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97" t="s">
        <v>669</v>
      </c>
      <c r="C27" s="198">
        <f>Costos_Totales!F30</f>
        <v>4411.7145158730164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97" t="s">
        <v>670</v>
      </c>
      <c r="C28" s="198">
        <f>C26/'Estudio ADEK'!C2</f>
        <v>24.484666666666666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97" t="s">
        <v>311</v>
      </c>
      <c r="C29" s="198">
        <f>D22</f>
        <v>53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97" t="s">
        <v>671</v>
      </c>
      <c r="C30" s="198">
        <f>D22-C28</f>
        <v>28.515333333333334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97" t="s">
        <v>672</v>
      </c>
      <c r="C31" s="198">
        <f>Costos_Totales!F30/(D22-C28)</f>
        <v>154.71376274307448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C2"/>
  </mergeCells>
  <pageMargins left="0.7" right="0.7" top="0.75" bottom="0.75" header="0" footer="0"/>
  <pageSetup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showGridLines="0" workbookViewId="0">
      <selection activeCell="E10" sqref="E10"/>
    </sheetView>
  </sheetViews>
  <sheetFormatPr baseColWidth="10" defaultColWidth="12.625" defaultRowHeight="15" customHeight="1"/>
  <cols>
    <col min="1" max="1" width="3.125" customWidth="1"/>
    <col min="2" max="2" width="35.625" customWidth="1"/>
    <col min="3" max="16" width="12" customWidth="1"/>
    <col min="17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673</v>
      </c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7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35" t="s">
        <v>674</v>
      </c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7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460" t="s">
        <v>552</v>
      </c>
      <c r="C5" s="462" t="s">
        <v>169</v>
      </c>
      <c r="D5" s="463"/>
      <c r="E5" s="463"/>
      <c r="F5" s="463"/>
      <c r="G5" s="463"/>
      <c r="H5" s="463"/>
      <c r="I5" s="463"/>
      <c r="J5" s="463"/>
      <c r="K5" s="463"/>
      <c r="L5" s="463"/>
      <c r="M5" s="463"/>
      <c r="N5" s="464"/>
      <c r="O5" s="199"/>
      <c r="P5" s="460" t="s">
        <v>99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61"/>
      <c r="C6" s="200">
        <v>0</v>
      </c>
      <c r="D6" s="200">
        <v>1</v>
      </c>
      <c r="E6" s="200">
        <v>2</v>
      </c>
      <c r="F6" s="200">
        <v>3</v>
      </c>
      <c r="G6" s="200">
        <v>4</v>
      </c>
      <c r="H6" s="200">
        <v>5</v>
      </c>
      <c r="I6" s="200">
        <v>6</v>
      </c>
      <c r="J6" s="200">
        <v>7</v>
      </c>
      <c r="K6" s="200">
        <v>8</v>
      </c>
      <c r="L6" s="200">
        <v>9</v>
      </c>
      <c r="M6" s="200">
        <v>10</v>
      </c>
      <c r="N6" s="200">
        <v>11</v>
      </c>
      <c r="O6" s="200">
        <v>12</v>
      </c>
      <c r="P6" s="46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201" t="s">
        <v>243</v>
      </c>
      <c r="C7" s="202"/>
      <c r="D7" s="202">
        <f>Venta_Unidades!C6</f>
        <v>300</v>
      </c>
      <c r="E7" s="202">
        <f>Venta_Unidades!D6</f>
        <v>334</v>
      </c>
      <c r="F7" s="202">
        <f>Venta_Unidades!E6</f>
        <v>339</v>
      </c>
      <c r="G7" s="202">
        <f>Venta_Unidades!F6</f>
        <v>341</v>
      </c>
      <c r="H7" s="202">
        <f>Venta_Unidades!G6</f>
        <v>354</v>
      </c>
      <c r="I7" s="202">
        <f>Venta_Unidades!H6</f>
        <v>443</v>
      </c>
      <c r="J7" s="202">
        <f>Venta_Unidades!I6</f>
        <v>364</v>
      </c>
      <c r="K7" s="202">
        <f>Venta_Unidades!J6</f>
        <v>414</v>
      </c>
      <c r="L7" s="202">
        <f>Venta_Unidades!K6</f>
        <v>314</v>
      </c>
      <c r="M7" s="202">
        <f>Venta_Unidades!L6</f>
        <v>444</v>
      </c>
      <c r="N7" s="202">
        <f>Venta_Unidades!M6</f>
        <v>384</v>
      </c>
      <c r="O7" s="202">
        <f>Venta_Unidades!N6</f>
        <v>337</v>
      </c>
      <c r="P7" s="202">
        <f>SUM(D7:O7)</f>
        <v>4368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201" t="s">
        <v>675</v>
      </c>
      <c r="C8" s="203"/>
      <c r="D8" s="203">
        <f>'Estudio ADEK'!C210</f>
        <v>24.484666666666666</v>
      </c>
      <c r="E8" s="203">
        <f t="shared" ref="E8:O8" si="0">D8</f>
        <v>24.484666666666666</v>
      </c>
      <c r="F8" s="203">
        <f t="shared" si="0"/>
        <v>24.484666666666666</v>
      </c>
      <c r="G8" s="203">
        <f t="shared" si="0"/>
        <v>24.484666666666666</v>
      </c>
      <c r="H8" s="203">
        <f t="shared" si="0"/>
        <v>24.484666666666666</v>
      </c>
      <c r="I8" s="203">
        <f t="shared" si="0"/>
        <v>24.484666666666666</v>
      </c>
      <c r="J8" s="203">
        <f t="shared" si="0"/>
        <v>24.484666666666666</v>
      </c>
      <c r="K8" s="203">
        <f t="shared" si="0"/>
        <v>24.484666666666666</v>
      </c>
      <c r="L8" s="203">
        <f t="shared" si="0"/>
        <v>24.484666666666666</v>
      </c>
      <c r="M8" s="203">
        <f t="shared" si="0"/>
        <v>24.484666666666666</v>
      </c>
      <c r="N8" s="203">
        <f t="shared" si="0"/>
        <v>24.484666666666666</v>
      </c>
      <c r="O8" s="203">
        <f t="shared" si="0"/>
        <v>24.484666666666666</v>
      </c>
      <c r="P8" s="203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201" t="s">
        <v>676</v>
      </c>
      <c r="C9" s="203"/>
      <c r="D9" s="203">
        <f t="shared" ref="D9:O9" si="1">D7*D8</f>
        <v>7345.4</v>
      </c>
      <c r="E9" s="203">
        <f t="shared" si="1"/>
        <v>8177.8786666666665</v>
      </c>
      <c r="F9" s="203">
        <f t="shared" si="1"/>
        <v>8300.3019999999997</v>
      </c>
      <c r="G9" s="203">
        <f t="shared" si="1"/>
        <v>8349.2713333333322</v>
      </c>
      <c r="H9" s="203">
        <f t="shared" si="1"/>
        <v>8667.5720000000001</v>
      </c>
      <c r="I9" s="203">
        <f t="shared" si="1"/>
        <v>10846.707333333334</v>
      </c>
      <c r="J9" s="203">
        <f t="shared" si="1"/>
        <v>8912.4186666666665</v>
      </c>
      <c r="K9" s="203">
        <f t="shared" si="1"/>
        <v>10136.652</v>
      </c>
      <c r="L9" s="203">
        <f t="shared" si="1"/>
        <v>7688.1853333333329</v>
      </c>
      <c r="M9" s="203">
        <f t="shared" si="1"/>
        <v>10871.191999999999</v>
      </c>
      <c r="N9" s="203">
        <f t="shared" si="1"/>
        <v>9402.1119999999992</v>
      </c>
      <c r="O9" s="203">
        <f t="shared" si="1"/>
        <v>8251.3326666666671</v>
      </c>
      <c r="P9" s="203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201" t="s">
        <v>677</v>
      </c>
      <c r="C10" s="203"/>
      <c r="D10" s="203">
        <f>Gastos_Operativos!F18</f>
        <v>4085</v>
      </c>
      <c r="E10" s="203">
        <f t="shared" ref="E10:O10" si="2">D10</f>
        <v>4085</v>
      </c>
      <c r="F10" s="203">
        <f t="shared" si="2"/>
        <v>4085</v>
      </c>
      <c r="G10" s="203">
        <f t="shared" si="2"/>
        <v>4085</v>
      </c>
      <c r="H10" s="203">
        <f t="shared" si="2"/>
        <v>4085</v>
      </c>
      <c r="I10" s="203">
        <f t="shared" si="2"/>
        <v>4085</v>
      </c>
      <c r="J10" s="203">
        <f t="shared" si="2"/>
        <v>4085</v>
      </c>
      <c r="K10" s="203">
        <f t="shared" si="2"/>
        <v>4085</v>
      </c>
      <c r="L10" s="203">
        <f t="shared" si="2"/>
        <v>4085</v>
      </c>
      <c r="M10" s="203">
        <f t="shared" si="2"/>
        <v>4085</v>
      </c>
      <c r="N10" s="203">
        <f t="shared" si="2"/>
        <v>4085</v>
      </c>
      <c r="O10" s="203">
        <f t="shared" si="2"/>
        <v>4085</v>
      </c>
      <c r="P10" s="203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201" t="s">
        <v>354</v>
      </c>
      <c r="C11" s="203"/>
      <c r="D11" s="203">
        <f t="shared" ref="D11:O11" si="3">D9+D10</f>
        <v>11430.4</v>
      </c>
      <c r="E11" s="203">
        <f t="shared" si="3"/>
        <v>12262.878666666667</v>
      </c>
      <c r="F11" s="203">
        <f t="shared" si="3"/>
        <v>12385.302</v>
      </c>
      <c r="G11" s="203">
        <f t="shared" si="3"/>
        <v>12434.271333333332</v>
      </c>
      <c r="H11" s="203">
        <f t="shared" si="3"/>
        <v>12752.572</v>
      </c>
      <c r="I11" s="203">
        <f t="shared" si="3"/>
        <v>14931.707333333334</v>
      </c>
      <c r="J11" s="203">
        <f t="shared" si="3"/>
        <v>12997.418666666666</v>
      </c>
      <c r="K11" s="203">
        <f t="shared" si="3"/>
        <v>14221.652</v>
      </c>
      <c r="L11" s="203">
        <f t="shared" si="3"/>
        <v>11773.185333333333</v>
      </c>
      <c r="M11" s="203">
        <f t="shared" si="3"/>
        <v>14956.191999999999</v>
      </c>
      <c r="N11" s="203">
        <f t="shared" si="3"/>
        <v>13487.111999999999</v>
      </c>
      <c r="O11" s="203">
        <f t="shared" si="3"/>
        <v>12336.332666666667</v>
      </c>
      <c r="P11" s="203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201" t="s">
        <v>678</v>
      </c>
      <c r="C12" s="203">
        <f>D11</f>
        <v>11430.4</v>
      </c>
      <c r="D12" s="203">
        <f t="shared" ref="D12:N12" si="4">E11-D11</f>
        <v>832.47866666666778</v>
      </c>
      <c r="E12" s="203">
        <f t="shared" si="4"/>
        <v>122.42333333333227</v>
      </c>
      <c r="F12" s="203">
        <f t="shared" si="4"/>
        <v>48.969333333332543</v>
      </c>
      <c r="G12" s="203">
        <f t="shared" si="4"/>
        <v>318.30066666666789</v>
      </c>
      <c r="H12" s="203">
        <f t="shared" si="4"/>
        <v>2179.1353333333336</v>
      </c>
      <c r="I12" s="203">
        <f t="shared" si="4"/>
        <v>-1934.2886666666673</v>
      </c>
      <c r="J12" s="203">
        <f t="shared" si="4"/>
        <v>1224.2333333333336</v>
      </c>
      <c r="K12" s="203">
        <f t="shared" si="4"/>
        <v>-2448.4666666666672</v>
      </c>
      <c r="L12" s="203">
        <f t="shared" si="4"/>
        <v>3183.0066666666662</v>
      </c>
      <c r="M12" s="203">
        <f t="shared" si="4"/>
        <v>-1469.08</v>
      </c>
      <c r="N12" s="203">
        <f t="shared" si="4"/>
        <v>-1150.779333333332</v>
      </c>
      <c r="O12" s="203"/>
      <c r="P12" s="204">
        <f>SUM(C12:O12)</f>
        <v>12336.332666666667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205" t="s">
        <v>679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56" t="s">
        <v>680</v>
      </c>
      <c r="C14" s="1"/>
      <c r="D14" s="156"/>
      <c r="E14" s="206">
        <f>P12</f>
        <v>12336.332666666667</v>
      </c>
      <c r="F14" s="156" t="s">
        <v>681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2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435" t="s">
        <v>682</v>
      </c>
      <c r="C16" s="436"/>
      <c r="D16" s="436"/>
      <c r="E16" s="436"/>
      <c r="F16" s="436"/>
      <c r="G16" s="436"/>
      <c r="H16" s="436"/>
      <c r="I16" s="436"/>
      <c r="J16" s="436"/>
      <c r="K16" s="436"/>
      <c r="L16" s="436"/>
      <c r="M16" s="436"/>
      <c r="N16" s="436"/>
      <c r="O16" s="436"/>
      <c r="P16" s="437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2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460" t="s">
        <v>552</v>
      </c>
      <c r="C18" s="462" t="s">
        <v>169</v>
      </c>
      <c r="D18" s="463"/>
      <c r="E18" s="463"/>
      <c r="F18" s="463"/>
      <c r="G18" s="463"/>
      <c r="H18" s="463"/>
      <c r="I18" s="463"/>
      <c r="J18" s="463"/>
      <c r="K18" s="463"/>
      <c r="L18" s="463"/>
      <c r="M18" s="463"/>
      <c r="N18" s="464"/>
      <c r="O18" s="200"/>
      <c r="P18" s="460" t="s">
        <v>99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461"/>
      <c r="C19" s="200">
        <v>0</v>
      </c>
      <c r="D19" s="200">
        <v>1</v>
      </c>
      <c r="E19" s="200">
        <v>2</v>
      </c>
      <c r="F19" s="200">
        <v>3</v>
      </c>
      <c r="G19" s="200">
        <v>4</v>
      </c>
      <c r="H19" s="200">
        <v>5</v>
      </c>
      <c r="I19" s="200">
        <v>6</v>
      </c>
      <c r="J19" s="200">
        <v>7</v>
      </c>
      <c r="K19" s="200">
        <v>8</v>
      </c>
      <c r="L19" s="200">
        <v>9</v>
      </c>
      <c r="M19" s="200">
        <v>10</v>
      </c>
      <c r="N19" s="200">
        <v>11</v>
      </c>
      <c r="O19" s="200">
        <v>12</v>
      </c>
      <c r="P19" s="46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201" t="s">
        <v>243</v>
      </c>
      <c r="C20" s="202"/>
      <c r="D20" s="202">
        <f t="shared" ref="D20:O20" si="5">D7</f>
        <v>300</v>
      </c>
      <c r="E20" s="202">
        <f t="shared" si="5"/>
        <v>334</v>
      </c>
      <c r="F20" s="202">
        <f t="shared" si="5"/>
        <v>339</v>
      </c>
      <c r="G20" s="202">
        <f t="shared" si="5"/>
        <v>341</v>
      </c>
      <c r="H20" s="202">
        <f t="shared" si="5"/>
        <v>354</v>
      </c>
      <c r="I20" s="202">
        <f t="shared" si="5"/>
        <v>443</v>
      </c>
      <c r="J20" s="202">
        <f t="shared" si="5"/>
        <v>364</v>
      </c>
      <c r="K20" s="202">
        <f t="shared" si="5"/>
        <v>414</v>
      </c>
      <c r="L20" s="202">
        <f t="shared" si="5"/>
        <v>314</v>
      </c>
      <c r="M20" s="202">
        <f t="shared" si="5"/>
        <v>444</v>
      </c>
      <c r="N20" s="202">
        <f t="shared" si="5"/>
        <v>384</v>
      </c>
      <c r="O20" s="202">
        <f t="shared" si="5"/>
        <v>337</v>
      </c>
      <c r="P20" s="202">
        <f>SUM(D20:O20)</f>
        <v>4368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201" t="s">
        <v>675</v>
      </c>
      <c r="C21" s="203"/>
      <c r="D21" s="203">
        <f>D8</f>
        <v>24.484666666666666</v>
      </c>
      <c r="E21" s="203">
        <f t="shared" ref="E21:O21" si="6">D21</f>
        <v>24.484666666666666</v>
      </c>
      <c r="F21" s="203">
        <f t="shared" si="6"/>
        <v>24.484666666666666</v>
      </c>
      <c r="G21" s="203">
        <f t="shared" si="6"/>
        <v>24.484666666666666</v>
      </c>
      <c r="H21" s="203">
        <f t="shared" si="6"/>
        <v>24.484666666666666</v>
      </c>
      <c r="I21" s="203">
        <f t="shared" si="6"/>
        <v>24.484666666666666</v>
      </c>
      <c r="J21" s="203">
        <f t="shared" si="6"/>
        <v>24.484666666666666</v>
      </c>
      <c r="K21" s="203">
        <f t="shared" si="6"/>
        <v>24.484666666666666</v>
      </c>
      <c r="L21" s="203">
        <f t="shared" si="6"/>
        <v>24.484666666666666</v>
      </c>
      <c r="M21" s="203">
        <f t="shared" si="6"/>
        <v>24.484666666666666</v>
      </c>
      <c r="N21" s="203">
        <f t="shared" si="6"/>
        <v>24.484666666666666</v>
      </c>
      <c r="O21" s="203">
        <f t="shared" si="6"/>
        <v>24.484666666666666</v>
      </c>
      <c r="P21" s="203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201" t="s">
        <v>676</v>
      </c>
      <c r="C22" s="203"/>
      <c r="D22" s="203">
        <f t="shared" ref="D22:O22" si="7">D20*D21</f>
        <v>7345.4</v>
      </c>
      <c r="E22" s="203">
        <f t="shared" si="7"/>
        <v>8177.8786666666665</v>
      </c>
      <c r="F22" s="203">
        <f t="shared" si="7"/>
        <v>8300.3019999999997</v>
      </c>
      <c r="G22" s="203">
        <f t="shared" si="7"/>
        <v>8349.2713333333322</v>
      </c>
      <c r="H22" s="203">
        <f t="shared" si="7"/>
        <v>8667.5720000000001</v>
      </c>
      <c r="I22" s="203">
        <f t="shared" si="7"/>
        <v>10846.707333333334</v>
      </c>
      <c r="J22" s="203">
        <f t="shared" si="7"/>
        <v>8912.4186666666665</v>
      </c>
      <c r="K22" s="203">
        <f t="shared" si="7"/>
        <v>10136.652</v>
      </c>
      <c r="L22" s="203">
        <f t="shared" si="7"/>
        <v>7688.1853333333329</v>
      </c>
      <c r="M22" s="203">
        <f t="shared" si="7"/>
        <v>10871.191999999999</v>
      </c>
      <c r="N22" s="203">
        <f t="shared" si="7"/>
        <v>9402.1119999999992</v>
      </c>
      <c r="O22" s="203">
        <f t="shared" si="7"/>
        <v>8251.3326666666671</v>
      </c>
      <c r="P22" s="203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201" t="s">
        <v>354</v>
      </c>
      <c r="C23" s="203"/>
      <c r="D23" s="203">
        <f t="shared" ref="D23:O23" si="8">D22</f>
        <v>7345.4</v>
      </c>
      <c r="E23" s="203">
        <f t="shared" si="8"/>
        <v>8177.8786666666665</v>
      </c>
      <c r="F23" s="203">
        <f t="shared" si="8"/>
        <v>8300.3019999999997</v>
      </c>
      <c r="G23" s="203">
        <f t="shared" si="8"/>
        <v>8349.2713333333322</v>
      </c>
      <c r="H23" s="203">
        <f t="shared" si="8"/>
        <v>8667.5720000000001</v>
      </c>
      <c r="I23" s="203">
        <f t="shared" si="8"/>
        <v>10846.707333333334</v>
      </c>
      <c r="J23" s="203">
        <f t="shared" si="8"/>
        <v>8912.4186666666665</v>
      </c>
      <c r="K23" s="203">
        <f t="shared" si="8"/>
        <v>10136.652</v>
      </c>
      <c r="L23" s="203">
        <f t="shared" si="8"/>
        <v>7688.1853333333329</v>
      </c>
      <c r="M23" s="203">
        <f t="shared" si="8"/>
        <v>10871.191999999999</v>
      </c>
      <c r="N23" s="203">
        <f t="shared" si="8"/>
        <v>9402.1119999999992</v>
      </c>
      <c r="O23" s="203">
        <f t="shared" si="8"/>
        <v>8251.3326666666671</v>
      </c>
      <c r="P23" s="203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201" t="s">
        <v>678</v>
      </c>
      <c r="C24" s="203">
        <f>D23</f>
        <v>7345.4</v>
      </c>
      <c r="D24" s="203">
        <f t="shared" ref="D24:N24" si="9">E23-D23</f>
        <v>832.47866666666687</v>
      </c>
      <c r="E24" s="203">
        <f t="shared" si="9"/>
        <v>122.42333333333318</v>
      </c>
      <c r="F24" s="203">
        <f t="shared" si="9"/>
        <v>48.969333333332543</v>
      </c>
      <c r="G24" s="203">
        <f t="shared" si="9"/>
        <v>318.30066666666789</v>
      </c>
      <c r="H24" s="203">
        <f t="shared" si="9"/>
        <v>2179.1353333333336</v>
      </c>
      <c r="I24" s="203">
        <f t="shared" si="9"/>
        <v>-1934.2886666666673</v>
      </c>
      <c r="J24" s="203">
        <f t="shared" si="9"/>
        <v>1224.2333333333336</v>
      </c>
      <c r="K24" s="203">
        <f t="shared" si="9"/>
        <v>-2448.4666666666672</v>
      </c>
      <c r="L24" s="203">
        <f t="shared" si="9"/>
        <v>3183.0066666666662</v>
      </c>
      <c r="M24" s="203">
        <f t="shared" si="9"/>
        <v>-1469.08</v>
      </c>
      <c r="N24" s="203">
        <f t="shared" si="9"/>
        <v>-1150.779333333332</v>
      </c>
      <c r="O24" s="203"/>
      <c r="P24" s="204">
        <f>SUM(C24:O24)</f>
        <v>8251.3326666666671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56" t="s">
        <v>683</v>
      </c>
      <c r="C25" s="1"/>
      <c r="D25" s="1"/>
      <c r="E25" s="1"/>
      <c r="F25" s="207">
        <f>P24</f>
        <v>8251.3326666666671</v>
      </c>
      <c r="G25" s="156" t="s">
        <v>684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56"/>
      <c r="D26" s="156"/>
      <c r="E26" s="156"/>
      <c r="F26" s="1"/>
      <c r="G26" s="1"/>
      <c r="H26" s="156"/>
      <c r="I26" s="156"/>
      <c r="J26" s="156"/>
      <c r="K26" s="156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P5:P6"/>
    <mergeCell ref="P18:P19"/>
    <mergeCell ref="B2:P2"/>
    <mergeCell ref="B3:P3"/>
    <mergeCell ref="B5:B6"/>
    <mergeCell ref="C5:N5"/>
    <mergeCell ref="B16:P16"/>
    <mergeCell ref="B18:B19"/>
    <mergeCell ref="C18:N18"/>
  </mergeCells>
  <pageMargins left="0.7" right="0.7" top="0.75" bottom="0.75" header="0" footer="0"/>
  <pageSetup orientation="landscape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19" workbookViewId="0">
      <selection activeCell="C30" sqref="C30"/>
    </sheetView>
  </sheetViews>
  <sheetFormatPr baseColWidth="10" defaultColWidth="12.625" defaultRowHeight="15" customHeight="1"/>
  <cols>
    <col min="1" max="1" width="2.375" customWidth="1"/>
    <col min="2" max="2" width="35.625" customWidth="1"/>
    <col min="3" max="6" width="15.5" customWidth="1"/>
    <col min="7" max="19" width="10" customWidth="1"/>
    <col min="20" max="20" width="13.625" customWidth="1"/>
    <col min="21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156" t="s">
        <v>685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35" t="s">
        <v>205</v>
      </c>
      <c r="C3" s="436"/>
      <c r="D3" s="436"/>
      <c r="E3" s="436"/>
      <c r="F3" s="43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33" t="s">
        <v>206</v>
      </c>
      <c r="C4" s="33" t="s">
        <v>207</v>
      </c>
      <c r="D4" s="33" t="s">
        <v>175</v>
      </c>
      <c r="E4" s="33" t="s">
        <v>40</v>
      </c>
      <c r="F4" s="33" t="s">
        <v>208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208"/>
      <c r="U4" s="209"/>
      <c r="V4" s="209"/>
      <c r="W4" s="209"/>
      <c r="X4" s="210"/>
      <c r="Y4" s="1"/>
      <c r="Z4" s="1"/>
    </row>
    <row r="5" spans="1:26">
      <c r="A5" s="1"/>
      <c r="B5" s="39">
        <f>'Estudio ADEK'!B215</f>
        <v>0</v>
      </c>
      <c r="C5" s="40">
        <f>'Estudio ADEK'!C215</f>
        <v>4411.7145158730164</v>
      </c>
      <c r="D5" s="40">
        <f>'Estudio ADEK'!D215</f>
        <v>0</v>
      </c>
      <c r="E5" s="40">
        <f>'Estudio ADEK'!E215</f>
        <v>4411.7145158730164</v>
      </c>
      <c r="F5" s="40">
        <f>'Estudio ADEK'!F215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211"/>
      <c r="U5" s="212"/>
      <c r="V5" s="213"/>
      <c r="W5" s="213"/>
      <c r="X5" s="214"/>
      <c r="Y5" s="1"/>
      <c r="Z5" s="1"/>
    </row>
    <row r="6" spans="1:26">
      <c r="A6" s="1"/>
      <c r="B6" s="39">
        <f>'Estudio ADEK'!B216</f>
        <v>100</v>
      </c>
      <c r="C6" s="40">
        <f>'Estudio ADEK'!C216</f>
        <v>4411.7145158730164</v>
      </c>
      <c r="D6" s="40">
        <f>'Estudio ADEK'!D216</f>
        <v>2448.4666666666667</v>
      </c>
      <c r="E6" s="40">
        <f>'Estudio ADEK'!E216</f>
        <v>6860.1811825396835</v>
      </c>
      <c r="F6" s="40">
        <f>'Estudio ADEK'!F216</f>
        <v>5300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39">
        <f>'Estudio ADEK'!B217</f>
        <v>125</v>
      </c>
      <c r="C7" s="40">
        <f>'Estudio ADEK'!C217</f>
        <v>4411.7145158730164</v>
      </c>
      <c r="D7" s="40">
        <f>'Estudio ADEK'!D217</f>
        <v>3060.583333333333</v>
      </c>
      <c r="E7" s="40">
        <f>'Estudio ADEK'!E217</f>
        <v>7472.2978492063494</v>
      </c>
      <c r="F7" s="40">
        <f>'Estudio ADEK'!F217</f>
        <v>6625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39">
        <f>'Estudio ADEK'!B218</f>
        <v>150</v>
      </c>
      <c r="C8" s="40">
        <f>'Estudio ADEK'!C218</f>
        <v>4411.7145158730164</v>
      </c>
      <c r="D8" s="40">
        <f>'Estudio ADEK'!D218</f>
        <v>3672.7</v>
      </c>
      <c r="E8" s="40">
        <f>'Estudio ADEK'!E218</f>
        <v>8084.4145158730162</v>
      </c>
      <c r="F8" s="40">
        <f>'Estudio ADEK'!F218</f>
        <v>7950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52">
        <f>'Estudio ADEK'!B219</f>
        <v>154.71376274307448</v>
      </c>
      <c r="C9" s="215">
        <f>'Estudio ADEK'!C219</f>
        <v>4411.7145158730164</v>
      </c>
      <c r="D9" s="215">
        <f>'Estudio ADEK'!D219</f>
        <v>3788.1149095099308</v>
      </c>
      <c r="E9" s="215">
        <f>'Estudio ADEK'!E219</f>
        <v>8199.8294253829481</v>
      </c>
      <c r="F9" s="215">
        <f>'Estudio ADEK'!F219</f>
        <v>8199.8294253829481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39">
        <f>'Estudio ADEK'!B220</f>
        <v>300</v>
      </c>
      <c r="C10" s="40">
        <f>'Estudio ADEK'!C220</f>
        <v>4411.7145158730164</v>
      </c>
      <c r="D10" s="40">
        <f>'Estudio ADEK'!D220</f>
        <v>7345.4</v>
      </c>
      <c r="E10" s="40">
        <f>'Estudio ADEK'!E220</f>
        <v>11757.114515873016</v>
      </c>
      <c r="F10" s="40">
        <f>'Estudio ADEK'!F220</f>
        <v>15900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39">
        <f>'Estudio ADEK'!B221</f>
        <v>334</v>
      </c>
      <c r="C11" s="40">
        <f>'Estudio ADEK'!C221</f>
        <v>4411.7145158730164</v>
      </c>
      <c r="D11" s="40">
        <f>'Estudio ADEK'!D221</f>
        <v>8177.8786666666665</v>
      </c>
      <c r="E11" s="40">
        <f>'Estudio ADEK'!E221</f>
        <v>12589.593182539684</v>
      </c>
      <c r="F11" s="40">
        <f>'Estudio ADEK'!F221</f>
        <v>17702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39">
        <f>'Estudio ADEK'!B222</f>
        <v>339</v>
      </c>
      <c r="C12" s="40">
        <f>'Estudio ADEK'!C222</f>
        <v>4411.7145158730164</v>
      </c>
      <c r="D12" s="40">
        <f>'Estudio ADEK'!D222</f>
        <v>8300.3019999999997</v>
      </c>
      <c r="E12" s="40">
        <f>'Estudio ADEK'!E222</f>
        <v>12712.016515873016</v>
      </c>
      <c r="F12" s="40">
        <f>'Estudio ADEK'!F222</f>
        <v>17967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39">
        <f>'Estudio ADEK'!B223</f>
        <v>341</v>
      </c>
      <c r="C13" s="40">
        <f>'Estudio ADEK'!C223</f>
        <v>4411.7145158730164</v>
      </c>
      <c r="D13" s="40">
        <f>'Estudio ADEK'!D223</f>
        <v>8349.2713333333322</v>
      </c>
      <c r="E13" s="40">
        <f>'Estudio ADEK'!E223</f>
        <v>12760.985849206349</v>
      </c>
      <c r="F13" s="40">
        <f>'Estudio ADEK'!F223</f>
        <v>18073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39">
        <f>'Estudio ADEK'!B224</f>
        <v>354</v>
      </c>
      <c r="C14" s="40">
        <f>'Estudio ADEK'!C224</f>
        <v>4411.7145158730164</v>
      </c>
      <c r="D14" s="40">
        <f>'Estudio ADEK'!D224</f>
        <v>8667.5720000000001</v>
      </c>
      <c r="E14" s="40">
        <f>'Estudio ADEK'!E224</f>
        <v>13079.286515873016</v>
      </c>
      <c r="F14" s="40">
        <f>'Estudio ADEK'!F224</f>
        <v>18762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39">
        <f>'Estudio ADEK'!B225</f>
        <v>443</v>
      </c>
      <c r="C15" s="40">
        <f>'Estudio ADEK'!C225</f>
        <v>4411.7145158730164</v>
      </c>
      <c r="D15" s="40">
        <f>'Estudio ADEK'!D225</f>
        <v>10846.707333333334</v>
      </c>
      <c r="E15" s="40">
        <f>'Estudio ADEK'!E225</f>
        <v>15258.42184920635</v>
      </c>
      <c r="F15" s="40">
        <f>'Estudio ADEK'!F225</f>
        <v>23479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39">
        <f>'Estudio ADEK'!B226</f>
        <v>364</v>
      </c>
      <c r="C16" s="40">
        <f>'Estudio ADEK'!C226</f>
        <v>4411.7145158730164</v>
      </c>
      <c r="D16" s="40">
        <f>'Estudio ADEK'!D226</f>
        <v>8912.4186666666665</v>
      </c>
      <c r="E16" s="40">
        <f>'Estudio ADEK'!E226</f>
        <v>13324.133182539683</v>
      </c>
      <c r="F16" s="40">
        <f>'Estudio ADEK'!F226</f>
        <v>19292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39">
        <f>'Estudio ADEK'!B227</f>
        <v>414</v>
      </c>
      <c r="C17" s="40">
        <f>'Estudio ADEK'!C227</f>
        <v>4411.7145158730164</v>
      </c>
      <c r="D17" s="40">
        <f>'Estudio ADEK'!D227</f>
        <v>10136.652</v>
      </c>
      <c r="E17" s="40">
        <f>'Estudio ADEK'!E227</f>
        <v>14548.366515873016</v>
      </c>
      <c r="F17" s="40">
        <f>'Estudio ADEK'!F227</f>
        <v>21942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39">
        <f>'Estudio ADEK'!B228</f>
        <v>314</v>
      </c>
      <c r="C18" s="40">
        <f>'Estudio ADEK'!C228</f>
        <v>4411.7145158730164</v>
      </c>
      <c r="D18" s="40">
        <f>'Estudio ADEK'!D228</f>
        <v>7688.1853333333329</v>
      </c>
      <c r="E18" s="40">
        <f>'Estudio ADEK'!E228</f>
        <v>12099.899849206349</v>
      </c>
      <c r="F18" s="40">
        <f>'Estudio ADEK'!F228</f>
        <v>16642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39">
        <f>'Estudio ADEK'!B229</f>
        <v>444</v>
      </c>
      <c r="C19" s="40">
        <f>'Estudio ADEK'!C229</f>
        <v>4411.7145158730164</v>
      </c>
      <c r="D19" s="40">
        <f>'Estudio ADEK'!D229</f>
        <v>10871.191999999999</v>
      </c>
      <c r="E19" s="40">
        <f>'Estudio ADEK'!E229</f>
        <v>15282.906515873015</v>
      </c>
      <c r="F19" s="40">
        <f>'Estudio ADEK'!F229</f>
        <v>23532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39">
        <f>'Estudio ADEK'!B230</f>
        <v>384</v>
      </c>
      <c r="C20" s="40">
        <f>'Estudio ADEK'!C230</f>
        <v>4411.7145158730164</v>
      </c>
      <c r="D20" s="40">
        <f>'Estudio ADEK'!D230</f>
        <v>9402.1119999999992</v>
      </c>
      <c r="E20" s="40">
        <f>'Estudio ADEK'!E230</f>
        <v>13813.826515873016</v>
      </c>
      <c r="F20" s="40">
        <f>'Estudio ADEK'!F230</f>
        <v>20352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50">
        <f>'Estudio ADEK'!B231</f>
        <v>337</v>
      </c>
      <c r="C21" s="110">
        <f>'Estudio ADEK'!C231</f>
        <v>4411.7145158730164</v>
      </c>
      <c r="D21" s="110">
        <f>'Estudio ADEK'!D231</f>
        <v>8251.3326666666671</v>
      </c>
      <c r="E21" s="110">
        <f>'Estudio ADEK'!E231</f>
        <v>12663.047182539683</v>
      </c>
      <c r="F21" s="110">
        <f>'Estudio ADEK'!F231</f>
        <v>17861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216"/>
      <c r="C22" s="137"/>
      <c r="D22" s="137"/>
      <c r="E22" s="137"/>
      <c r="F22" s="13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686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 t="s">
        <v>26</v>
      </c>
      <c r="C26" s="39">
        <f>'Estudio ADEK'!C206</f>
        <v>53</v>
      </c>
      <c r="D26" s="1" t="s">
        <v>687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 t="s">
        <v>202</v>
      </c>
      <c r="C27" s="40">
        <f>'Estudio ADEK'!C210</f>
        <v>24.484666666666666</v>
      </c>
      <c r="D27" s="1" t="s">
        <v>688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 t="s">
        <v>198</v>
      </c>
      <c r="C28" s="40">
        <f>'Estudio ADEK'!C208</f>
        <v>4411.7145158730164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3" t="s">
        <v>689</v>
      </c>
      <c r="C29" s="40">
        <f>C26-C27</f>
        <v>28.515333333333334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 t="s">
        <v>690</v>
      </c>
      <c r="C30" s="40">
        <f>+C28/C29</f>
        <v>154.71376274307448</v>
      </c>
      <c r="D30" s="1" t="s">
        <v>691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 t="s">
        <v>692</v>
      </c>
      <c r="C31" s="40">
        <f>+C30*C26</f>
        <v>8199.8294253829481</v>
      </c>
      <c r="D31" s="1" t="s">
        <v>693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56" t="s">
        <v>694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217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217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217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217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217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218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219" t="s">
        <v>695</v>
      </c>
      <c r="C42" s="156"/>
      <c r="D42" s="156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56" t="s">
        <v>199</v>
      </c>
      <c r="C43" s="156"/>
      <c r="D43" s="156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56" t="s">
        <v>201</v>
      </c>
      <c r="C44" s="156"/>
      <c r="D44" s="156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56" t="s">
        <v>203</v>
      </c>
      <c r="C45" s="156"/>
      <c r="D45" s="156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3"/>
  </mergeCells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showGridLines="0" workbookViewId="0">
      <selection activeCell="C20" sqref="C20"/>
    </sheetView>
  </sheetViews>
  <sheetFormatPr baseColWidth="10" defaultColWidth="12.625" defaultRowHeight="15" customHeight="1"/>
  <cols>
    <col min="1" max="1" width="3.125" customWidth="1"/>
    <col min="2" max="2" width="35.625" customWidth="1"/>
    <col min="3" max="7" width="15.5" customWidth="1"/>
    <col min="8" max="8" width="7.875" customWidth="1"/>
    <col min="9" max="9" width="26.875" customWidth="1"/>
    <col min="10" max="14" width="15.5" customWidth="1"/>
    <col min="15" max="15" width="8.375" customWidth="1"/>
    <col min="16" max="16" width="7.75" customWidth="1"/>
    <col min="17" max="17" width="7.875" customWidth="1"/>
    <col min="18" max="26" width="7.75" customWidth="1"/>
  </cols>
  <sheetData>
    <row r="1" spans="1:26">
      <c r="A1" s="15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56"/>
      <c r="B2" s="435" t="s">
        <v>696</v>
      </c>
      <c r="C2" s="436"/>
      <c r="D2" s="436"/>
      <c r="E2" s="436"/>
      <c r="F2" s="436"/>
      <c r="G2" s="437"/>
      <c r="H2" s="86"/>
      <c r="I2" s="458" t="s">
        <v>697</v>
      </c>
      <c r="J2" s="436"/>
      <c r="K2" s="436"/>
      <c r="L2" s="436"/>
      <c r="M2" s="436"/>
      <c r="N2" s="437"/>
      <c r="O2" s="1"/>
      <c r="P2" s="117" t="s">
        <v>698</v>
      </c>
      <c r="Q2" s="28">
        <v>0.18</v>
      </c>
      <c r="R2" s="1"/>
      <c r="S2" s="1"/>
      <c r="T2" s="1"/>
      <c r="U2" s="1"/>
      <c r="V2" s="1"/>
      <c r="W2" s="1"/>
      <c r="X2" s="1"/>
      <c r="Y2" s="1"/>
      <c r="Z2" s="1"/>
    </row>
    <row r="3" spans="1:26">
      <c r="A3" s="156"/>
      <c r="B3" s="86"/>
      <c r="C3" s="86"/>
      <c r="D3" s="86"/>
      <c r="E3" s="86"/>
      <c r="F3" s="86"/>
      <c r="G3" s="86"/>
      <c r="H3" s="86"/>
      <c r="I3" s="125"/>
      <c r="J3" s="125"/>
      <c r="K3" s="125"/>
      <c r="L3" s="125"/>
      <c r="M3" s="125"/>
      <c r="N3" s="12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56"/>
      <c r="B4" s="37" t="s">
        <v>552</v>
      </c>
      <c r="C4" s="33" t="s">
        <v>699</v>
      </c>
      <c r="D4" s="33" t="s">
        <v>700</v>
      </c>
      <c r="E4" s="33" t="s">
        <v>701</v>
      </c>
      <c r="F4" s="33" t="s">
        <v>702</v>
      </c>
      <c r="G4" s="33" t="s">
        <v>703</v>
      </c>
      <c r="H4" s="1"/>
      <c r="I4" s="5" t="s">
        <v>552</v>
      </c>
      <c r="J4" s="5" t="s">
        <v>699</v>
      </c>
      <c r="K4" s="5" t="s">
        <v>700</v>
      </c>
      <c r="L4" s="5" t="s">
        <v>701</v>
      </c>
      <c r="M4" s="5" t="s">
        <v>702</v>
      </c>
      <c r="N4" s="5" t="s">
        <v>703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56"/>
      <c r="B5" s="50" t="s">
        <v>704</v>
      </c>
      <c r="C5" s="79">
        <f t="shared" ref="C5:G5" si="0">C7*C6</f>
        <v>196560</v>
      </c>
      <c r="D5" s="79">
        <f t="shared" si="0"/>
        <v>231860.13986013987</v>
      </c>
      <c r="E5" s="79">
        <f t="shared" si="0"/>
        <v>267160.27972027974</v>
      </c>
      <c r="F5" s="79">
        <f t="shared" si="0"/>
        <v>302460.41958041966</v>
      </c>
      <c r="G5" s="79">
        <f t="shared" si="0"/>
        <v>337760.55944055953</v>
      </c>
      <c r="H5" s="1"/>
      <c r="I5" s="11" t="s">
        <v>234</v>
      </c>
      <c r="J5" s="40">
        <f>C5</f>
        <v>196560</v>
      </c>
      <c r="K5" s="40">
        <f>D5</f>
        <v>231860.13986013987</v>
      </c>
      <c r="L5" s="40">
        <f>E5</f>
        <v>267160.27972027974</v>
      </c>
      <c r="M5" s="40">
        <f>F5</f>
        <v>302460.41958041966</v>
      </c>
      <c r="N5" s="40">
        <f>G5</f>
        <v>337760.55944055953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56"/>
      <c r="B6" s="41" t="s">
        <v>705</v>
      </c>
      <c r="C6" s="40">
        <f>Venta_Unidades!O6</f>
        <v>4368</v>
      </c>
      <c r="D6" s="40">
        <f>Venta_Unidades!O7</f>
        <v>5152.4475524475529</v>
      </c>
      <c r="E6" s="40">
        <f>Venta_Unidades!O8</f>
        <v>5936.8951048951058</v>
      </c>
      <c r="F6" s="40">
        <f>Venta_Unidades!O9</f>
        <v>6721.3426573426586</v>
      </c>
      <c r="G6" s="40">
        <f>Venta_Unidades!O10</f>
        <v>7505.7902097902124</v>
      </c>
      <c r="H6" s="1"/>
      <c r="I6" s="11" t="s">
        <v>706</v>
      </c>
      <c r="J6" s="40">
        <f t="shared" ref="J6:N6" si="1">J5*$Q$2</f>
        <v>35380.799999999996</v>
      </c>
      <c r="K6" s="40">
        <f t="shared" si="1"/>
        <v>41734.825174825171</v>
      </c>
      <c r="L6" s="40">
        <f t="shared" si="1"/>
        <v>48088.850349650354</v>
      </c>
      <c r="M6" s="40">
        <f t="shared" si="1"/>
        <v>54442.875524475538</v>
      </c>
      <c r="N6" s="40">
        <f t="shared" si="1"/>
        <v>60796.900699300713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56"/>
      <c r="B7" s="41" t="s">
        <v>707</v>
      </c>
      <c r="C7" s="40">
        <f>Costos_Unitarios!D20</f>
        <v>45</v>
      </c>
      <c r="D7" s="40">
        <f t="shared" ref="D7:G7" si="2">C7</f>
        <v>45</v>
      </c>
      <c r="E7" s="40">
        <f t="shared" si="2"/>
        <v>45</v>
      </c>
      <c r="F7" s="40">
        <f t="shared" si="2"/>
        <v>45</v>
      </c>
      <c r="G7" s="40">
        <f t="shared" si="2"/>
        <v>45</v>
      </c>
      <c r="H7" s="86"/>
      <c r="I7" s="11" t="s">
        <v>708</v>
      </c>
      <c r="J7" s="40">
        <f>SUM(J8:J10)</f>
        <v>33000</v>
      </c>
      <c r="K7" s="40">
        <f t="shared" ref="K7:N7" si="3">SUM(K8:K10)</f>
        <v>33000</v>
      </c>
      <c r="L7" s="40">
        <f t="shared" si="3"/>
        <v>33000</v>
      </c>
      <c r="M7" s="40">
        <f t="shared" si="3"/>
        <v>33000</v>
      </c>
      <c r="N7" s="40">
        <f t="shared" si="3"/>
        <v>195536.77135664341</v>
      </c>
      <c r="O7" s="19" t="s">
        <v>709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56" t="s">
        <v>710</v>
      </c>
      <c r="B8" s="50" t="s">
        <v>711</v>
      </c>
      <c r="C8" s="79">
        <f>Costos_Totales!$H$25*12</f>
        <v>21240</v>
      </c>
      <c r="D8" s="79">
        <f>Costos_Totales!$H$25*12</f>
        <v>21240</v>
      </c>
      <c r="E8" s="79">
        <f>Costos_Totales!$H$25*12</f>
        <v>21240</v>
      </c>
      <c r="F8" s="79">
        <f>Costos_Totales!$H$25*12</f>
        <v>21240</v>
      </c>
      <c r="G8" s="79">
        <f>Costos_Totales!$H$25*12</f>
        <v>21240</v>
      </c>
      <c r="H8" s="24"/>
      <c r="I8" s="11" t="s">
        <v>395</v>
      </c>
      <c r="J8" s="40">
        <f>C8</f>
        <v>21240</v>
      </c>
      <c r="K8" s="40">
        <f>D8</f>
        <v>21240</v>
      </c>
      <c r="L8" s="40">
        <f>E8</f>
        <v>21240</v>
      </c>
      <c r="M8" s="40">
        <f>F8</f>
        <v>21240</v>
      </c>
      <c r="N8" s="40">
        <f>G9</f>
        <v>183776.77135664341</v>
      </c>
      <c r="O8" s="19" t="s">
        <v>712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56"/>
      <c r="B9" s="50" t="s">
        <v>395</v>
      </c>
      <c r="C9" s="79">
        <f>C6*Costos_Unitarios!C17</f>
        <v>106949.02399999999</v>
      </c>
      <c r="D9" s="79">
        <f>D6*Costos_Unitarios!C17</f>
        <v>126155.96083916085</v>
      </c>
      <c r="E9" s="79">
        <f>E6*Costos_Unitarios!C17</f>
        <v>145362.89767832169</v>
      </c>
      <c r="F9" s="79">
        <f>F6*Costos_Unitarios!C17</f>
        <v>164569.83451748255</v>
      </c>
      <c r="G9" s="79">
        <f>G6*Costos_Unitarios!C17</f>
        <v>183776.77135664341</v>
      </c>
      <c r="H9" s="24"/>
      <c r="I9" s="11"/>
      <c r="J9" s="40"/>
      <c r="K9" s="40"/>
      <c r="L9" s="40"/>
      <c r="M9" s="40"/>
      <c r="N9" s="40"/>
      <c r="O9" s="1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56"/>
      <c r="B10" s="41" t="s">
        <v>713</v>
      </c>
      <c r="C10" s="40">
        <f>Depreciación_VR!F22</f>
        <v>4237.1761904761897</v>
      </c>
      <c r="D10" s="40">
        <f t="shared" ref="D10:G10" si="4">C10</f>
        <v>4237.1761904761897</v>
      </c>
      <c r="E10" s="40">
        <f t="shared" si="4"/>
        <v>4237.1761904761897</v>
      </c>
      <c r="F10" s="40">
        <f t="shared" si="4"/>
        <v>4237.1761904761897</v>
      </c>
      <c r="G10" s="40">
        <f t="shared" si="4"/>
        <v>4237.1761904761897</v>
      </c>
      <c r="H10" s="24"/>
      <c r="I10" s="11" t="s">
        <v>714</v>
      </c>
      <c r="J10" s="40">
        <f>Gastos_Operativos!$G$18*12</f>
        <v>11760</v>
      </c>
      <c r="K10" s="40">
        <f>Gastos_Operativos!$G$18*12</f>
        <v>11760</v>
      </c>
      <c r="L10" s="40">
        <f>Gastos_Operativos!$G$18*12</f>
        <v>11760</v>
      </c>
      <c r="M10" s="40">
        <f>Gastos_Operativos!$G$18*12</f>
        <v>11760</v>
      </c>
      <c r="N10" s="40">
        <f>Gastos_Operativos!$G$18*12</f>
        <v>11760</v>
      </c>
      <c r="O10" s="1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56"/>
      <c r="B11" s="220" t="s">
        <v>715</v>
      </c>
      <c r="C11" s="221">
        <f t="shared" ref="C11:G11" si="5">C5-C9-C10</f>
        <v>85373.799809523814</v>
      </c>
      <c r="D11" s="221">
        <f t="shared" si="5"/>
        <v>101467.00283050282</v>
      </c>
      <c r="E11" s="221">
        <f t="shared" si="5"/>
        <v>117560.20585148185</v>
      </c>
      <c r="F11" s="221">
        <f t="shared" si="5"/>
        <v>133653.40887246092</v>
      </c>
      <c r="G11" s="221">
        <f t="shared" si="5"/>
        <v>149746.61189343993</v>
      </c>
      <c r="H11" s="24"/>
      <c r="I11" s="11" t="s">
        <v>716</v>
      </c>
      <c r="J11" s="40">
        <f t="shared" ref="J11:N11" si="6">J7*$Q$2</f>
        <v>5940</v>
      </c>
      <c r="K11" s="40">
        <f t="shared" si="6"/>
        <v>5940</v>
      </c>
      <c r="L11" s="40">
        <f t="shared" si="6"/>
        <v>5940</v>
      </c>
      <c r="M11" s="40">
        <f t="shared" si="6"/>
        <v>5940</v>
      </c>
      <c r="N11" s="40">
        <f t="shared" si="6"/>
        <v>35196.618844195815</v>
      </c>
      <c r="O11" s="19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56"/>
      <c r="B12" s="50" t="s">
        <v>714</v>
      </c>
      <c r="C12" s="40"/>
      <c r="D12" s="40"/>
      <c r="E12" s="40"/>
      <c r="F12" s="40"/>
      <c r="G12" s="40"/>
      <c r="H12" s="24"/>
      <c r="I12" s="165" t="s">
        <v>697</v>
      </c>
      <c r="J12" s="178">
        <f>J6-J11</f>
        <v>29440.799999999996</v>
      </c>
      <c r="K12" s="178">
        <f t="shared" ref="K12:N12" si="7">K6-K11</f>
        <v>35794.825174825171</v>
      </c>
      <c r="L12" s="178">
        <f t="shared" si="7"/>
        <v>42148.850349650354</v>
      </c>
      <c r="M12" s="178">
        <f t="shared" si="7"/>
        <v>48502.875524475538</v>
      </c>
      <c r="N12" s="178">
        <f t="shared" si="7"/>
        <v>25600.281855104899</v>
      </c>
      <c r="O12" s="1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56"/>
      <c r="B13" s="41" t="s">
        <v>286</v>
      </c>
      <c r="C13" s="40">
        <f>Gastos_Operativos!F17*12</f>
        <v>21420</v>
      </c>
      <c r="D13" s="40">
        <f t="shared" ref="D13:G13" si="8">C13</f>
        <v>21420</v>
      </c>
      <c r="E13" s="40">
        <f t="shared" si="8"/>
        <v>21420</v>
      </c>
      <c r="F13" s="40">
        <f t="shared" si="8"/>
        <v>21420</v>
      </c>
      <c r="G13" s="40">
        <f t="shared" si="8"/>
        <v>21420</v>
      </c>
      <c r="H13" s="24"/>
      <c r="I13" s="1"/>
      <c r="J13" s="19"/>
      <c r="K13" s="19"/>
      <c r="L13" s="19"/>
      <c r="M13" s="19"/>
      <c r="N13" s="19"/>
      <c r="O13" s="19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56"/>
      <c r="B14" s="41" t="s">
        <v>717</v>
      </c>
      <c r="C14" s="40">
        <f>Gastos_Operativos!F11*12</f>
        <v>27600</v>
      </c>
      <c r="D14" s="40">
        <f t="shared" ref="D14:G14" si="9">C14</f>
        <v>27600</v>
      </c>
      <c r="E14" s="40">
        <f t="shared" si="9"/>
        <v>27600</v>
      </c>
      <c r="F14" s="40">
        <f t="shared" si="9"/>
        <v>27600</v>
      </c>
      <c r="G14" s="40">
        <f t="shared" si="9"/>
        <v>27600</v>
      </c>
      <c r="H14" s="24"/>
      <c r="I14" s="1"/>
      <c r="J14" s="1"/>
      <c r="K14" s="1"/>
      <c r="L14" s="1"/>
      <c r="M14" s="1"/>
      <c r="N14" s="1"/>
      <c r="O14" s="1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56" t="s">
        <v>710</v>
      </c>
      <c r="B15" s="41" t="s">
        <v>718</v>
      </c>
      <c r="C15" s="40">
        <f>Inversión_Inicial!F24/Resumen!H4</f>
        <v>223.398</v>
      </c>
      <c r="D15" s="40">
        <f t="shared" ref="D15:G15" si="10">C15</f>
        <v>223.398</v>
      </c>
      <c r="E15" s="40">
        <f t="shared" si="10"/>
        <v>223.398</v>
      </c>
      <c r="F15" s="40">
        <f t="shared" si="10"/>
        <v>223.398</v>
      </c>
      <c r="G15" s="40">
        <f t="shared" si="10"/>
        <v>223.398</v>
      </c>
      <c r="H15" s="24"/>
      <c r="I15" s="1"/>
      <c r="J15" s="1"/>
      <c r="K15" s="1"/>
      <c r="L15" s="1"/>
      <c r="M15" s="1"/>
      <c r="N15" s="1"/>
      <c r="O15" s="19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56"/>
      <c r="B16" s="222" t="s">
        <v>719</v>
      </c>
      <c r="C16" s="223">
        <f t="shared" ref="C16:G16" si="11">C11-C13-C14-C15</f>
        <v>36130.401809523813</v>
      </c>
      <c r="D16" s="223">
        <f t="shared" si="11"/>
        <v>52223.604830502823</v>
      </c>
      <c r="E16" s="223">
        <f t="shared" si="11"/>
        <v>68316.807851481848</v>
      </c>
      <c r="F16" s="223">
        <f t="shared" si="11"/>
        <v>84410.010872460916</v>
      </c>
      <c r="G16" s="223">
        <f t="shared" si="11"/>
        <v>100503.21389343993</v>
      </c>
      <c r="H16" s="24"/>
      <c r="I16" s="1"/>
      <c r="J16" s="1"/>
      <c r="K16" s="1"/>
      <c r="L16" s="1"/>
      <c r="M16" s="1"/>
      <c r="N16" s="1"/>
      <c r="O16" s="19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56"/>
      <c r="B17" s="41" t="s">
        <v>472</v>
      </c>
      <c r="C17" s="40"/>
      <c r="D17" s="40"/>
      <c r="E17" s="40"/>
      <c r="F17" s="40"/>
      <c r="G17" s="40"/>
      <c r="H17" s="24"/>
      <c r="I17" s="1"/>
      <c r="J17" s="1"/>
      <c r="K17" s="1"/>
      <c r="L17" s="1"/>
      <c r="M17" s="1"/>
      <c r="N17" s="1"/>
      <c r="O17" s="1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56"/>
      <c r="B18" s="224" t="s">
        <v>720</v>
      </c>
      <c r="C18" s="225">
        <f t="shared" ref="C18:G18" si="12">C16-C17</f>
        <v>36130.401809523813</v>
      </c>
      <c r="D18" s="225">
        <f t="shared" si="12"/>
        <v>52223.604830502823</v>
      </c>
      <c r="E18" s="225">
        <f t="shared" si="12"/>
        <v>68316.807851481848</v>
      </c>
      <c r="F18" s="225">
        <f t="shared" si="12"/>
        <v>84410.010872460916</v>
      </c>
      <c r="G18" s="225">
        <f t="shared" si="12"/>
        <v>100503.21389343993</v>
      </c>
      <c r="H18" s="24"/>
      <c r="I18" s="62"/>
      <c r="J18" s="1"/>
      <c r="K18" s="1"/>
      <c r="L18" s="1"/>
      <c r="M18" s="1"/>
      <c r="N18" s="1"/>
      <c r="O18" s="19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56"/>
      <c r="B19" s="41" t="s">
        <v>721</v>
      </c>
      <c r="C19" s="40">
        <f>C18*Resumen!$H$6</f>
        <v>541.95602714285724</v>
      </c>
      <c r="D19" s="40">
        <f>D18*Resumen!$H$6</f>
        <v>783.35407245754232</v>
      </c>
      <c r="E19" s="40">
        <f>E18*Resumen!$H$6</f>
        <v>1024.7521177722276</v>
      </c>
      <c r="F19" s="40">
        <f>F18*Resumen!$H$6</f>
        <v>1266.1501630869136</v>
      </c>
      <c r="G19" s="40">
        <f>G18*Resumen!$H$6</f>
        <v>1507.5482084015989</v>
      </c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56" t="s">
        <v>710</v>
      </c>
      <c r="B20" s="78" t="s">
        <v>478</v>
      </c>
      <c r="C20" s="178">
        <f t="shared" ref="C20:G20" si="13">C18-C19</f>
        <v>35588.445782380957</v>
      </c>
      <c r="D20" s="178">
        <f t="shared" si="13"/>
        <v>51440.25075804528</v>
      </c>
      <c r="E20" s="178">
        <f t="shared" si="13"/>
        <v>67292.055733709625</v>
      </c>
      <c r="F20" s="178">
        <f t="shared" si="13"/>
        <v>83143.860709373999</v>
      </c>
      <c r="G20" s="178">
        <f t="shared" si="13"/>
        <v>98995.66568503833</v>
      </c>
      <c r="H20" s="24"/>
      <c r="I20" s="3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56"/>
      <c r="B21" s="226"/>
      <c r="C21" s="227"/>
      <c r="D21" s="227"/>
      <c r="E21" s="227"/>
      <c r="F21" s="227"/>
      <c r="G21" s="227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56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56"/>
      <c r="B23" s="1" t="s">
        <v>722</v>
      </c>
      <c r="C23" s="1"/>
      <c r="D23" s="1"/>
      <c r="E23" s="1"/>
      <c r="F23" s="1"/>
      <c r="G23" s="1"/>
      <c r="H23" s="24"/>
      <c r="I23" s="1"/>
      <c r="J23" s="6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56"/>
      <c r="B24" s="11" t="s">
        <v>38</v>
      </c>
      <c r="C24" s="40">
        <f t="shared" ref="C24:E24" si="14">$C$26/2</f>
        <v>50000</v>
      </c>
      <c r="D24" s="40">
        <f t="shared" si="14"/>
        <v>50000</v>
      </c>
      <c r="E24" s="40">
        <f t="shared" si="14"/>
        <v>50000</v>
      </c>
      <c r="F24" s="1"/>
      <c r="G24" s="1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56"/>
      <c r="B25" s="5" t="s">
        <v>552</v>
      </c>
      <c r="C25" s="5" t="s">
        <v>723</v>
      </c>
      <c r="D25" s="5" t="s">
        <v>724</v>
      </c>
      <c r="E25" s="5" t="s">
        <v>99</v>
      </c>
      <c r="F25" s="1"/>
      <c r="G25" s="1"/>
      <c r="H25" s="3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56"/>
      <c r="B26" s="11" t="s">
        <v>725</v>
      </c>
      <c r="C26" s="40">
        <v>100000</v>
      </c>
      <c r="D26" s="40"/>
      <c r="E26" s="40">
        <f t="shared" ref="E26:E30" si="15">SUM(C26:D26)</f>
        <v>100000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56"/>
      <c r="B27" s="11" t="s">
        <v>726</v>
      </c>
      <c r="C27" s="40"/>
      <c r="D27" s="40"/>
      <c r="E27" s="40">
        <f t="shared" si="15"/>
        <v>0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56"/>
      <c r="B28" s="11" t="s">
        <v>727</v>
      </c>
      <c r="C28" s="40"/>
      <c r="D28" s="40">
        <v>20000</v>
      </c>
      <c r="E28" s="40">
        <f t="shared" si="15"/>
        <v>20000</v>
      </c>
      <c r="F28" s="1"/>
      <c r="G28" s="1"/>
      <c r="H28" s="1"/>
      <c r="I28" s="62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56"/>
      <c r="B29" s="11" t="s">
        <v>728</v>
      </c>
      <c r="C29" s="40"/>
      <c r="D29" s="40">
        <v>30000</v>
      </c>
      <c r="E29" s="40">
        <f t="shared" si="15"/>
        <v>30000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56"/>
      <c r="B30" s="11" t="s">
        <v>729</v>
      </c>
      <c r="C30" s="40">
        <v>4000</v>
      </c>
      <c r="D30" s="40">
        <v>6000</v>
      </c>
      <c r="E30" s="40">
        <f t="shared" si="15"/>
        <v>10000</v>
      </c>
      <c r="F30" s="1" t="s">
        <v>730</v>
      </c>
      <c r="G30" s="40">
        <f>D28+D29+D30</f>
        <v>56000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56"/>
      <c r="B31" s="11" t="s">
        <v>731</v>
      </c>
      <c r="C31" s="40"/>
      <c r="D31" s="40"/>
      <c r="E31" s="40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56"/>
      <c r="B32" s="11" t="s">
        <v>283</v>
      </c>
      <c r="C32" s="40"/>
      <c r="D32" s="40">
        <v>15000</v>
      </c>
      <c r="E32" s="40">
        <f t="shared" ref="E32:E33" si="16">SUM(C32:D32)</f>
        <v>15000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56"/>
      <c r="B33" s="11" t="s">
        <v>523</v>
      </c>
      <c r="C33" s="40">
        <v>10000</v>
      </c>
      <c r="D33" s="40">
        <v>6000</v>
      </c>
      <c r="E33" s="40">
        <f t="shared" si="16"/>
        <v>16000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56"/>
      <c r="B34" s="11" t="s">
        <v>732</v>
      </c>
      <c r="C34" s="40">
        <f t="shared" ref="C34:E34" si="17">SUM(C27:C33)</f>
        <v>14000</v>
      </c>
      <c r="D34" s="40">
        <f t="shared" si="17"/>
        <v>77000</v>
      </c>
      <c r="E34" s="40">
        <f t="shared" si="17"/>
        <v>91000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56"/>
      <c r="B35" s="11" t="s">
        <v>733</v>
      </c>
      <c r="C35" s="40">
        <f t="shared" ref="C35:E35" si="18">C26-C34</f>
        <v>86000</v>
      </c>
      <c r="D35" s="40">
        <f t="shared" si="18"/>
        <v>-77000</v>
      </c>
      <c r="E35" s="40">
        <f t="shared" si="18"/>
        <v>9000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56"/>
      <c r="B36" s="11"/>
      <c r="C36" s="62"/>
      <c r="D36" s="62"/>
      <c r="E36" s="62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56"/>
      <c r="B37" s="11" t="s">
        <v>668</v>
      </c>
      <c r="C37" s="40">
        <f>D34</f>
        <v>77000</v>
      </c>
      <c r="D37" s="1"/>
      <c r="E37" s="1" t="s">
        <v>670</v>
      </c>
      <c r="F37" s="228">
        <f t="shared" ref="F37:G37" si="19">$G$30/$C$24</f>
        <v>1.1200000000000001</v>
      </c>
      <c r="G37" s="228">
        <f t="shared" si="19"/>
        <v>1.1200000000000001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56"/>
      <c r="B38" s="11" t="s">
        <v>669</v>
      </c>
      <c r="C38" s="40">
        <f>C34</f>
        <v>14000</v>
      </c>
      <c r="D38" s="1"/>
      <c r="E38" s="1" t="s">
        <v>734</v>
      </c>
      <c r="F38" s="40">
        <f>C38/C24</f>
        <v>0.28000000000000003</v>
      </c>
      <c r="G38" s="40">
        <f>C38/60000</f>
        <v>0.23333333333333334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56"/>
      <c r="B39" s="11" t="s">
        <v>735</v>
      </c>
      <c r="C39" s="40">
        <f>SUM(C37:C38)</f>
        <v>91000</v>
      </c>
      <c r="D39" s="1"/>
      <c r="E39" s="1" t="s">
        <v>736</v>
      </c>
      <c r="F39" s="40">
        <f t="shared" ref="F39:G39" si="20">SUM(F37:F38)</f>
        <v>1.4000000000000001</v>
      </c>
      <c r="G39" s="40">
        <f t="shared" si="20"/>
        <v>1.3533333333333335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56"/>
      <c r="B40" s="1"/>
      <c r="C40" s="1"/>
      <c r="D40" s="1"/>
      <c r="E40" s="1"/>
      <c r="F40" s="62"/>
      <c r="G40" s="62"/>
      <c r="H40" s="228">
        <f>$G$30/$C$24</f>
        <v>1.1200000000000001</v>
      </c>
      <c r="I40" s="1" t="s">
        <v>737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56"/>
      <c r="B41" s="1"/>
      <c r="C41" s="1"/>
      <c r="D41" s="1"/>
      <c r="E41" s="1"/>
      <c r="F41" s="1"/>
      <c r="G41" s="1"/>
      <c r="H41" s="40">
        <f>C38/70000</f>
        <v>0.2</v>
      </c>
      <c r="I41" s="1" t="s">
        <v>738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56"/>
      <c r="B42" s="1"/>
      <c r="C42" s="1"/>
      <c r="D42" s="1"/>
      <c r="E42" s="1"/>
      <c r="F42" s="1"/>
      <c r="G42" s="1"/>
      <c r="H42" s="40">
        <f>SUM(H40:H41)</f>
        <v>1.32</v>
      </c>
      <c r="I42" s="1" t="s">
        <v>738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56"/>
      <c r="B43" s="1"/>
      <c r="C43" s="1"/>
      <c r="D43" s="1"/>
      <c r="E43" s="1"/>
      <c r="F43" s="1"/>
      <c r="G43" s="1"/>
      <c r="H43" s="6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56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56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56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56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56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56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56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56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56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56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56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56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56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56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56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56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56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56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56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56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56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56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56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56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56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56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56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56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56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56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56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56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56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56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56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56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56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56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56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56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56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56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56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56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56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56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56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56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56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56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56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56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56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56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56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56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56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56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56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56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56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56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56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56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56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56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56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56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56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56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56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56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56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56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56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56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56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56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56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56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56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56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56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56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56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56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56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56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56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56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56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56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56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56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56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56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56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56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56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56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56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56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56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56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56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56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56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56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56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56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56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56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56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56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56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56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56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56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56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56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56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56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56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56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56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56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56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56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56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56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56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56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56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56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56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56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56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56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56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56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56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56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56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56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56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56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56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56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56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56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56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56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56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56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56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56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56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56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56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56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56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56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56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56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56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56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56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56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56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56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56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56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56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56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56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56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56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56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56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56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56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56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56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56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56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56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56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56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56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56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56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56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56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56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56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56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56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56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56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56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56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56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56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56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56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56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56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56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56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56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56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56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56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56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56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56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56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56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56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56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56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56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56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56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56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56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56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56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56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56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56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56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56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56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56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56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56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56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56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56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56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56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56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56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56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56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56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56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56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56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56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56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56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56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56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56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56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56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56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56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56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56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56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56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56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56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56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56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56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56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56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56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56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56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56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56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56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56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56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56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56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56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56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56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56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56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56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56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56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56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56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56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56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56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56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56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56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56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56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56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56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56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56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56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56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56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56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56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56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56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56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56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56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56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56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56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56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56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56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56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56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56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56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56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56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56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56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56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56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56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56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56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56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56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56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56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56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56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56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56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56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56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56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56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56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56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56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56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56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56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56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56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56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56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56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56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56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56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56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56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56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56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56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56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56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56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56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56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56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56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56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56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56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56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56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56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56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56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56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56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56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56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56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56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56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56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56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56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56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56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56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56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56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56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56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56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56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56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56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56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56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56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56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5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5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5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5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5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5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5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5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5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5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5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5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5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56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56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56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56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56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56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56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56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56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56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56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56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56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56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56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56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56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56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56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56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56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56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56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56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56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56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56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56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56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56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56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56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56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56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56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56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56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56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56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56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56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56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56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56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56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56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56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56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56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56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56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56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56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56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56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56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56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56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56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56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56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56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56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56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56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56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56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56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56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56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56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56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56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56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56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56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56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56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56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56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56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56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56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56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56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56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56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56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56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56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56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56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56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56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56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56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56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56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56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56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56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56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56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56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56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56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56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56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56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56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56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56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56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56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56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56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56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56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56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56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56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56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56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56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56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56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56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56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56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56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56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56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56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56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56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56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56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56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56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56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56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56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56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56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56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56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56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56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56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56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56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56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56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56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56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56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56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56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56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56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56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56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56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56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56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56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56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56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56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56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56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56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56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56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56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56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56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56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56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56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56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56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56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56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56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56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56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56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56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56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56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56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56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56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56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56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56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56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56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56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56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56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56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56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56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56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56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56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56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56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56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56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56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56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56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56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56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56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56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56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56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56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56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56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56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56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56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56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56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56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56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56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56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56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56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56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56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56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56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56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56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56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56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56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56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56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56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56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56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56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56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56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56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56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56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56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56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56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56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56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56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56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56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56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56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56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56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56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56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56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56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56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56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56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56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56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56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56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56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56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56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56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56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56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56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56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56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56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56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56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56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56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56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56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56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56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56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56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56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56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56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56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56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56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56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56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56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56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56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56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56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56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56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56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56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56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56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56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56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56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56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56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56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56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56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56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56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56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56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56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56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56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56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56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56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56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56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56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56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56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56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56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56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56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56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56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56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56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56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56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56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56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56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56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56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56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56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56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56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56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56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56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56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56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56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56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56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56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56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56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56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56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56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56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56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56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56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56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56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56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56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56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56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56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56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56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56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56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56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56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56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56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56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56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56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56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56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56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56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56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56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56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56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56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56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56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56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56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56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56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56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56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56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56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56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56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56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56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56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56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56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56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56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56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56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56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56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56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56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56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56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56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56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56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56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56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56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56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56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56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56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56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56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56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56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56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56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56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56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56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56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56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56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56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56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56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56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56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56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56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56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56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56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56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56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56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56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56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56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56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56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56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56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56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56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56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56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56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56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56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56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56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56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56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56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56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56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56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56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56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56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56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56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56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56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56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56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56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56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56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56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56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56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56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56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56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56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56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56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56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56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56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56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56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56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56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56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56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56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56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56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56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56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56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56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56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56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56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56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56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56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56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56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56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56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56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56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56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56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56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56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2:G2"/>
    <mergeCell ref="I2:N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276F8B"/>
  </sheetPr>
  <dimension ref="A1:AS1000"/>
  <sheetViews>
    <sheetView showGridLines="0" workbookViewId="0">
      <selection activeCell="I27" sqref="I27"/>
    </sheetView>
  </sheetViews>
  <sheetFormatPr baseColWidth="10" defaultColWidth="12.625" defaultRowHeight="15" customHeight="1"/>
  <cols>
    <col min="1" max="1" width="3.125" customWidth="1"/>
    <col min="2" max="2" width="15.625" customWidth="1"/>
    <col min="3" max="3" width="9.375" customWidth="1"/>
    <col min="4" max="8" width="18.125" customWidth="1"/>
    <col min="9" max="9" width="12" customWidth="1"/>
    <col min="10" max="10" width="11.125" customWidth="1"/>
    <col min="11" max="11" width="9.5" customWidth="1"/>
    <col min="12" max="13" width="7.75" customWidth="1"/>
    <col min="14" max="14" width="8.875" customWidth="1"/>
    <col min="15" max="45" width="7.75" customWidth="1"/>
  </cols>
  <sheetData>
    <row r="1" spans="1:4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56"/>
      <c r="O1" s="156"/>
      <c r="P1" s="156"/>
      <c r="Q1" s="156"/>
      <c r="R1" s="156"/>
      <c r="S1" s="156"/>
      <c r="T1" s="156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ht="22.5" customHeight="1">
      <c r="A2" s="1"/>
      <c r="B2" s="229"/>
      <c r="C2" s="435" t="s">
        <v>739</v>
      </c>
      <c r="D2" s="436"/>
      <c r="E2" s="436"/>
      <c r="F2" s="436"/>
      <c r="G2" s="437"/>
      <c r="H2" s="34"/>
      <c r="I2" s="36"/>
      <c r="J2" s="1"/>
      <c r="K2" s="1"/>
      <c r="L2" s="1"/>
      <c r="M2" s="1"/>
      <c r="N2" s="219" t="s">
        <v>740</v>
      </c>
      <c r="O2" s="156"/>
      <c r="P2" s="156"/>
      <c r="Q2" s="156"/>
      <c r="R2" s="156"/>
      <c r="S2" s="156"/>
      <c r="T2" s="156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>
      <c r="A3" s="1"/>
      <c r="B3" s="229"/>
      <c r="C3" s="466" t="s">
        <v>557</v>
      </c>
      <c r="D3" s="437"/>
      <c r="E3" s="230">
        <f>ABS('Estudio ADEK'!C519)</f>
        <v>18000</v>
      </c>
      <c r="F3" s="468" t="s">
        <v>650</v>
      </c>
      <c r="G3" s="437"/>
      <c r="H3" s="229"/>
      <c r="I3" s="40">
        <v>-18000.853333333333</v>
      </c>
      <c r="J3" s="1" t="s">
        <v>741</v>
      </c>
      <c r="K3" s="1"/>
      <c r="L3" s="1"/>
      <c r="M3" s="1"/>
      <c r="N3" s="156"/>
      <c r="O3" s="156"/>
      <c r="P3" s="156"/>
      <c r="Q3" s="156"/>
      <c r="R3" s="156"/>
      <c r="S3" s="156"/>
      <c r="T3" s="156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>
      <c r="A4" s="1"/>
      <c r="B4" s="229"/>
      <c r="C4" s="466" t="s">
        <v>742</v>
      </c>
      <c r="D4" s="437"/>
      <c r="E4" s="231">
        <v>0.215</v>
      </c>
      <c r="F4" s="467" t="s">
        <v>743</v>
      </c>
      <c r="G4" s="437"/>
      <c r="H4" s="29"/>
      <c r="I4" s="19"/>
      <c r="J4" s="1"/>
      <c r="K4" s="1"/>
      <c r="L4" s="1"/>
      <c r="M4" s="1"/>
      <c r="N4" s="156"/>
      <c r="O4" s="156"/>
      <c r="P4" s="156"/>
      <c r="Q4" s="156"/>
      <c r="R4" s="156"/>
      <c r="S4" s="156"/>
      <c r="T4" s="156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>
      <c r="A5" s="1"/>
      <c r="B5" s="229"/>
      <c r="C5" s="465" t="s">
        <v>744</v>
      </c>
      <c r="D5" s="437"/>
      <c r="E5" s="232">
        <f>POWER((1+E4),(1/12))-1</f>
        <v>1.6361073237486812E-2</v>
      </c>
      <c r="F5" s="467" t="s">
        <v>745</v>
      </c>
      <c r="G5" s="437"/>
      <c r="H5" s="29"/>
      <c r="I5" s="19">
        <f>E5*100</f>
        <v>1.6361073237486812</v>
      </c>
      <c r="J5" s="1"/>
      <c r="K5" s="1"/>
      <c r="L5" s="1"/>
      <c r="M5" s="1"/>
      <c r="N5" s="156"/>
      <c r="O5" s="156"/>
      <c r="P5" s="156"/>
      <c r="Q5" s="233"/>
      <c r="R5" s="156"/>
      <c r="S5" s="156"/>
      <c r="T5" s="156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1:45">
      <c r="A6" s="1"/>
      <c r="B6" s="229"/>
      <c r="C6" s="466" t="s">
        <v>746</v>
      </c>
      <c r="D6" s="437"/>
      <c r="E6" s="234">
        <f>Resumen!H3</f>
        <v>0.02</v>
      </c>
      <c r="F6" s="467"/>
      <c r="G6" s="437"/>
      <c r="H6" s="29"/>
      <c r="I6" s="19"/>
      <c r="J6" s="1"/>
      <c r="K6" s="1"/>
      <c r="L6" s="1"/>
      <c r="M6" s="1"/>
      <c r="N6" s="156" t="s">
        <v>747</v>
      </c>
      <c r="O6" s="156"/>
      <c r="P6" s="156"/>
      <c r="Q6" s="156"/>
      <c r="R6" s="156"/>
      <c r="S6" s="156"/>
      <c r="T6" s="156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spans="1:45">
      <c r="A7" s="1"/>
      <c r="B7" s="229"/>
      <c r="C7" s="466" t="s">
        <v>748</v>
      </c>
      <c r="D7" s="437"/>
      <c r="E7" s="231">
        <f>POWER((1+E6),(1/12))-1</f>
        <v>1.6515813019202241E-3</v>
      </c>
      <c r="F7" s="467"/>
      <c r="G7" s="437"/>
      <c r="H7" s="29"/>
      <c r="I7" s="19"/>
      <c r="J7" s="1"/>
      <c r="K7" s="1"/>
      <c r="L7" s="1"/>
      <c r="M7" s="1"/>
      <c r="N7" s="156" t="s">
        <v>749</v>
      </c>
      <c r="O7" s="156"/>
      <c r="P7" s="156"/>
      <c r="Q7" s="156"/>
      <c r="R7" s="156"/>
      <c r="S7" s="156"/>
      <c r="T7" s="156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spans="1:45">
      <c r="A8" s="1"/>
      <c r="B8" s="229"/>
      <c r="C8" s="466" t="s">
        <v>750</v>
      </c>
      <c r="D8" s="437"/>
      <c r="E8" s="232">
        <f>((1+E5)/(1+E7))-1</f>
        <v>1.4685238070954343E-2</v>
      </c>
      <c r="F8" s="467"/>
      <c r="G8" s="437"/>
      <c r="H8" s="29"/>
      <c r="I8" s="40">
        <f>E8*100</f>
        <v>1.4685238070954343</v>
      </c>
      <c r="J8" s="1"/>
      <c r="K8" s="1"/>
      <c r="L8" s="1"/>
      <c r="M8" s="1"/>
      <c r="N8" s="156" t="s">
        <v>751</v>
      </c>
      <c r="O8" s="156"/>
      <c r="P8" s="156"/>
      <c r="Q8" s="156"/>
      <c r="R8" s="156"/>
      <c r="S8" s="156"/>
      <c r="T8" s="156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spans="1:45">
      <c r="A9" s="1"/>
      <c r="B9" s="229"/>
      <c r="C9" s="466" t="s">
        <v>752</v>
      </c>
      <c r="D9" s="437"/>
      <c r="E9" s="235">
        <v>36</v>
      </c>
      <c r="F9" s="467"/>
      <c r="G9" s="437"/>
      <c r="H9" s="29"/>
      <c r="I9" s="19"/>
      <c r="J9" s="1"/>
      <c r="K9" s="1"/>
      <c r="L9" s="1"/>
      <c r="M9" s="1"/>
      <c r="N9" s="156" t="s">
        <v>753</v>
      </c>
      <c r="O9" s="156"/>
      <c r="P9" s="156"/>
      <c r="Q9" s="156"/>
      <c r="R9" s="156"/>
      <c r="S9" s="156"/>
      <c r="T9" s="156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spans="1:45">
      <c r="A10" s="1"/>
      <c r="B10" s="229"/>
      <c r="C10" s="466" t="s">
        <v>754</v>
      </c>
      <c r="D10" s="437"/>
      <c r="E10" s="113">
        <f>(E3*E8)/(1-(1+E8)^(-36))</f>
        <v>647.33756158495328</v>
      </c>
      <c r="F10" s="467" t="s">
        <v>755</v>
      </c>
      <c r="G10" s="437"/>
      <c r="H10" s="229"/>
      <c r="I10" s="228">
        <f>PMT(E8,E9,-E3)</f>
        <v>647.33756158495419</v>
      </c>
      <c r="J10" s="40">
        <f>(1200*0.24)/(1-(1.24)^(-6))</f>
        <v>397.28899218608535</v>
      </c>
      <c r="K10" s="1"/>
      <c r="L10" s="1"/>
      <c r="M10" s="1"/>
      <c r="N10" s="156" t="s">
        <v>756</v>
      </c>
      <c r="O10" s="156"/>
      <c r="P10" s="156"/>
      <c r="Q10" s="156"/>
      <c r="R10" s="156"/>
      <c r="S10" s="156"/>
      <c r="T10" s="156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spans="1:45">
      <c r="A11" s="1"/>
      <c r="B11" s="2"/>
      <c r="C11" s="2"/>
      <c r="D11" s="2"/>
      <c r="E11" s="1"/>
      <c r="F11" s="1"/>
      <c r="G11" s="2"/>
      <c r="H11" s="2"/>
      <c r="I11" s="2"/>
      <c r="J11" s="1"/>
      <c r="K11" s="1"/>
      <c r="L11" s="1"/>
      <c r="M11" s="1"/>
      <c r="N11" s="156"/>
      <c r="O11" s="156"/>
      <c r="P11" s="156"/>
      <c r="Q11" s="156"/>
      <c r="R11" s="156"/>
      <c r="S11" s="156"/>
      <c r="T11" s="156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spans="1:45">
      <c r="A12" s="1"/>
      <c r="B12" s="34" t="s">
        <v>757</v>
      </c>
      <c r="C12" s="33" t="s">
        <v>758</v>
      </c>
      <c r="D12" s="33" t="s">
        <v>759</v>
      </c>
      <c r="E12" s="33" t="s">
        <v>760</v>
      </c>
      <c r="F12" s="33" t="s">
        <v>761</v>
      </c>
      <c r="G12" s="33" t="s">
        <v>762</v>
      </c>
      <c r="H12" s="13" t="s">
        <v>763</v>
      </c>
      <c r="I12" s="86"/>
      <c r="J12" s="1"/>
      <c r="K12" s="1"/>
      <c r="L12" s="1"/>
      <c r="M12" s="1"/>
      <c r="N12" s="219" t="s">
        <v>764</v>
      </c>
      <c r="O12" s="156"/>
      <c r="P12" s="156"/>
      <c r="Q12" s="156"/>
      <c r="R12" s="156"/>
      <c r="S12" s="156"/>
      <c r="T12" s="156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spans="1:45">
      <c r="A13" s="1"/>
      <c r="B13" s="236">
        <v>44410</v>
      </c>
      <c r="C13" s="9">
        <v>0</v>
      </c>
      <c r="D13" s="40">
        <f>E3</f>
        <v>18000</v>
      </c>
      <c r="E13" s="40"/>
      <c r="F13" s="40"/>
      <c r="G13" s="40"/>
      <c r="H13" s="1"/>
      <c r="I13" s="39"/>
      <c r="J13" s="1"/>
      <c r="K13" s="1"/>
      <c r="L13" s="1"/>
      <c r="M13" s="1"/>
      <c r="N13" s="156"/>
      <c r="O13" s="156"/>
      <c r="P13" s="156"/>
      <c r="Q13" s="156"/>
      <c r="R13" s="156"/>
      <c r="S13" s="156"/>
      <c r="T13" s="156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spans="1:45">
      <c r="A14" s="1"/>
      <c r="B14" s="236">
        <f t="shared" ref="B14:B49" si="0">B13+30</f>
        <v>44440</v>
      </c>
      <c r="C14" s="9">
        <v>1</v>
      </c>
      <c r="D14" s="40">
        <f t="shared" ref="D14:D49" si="1">D13-G14</f>
        <v>17616.996723692224</v>
      </c>
      <c r="E14" s="40">
        <f t="shared" ref="E14:E49" si="2">D13*$E$8</f>
        <v>264.3342852771782</v>
      </c>
      <c r="F14" s="40">
        <f t="shared" ref="F14:F49" si="3">$E$10</f>
        <v>647.33756158495328</v>
      </c>
      <c r="G14" s="40">
        <f t="shared" ref="G14:G49" si="4">F14-E14</f>
        <v>383.00327630777508</v>
      </c>
      <c r="H14" s="24"/>
      <c r="I14" s="39"/>
      <c r="J14" s="1"/>
      <c r="K14" s="1"/>
      <c r="L14" s="1"/>
      <c r="M14" s="1"/>
      <c r="N14" s="156"/>
      <c r="O14" s="156"/>
      <c r="P14" s="156"/>
      <c r="Q14" s="156"/>
      <c r="R14" s="156"/>
      <c r="S14" s="156"/>
      <c r="T14" s="156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spans="1:45">
      <c r="A15" s="1"/>
      <c r="B15" s="236">
        <f t="shared" si="0"/>
        <v>44470</v>
      </c>
      <c r="C15" s="9">
        <v>2</v>
      </c>
      <c r="D15" s="40">
        <f t="shared" si="1"/>
        <v>17228.368953089914</v>
      </c>
      <c r="E15" s="40">
        <f t="shared" si="2"/>
        <v>258.70979098264297</v>
      </c>
      <c r="F15" s="40">
        <f t="shared" si="3"/>
        <v>647.33756158495328</v>
      </c>
      <c r="G15" s="40">
        <f t="shared" si="4"/>
        <v>388.62777060231031</v>
      </c>
      <c r="H15" s="24"/>
      <c r="I15" s="18"/>
      <c r="J15" s="1"/>
      <c r="K15" s="1"/>
      <c r="L15" s="1"/>
      <c r="M15" s="1"/>
      <c r="N15" s="156"/>
      <c r="O15" s="156"/>
      <c r="P15" s="156"/>
      <c r="Q15" s="156"/>
      <c r="R15" s="156"/>
      <c r="S15" s="156"/>
      <c r="T15" s="156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spans="1:45">
      <c r="A16" s="1"/>
      <c r="B16" s="236">
        <f t="shared" si="0"/>
        <v>44500</v>
      </c>
      <c r="C16" s="9">
        <v>3</v>
      </c>
      <c r="D16" s="40">
        <f t="shared" si="1"/>
        <v>16834.034091155325</v>
      </c>
      <c r="E16" s="40">
        <f t="shared" si="2"/>
        <v>253.00269965036381</v>
      </c>
      <c r="F16" s="40">
        <f t="shared" si="3"/>
        <v>647.33756158495328</v>
      </c>
      <c r="G16" s="40">
        <f t="shared" si="4"/>
        <v>394.33486193458947</v>
      </c>
      <c r="H16" s="28">
        <v>0.148433488405669</v>
      </c>
      <c r="I16" s="19"/>
      <c r="J16" s="1"/>
      <c r="K16" s="1"/>
      <c r="L16" s="1"/>
      <c r="M16" s="1"/>
      <c r="N16" s="219" t="s">
        <v>765</v>
      </c>
      <c r="O16" s="156"/>
      <c r="P16" s="156"/>
      <c r="Q16" s="156"/>
      <c r="R16" s="156"/>
      <c r="S16" s="156"/>
      <c r="T16" s="156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spans="1:45">
      <c r="A17" s="1"/>
      <c r="B17" s="236">
        <f t="shared" si="0"/>
        <v>44530</v>
      </c>
      <c r="C17" s="9">
        <v>4</v>
      </c>
      <c r="D17" s="40">
        <f t="shared" si="1"/>
        <v>16433.90832789355</v>
      </c>
      <c r="E17" s="40">
        <f t="shared" si="2"/>
        <v>247.21179832317748</v>
      </c>
      <c r="F17" s="40">
        <f t="shared" si="3"/>
        <v>647.33756158495328</v>
      </c>
      <c r="G17" s="40">
        <f t="shared" si="4"/>
        <v>400.12576326177577</v>
      </c>
      <c r="H17" s="24"/>
      <c r="I17" s="19"/>
      <c r="J17" s="1"/>
      <c r="K17" s="1"/>
      <c r="L17" s="1"/>
      <c r="M17" s="1"/>
      <c r="N17" s="233"/>
      <c r="O17" s="233"/>
      <c r="P17" s="156"/>
      <c r="Q17" s="156"/>
      <c r="R17" s="156"/>
      <c r="S17" s="156"/>
      <c r="T17" s="156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spans="1:45">
      <c r="A18" s="1"/>
      <c r="B18" s="236">
        <f t="shared" si="0"/>
        <v>44560</v>
      </c>
      <c r="C18" s="9">
        <v>5</v>
      </c>
      <c r="D18" s="40">
        <f t="shared" si="1"/>
        <v>16027.906622539953</v>
      </c>
      <c r="E18" s="40">
        <f t="shared" si="2"/>
        <v>241.33585623135599</v>
      </c>
      <c r="F18" s="40">
        <f t="shared" si="3"/>
        <v>647.33756158495328</v>
      </c>
      <c r="G18" s="40">
        <f t="shared" si="4"/>
        <v>406.00170535359729</v>
      </c>
      <c r="H18" s="24"/>
      <c r="I18" s="20"/>
      <c r="J18" s="1"/>
      <c r="K18" s="1"/>
      <c r="L18" s="1"/>
      <c r="M18" s="1"/>
      <c r="N18" s="156"/>
      <c r="O18" s="156"/>
      <c r="P18" s="156"/>
      <c r="Q18" s="156"/>
      <c r="R18" s="156"/>
      <c r="S18" s="156"/>
      <c r="T18" s="156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spans="1:45">
      <c r="A19" s="1"/>
      <c r="B19" s="236">
        <f t="shared" si="0"/>
        <v>44590</v>
      </c>
      <c r="C19" s="9">
        <v>6</v>
      </c>
      <c r="D19" s="40">
        <f t="shared" si="1"/>
        <v>15615.942685486025</v>
      </c>
      <c r="E19" s="40">
        <f t="shared" si="2"/>
        <v>235.37362453102494</v>
      </c>
      <c r="F19" s="40">
        <f t="shared" si="3"/>
        <v>647.33756158495328</v>
      </c>
      <c r="G19" s="40">
        <f t="shared" si="4"/>
        <v>411.96393705392836</v>
      </c>
      <c r="H19" s="24"/>
      <c r="I19" s="20"/>
      <c r="J19" s="1"/>
      <c r="K19" s="1"/>
      <c r="L19" s="1"/>
      <c r="M19" s="1"/>
      <c r="N19" s="156" t="s">
        <v>747</v>
      </c>
      <c r="O19" s="156"/>
      <c r="P19" s="156"/>
      <c r="Q19" s="156"/>
      <c r="R19" s="156"/>
      <c r="S19" s="156"/>
      <c r="T19" s="156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spans="1:45">
      <c r="A20" s="1"/>
      <c r="B20" s="236">
        <f t="shared" si="0"/>
        <v>44620</v>
      </c>
      <c r="C20" s="9">
        <v>7</v>
      </c>
      <c r="D20" s="40">
        <f t="shared" si="1"/>
        <v>15197.928959939813</v>
      </c>
      <c r="E20" s="40">
        <f t="shared" si="2"/>
        <v>229.32383603874038</v>
      </c>
      <c r="F20" s="40">
        <f t="shared" si="3"/>
        <v>647.33756158495328</v>
      </c>
      <c r="G20" s="40">
        <f t="shared" si="4"/>
        <v>418.01372554621287</v>
      </c>
      <c r="H20" s="24"/>
      <c r="I20" s="39"/>
      <c r="J20" s="1"/>
      <c r="K20" s="1"/>
      <c r="L20" s="1"/>
      <c r="M20" s="1"/>
      <c r="N20" s="156" t="s">
        <v>766</v>
      </c>
      <c r="O20" s="156"/>
      <c r="P20" s="156"/>
      <c r="Q20" s="156"/>
      <c r="R20" s="156"/>
      <c r="S20" s="156"/>
      <c r="T20" s="156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spans="1:45" ht="15.75" customHeight="1">
      <c r="A21" s="1"/>
      <c r="B21" s="236">
        <f t="shared" si="0"/>
        <v>44650</v>
      </c>
      <c r="C21" s="9">
        <v>8</v>
      </c>
      <c r="D21" s="40">
        <f t="shared" si="1"/>
        <v>14773.776603317026</v>
      </c>
      <c r="E21" s="40">
        <f t="shared" si="2"/>
        <v>223.18520496216769</v>
      </c>
      <c r="F21" s="40">
        <f t="shared" si="3"/>
        <v>647.33756158495328</v>
      </c>
      <c r="G21" s="40">
        <f t="shared" si="4"/>
        <v>424.15235662278559</v>
      </c>
      <c r="H21" s="24"/>
      <c r="I21" s="20"/>
      <c r="J21" s="1"/>
      <c r="K21" s="1"/>
      <c r="L21" s="1"/>
      <c r="M21" s="1"/>
      <c r="N21" s="233" t="s">
        <v>767</v>
      </c>
      <c r="O21" s="156"/>
      <c r="P21" s="156"/>
      <c r="Q21" s="156"/>
      <c r="R21" s="156"/>
      <c r="S21" s="156"/>
      <c r="T21" s="156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spans="1:45" ht="15.75" customHeight="1">
      <c r="A22" s="1"/>
      <c r="B22" s="236">
        <f t="shared" si="0"/>
        <v>44680</v>
      </c>
      <c r="C22" s="9">
        <v>9</v>
      </c>
      <c r="D22" s="40">
        <f t="shared" si="1"/>
        <v>14343.395468358878</v>
      </c>
      <c r="E22" s="40">
        <f t="shared" si="2"/>
        <v>216.95642662680572</v>
      </c>
      <c r="F22" s="40">
        <f t="shared" si="3"/>
        <v>647.33756158495328</v>
      </c>
      <c r="G22" s="40">
        <f t="shared" si="4"/>
        <v>430.38113495814753</v>
      </c>
      <c r="H22" s="24"/>
      <c r="I22" s="19"/>
      <c r="J22" s="1"/>
      <c r="K22" s="1"/>
      <c r="L22" s="1"/>
      <c r="M22" s="1"/>
      <c r="N22" s="156" t="s">
        <v>768</v>
      </c>
      <c r="O22" s="156"/>
      <c r="P22" s="156"/>
      <c r="Q22" s="156"/>
      <c r="R22" s="156"/>
      <c r="S22" s="156"/>
      <c r="T22" s="156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spans="1:45" ht="15.75" customHeight="1">
      <c r="A23" s="1"/>
      <c r="B23" s="236">
        <f t="shared" si="0"/>
        <v>44710</v>
      </c>
      <c r="C23" s="9">
        <v>10</v>
      </c>
      <c r="D23" s="40">
        <f t="shared" si="1"/>
        <v>13906.694083972623</v>
      </c>
      <c r="E23" s="40">
        <f t="shared" si="2"/>
        <v>210.63617719869779</v>
      </c>
      <c r="F23" s="40">
        <f t="shared" si="3"/>
        <v>647.33756158495328</v>
      </c>
      <c r="G23" s="40">
        <f t="shared" si="4"/>
        <v>436.70138438625548</v>
      </c>
      <c r="H23" s="24"/>
      <c r="I23" s="39"/>
      <c r="J23" s="1"/>
      <c r="K23" s="1"/>
      <c r="L23" s="1"/>
      <c r="M23" s="1"/>
      <c r="N23" s="237"/>
      <c r="O23" s="156"/>
      <c r="P23" s="156"/>
      <c r="Q23" s="156"/>
      <c r="R23" s="156"/>
      <c r="S23" s="156"/>
      <c r="T23" s="156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</row>
    <row r="24" spans="1:45" ht="15.75" customHeight="1">
      <c r="A24" s="1"/>
      <c r="B24" s="236">
        <f t="shared" si="0"/>
        <v>44740</v>
      </c>
      <c r="C24" s="9">
        <v>11</v>
      </c>
      <c r="D24" s="40">
        <f t="shared" si="1"/>
        <v>13463.57963579074</v>
      </c>
      <c r="E24" s="40">
        <f t="shared" si="2"/>
        <v>204.2231134030703</v>
      </c>
      <c r="F24" s="40">
        <f t="shared" si="3"/>
        <v>647.33756158495328</v>
      </c>
      <c r="G24" s="40">
        <f t="shared" si="4"/>
        <v>443.11444818188295</v>
      </c>
      <c r="H24" s="24"/>
      <c r="I24" s="39"/>
      <c r="J24" s="1"/>
      <c r="K24" s="1"/>
      <c r="L24" s="1"/>
      <c r="M24" s="1"/>
      <c r="N24" s="238" t="s">
        <v>769</v>
      </c>
      <c r="O24" s="156"/>
      <c r="P24" s="156"/>
      <c r="Q24" s="156"/>
      <c r="R24" s="156"/>
      <c r="S24" s="156"/>
      <c r="T24" s="156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</row>
    <row r="25" spans="1:45" ht="15.75" customHeight="1">
      <c r="A25" s="1"/>
      <c r="B25" s="236">
        <f t="shared" si="0"/>
        <v>44770</v>
      </c>
      <c r="C25" s="9">
        <v>12</v>
      </c>
      <c r="D25" s="40">
        <f t="shared" si="1"/>
        <v>13013.957946444627</v>
      </c>
      <c r="E25" s="40">
        <f t="shared" si="2"/>
        <v>197.71587223883978</v>
      </c>
      <c r="F25" s="40">
        <f t="shared" si="3"/>
        <v>647.33756158495328</v>
      </c>
      <c r="G25" s="40">
        <f t="shared" si="4"/>
        <v>449.6216893461135</v>
      </c>
      <c r="H25" s="24">
        <f>SUM(E14:E25)</f>
        <v>2782.0086854640649</v>
      </c>
      <c r="I25" s="39"/>
      <c r="J25" s="1"/>
      <c r="K25" s="1"/>
      <c r="L25" s="1"/>
      <c r="M25" s="1"/>
      <c r="N25" s="156"/>
      <c r="O25" s="156"/>
      <c r="P25" s="156"/>
      <c r="Q25" s="156"/>
      <c r="R25" s="156"/>
      <c r="S25" s="156"/>
      <c r="T25" s="156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spans="1:45" ht="15.75" customHeight="1">
      <c r="A26" s="1"/>
      <c r="B26" s="236">
        <f t="shared" si="0"/>
        <v>44800</v>
      </c>
      <c r="C26" s="9">
        <v>13</v>
      </c>
      <c r="D26" s="40">
        <f t="shared" si="1"/>
        <v>12557.733455548601</v>
      </c>
      <c r="E26" s="40">
        <f t="shared" si="2"/>
        <v>191.11307068892742</v>
      </c>
      <c r="F26" s="40">
        <f t="shared" si="3"/>
        <v>647.33756158495328</v>
      </c>
      <c r="G26" s="40">
        <f t="shared" si="4"/>
        <v>456.22449089602583</v>
      </c>
      <c r="H26" s="24"/>
      <c r="I26" s="39"/>
      <c r="J26" s="1"/>
      <c r="K26" s="1"/>
      <c r="L26" s="1"/>
      <c r="M26" s="1"/>
      <c r="N26" s="156"/>
      <c r="O26" s="156"/>
      <c r="P26" s="156"/>
      <c r="Q26" s="156"/>
      <c r="R26" s="156"/>
      <c r="S26" s="156"/>
      <c r="T26" s="156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spans="1:45" ht="15.75" customHeight="1">
      <c r="A27" s="1"/>
      <c r="B27" s="236">
        <f t="shared" si="0"/>
        <v>44830</v>
      </c>
      <c r="C27" s="9">
        <v>14</v>
      </c>
      <c r="D27" s="40">
        <f t="shared" si="1"/>
        <v>12094.809199389967</v>
      </c>
      <c r="E27" s="40">
        <f t="shared" si="2"/>
        <v>184.41330542631937</v>
      </c>
      <c r="F27" s="40">
        <f t="shared" si="3"/>
        <v>647.33756158495328</v>
      </c>
      <c r="G27" s="40">
        <f t="shared" si="4"/>
        <v>462.92425615863391</v>
      </c>
      <c r="H27" s="24"/>
      <c r="I27" s="39"/>
      <c r="J27" s="1"/>
      <c r="K27" s="1"/>
      <c r="L27" s="1"/>
      <c r="M27" s="1"/>
      <c r="N27" s="156"/>
      <c r="O27" s="156"/>
      <c r="P27" s="156"/>
      <c r="Q27" s="156"/>
      <c r="R27" s="156"/>
      <c r="S27" s="156"/>
      <c r="T27" s="156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spans="1:45" ht="15.75" customHeight="1">
      <c r="A28" s="1"/>
      <c r="B28" s="236">
        <f t="shared" si="0"/>
        <v>44860</v>
      </c>
      <c r="C28" s="9">
        <v>15</v>
      </c>
      <c r="D28" s="40">
        <f t="shared" si="1"/>
        <v>11625.086790320824</v>
      </c>
      <c r="E28" s="40">
        <f t="shared" si="2"/>
        <v>177.61515251581037</v>
      </c>
      <c r="F28" s="40">
        <f t="shared" si="3"/>
        <v>647.33756158495328</v>
      </c>
      <c r="G28" s="40">
        <f t="shared" si="4"/>
        <v>469.72240906914294</v>
      </c>
      <c r="H28" s="24"/>
      <c r="I28" s="39"/>
      <c r="J28" s="1"/>
      <c r="K28" s="1"/>
      <c r="L28" s="1"/>
      <c r="M28" s="1"/>
      <c r="N28" s="156"/>
      <c r="O28" s="156"/>
      <c r="P28" s="156"/>
      <c r="Q28" s="156"/>
      <c r="R28" s="156"/>
      <c r="S28" s="156"/>
      <c r="T28" s="156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spans="1:45" ht="15.75" customHeight="1">
      <c r="A29" s="1"/>
      <c r="B29" s="236">
        <f t="shared" si="0"/>
        <v>44890</v>
      </c>
      <c r="C29" s="9">
        <v>16</v>
      </c>
      <c r="D29" s="40">
        <f t="shared" si="1"/>
        <v>11148.466395847237</v>
      </c>
      <c r="E29" s="40">
        <f t="shared" si="2"/>
        <v>170.71716711136779</v>
      </c>
      <c r="F29" s="40">
        <f t="shared" si="3"/>
        <v>647.33756158495328</v>
      </c>
      <c r="G29" s="40">
        <f t="shared" si="4"/>
        <v>476.62039447358552</v>
      </c>
      <c r="H29" s="24"/>
      <c r="I29" s="39"/>
      <c r="J29" s="1"/>
      <c r="K29" s="1"/>
      <c r="L29" s="1"/>
      <c r="M29" s="1"/>
      <c r="N29" s="156"/>
      <c r="O29" s="156"/>
      <c r="P29" s="156"/>
      <c r="Q29" s="156"/>
      <c r="R29" s="156"/>
      <c r="S29" s="156"/>
      <c r="T29" s="156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</row>
    <row r="30" spans="1:45" ht="15.75" customHeight="1">
      <c r="A30" s="1"/>
      <c r="B30" s="236">
        <f t="shared" si="0"/>
        <v>44920</v>
      </c>
      <c r="C30" s="9">
        <v>17</v>
      </c>
      <c r="D30" s="40">
        <f t="shared" si="1"/>
        <v>10664.846717411336</v>
      </c>
      <c r="E30" s="40">
        <f t="shared" si="2"/>
        <v>163.717883149051</v>
      </c>
      <c r="F30" s="40">
        <f t="shared" si="3"/>
        <v>647.33756158495328</v>
      </c>
      <c r="G30" s="40">
        <f t="shared" si="4"/>
        <v>483.6196784359023</v>
      </c>
      <c r="H30" s="1"/>
      <c r="I30" s="39"/>
      <c r="J30" s="1"/>
      <c r="K30" s="1"/>
      <c r="L30" s="1"/>
      <c r="M30" s="1" t="s">
        <v>763</v>
      </c>
      <c r="N30" s="156"/>
      <c r="O30" s="156"/>
      <c r="P30" s="156"/>
      <c r="Q30" s="156"/>
      <c r="R30" s="156"/>
      <c r="S30" s="156"/>
      <c r="T30" s="156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spans="1:45" ht="15.75" customHeight="1">
      <c r="A31" s="1"/>
      <c r="B31" s="236">
        <f t="shared" si="0"/>
        <v>44950</v>
      </c>
      <c r="C31" s="9">
        <v>18</v>
      </c>
      <c r="D31" s="40">
        <f t="shared" si="1"/>
        <v>10174.124968861805</v>
      </c>
      <c r="E31" s="40">
        <f t="shared" si="2"/>
        <v>156.61581303542141</v>
      </c>
      <c r="F31" s="40">
        <f t="shared" si="3"/>
        <v>647.33756158495328</v>
      </c>
      <c r="G31" s="40">
        <f t="shared" si="4"/>
        <v>490.72174854953187</v>
      </c>
      <c r="H31" s="1"/>
      <c r="I31" s="39"/>
      <c r="J31" s="1"/>
      <c r="K31" s="1"/>
      <c r="L31" s="1"/>
      <c r="M31" s="1"/>
      <c r="N31" s="156"/>
      <c r="O31" s="156"/>
      <c r="P31" s="156"/>
      <c r="Q31" s="156"/>
      <c r="R31" s="156"/>
      <c r="S31" s="156"/>
      <c r="T31" s="156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spans="1:45" ht="15.75" customHeight="1">
      <c r="A32" s="1"/>
      <c r="B32" s="236">
        <f t="shared" si="0"/>
        <v>44980</v>
      </c>
      <c r="C32" s="9">
        <v>19</v>
      </c>
      <c r="D32" s="40">
        <f t="shared" si="1"/>
        <v>9676.196854608228</v>
      </c>
      <c r="E32" s="40">
        <f t="shared" si="2"/>
        <v>149.40944733137653</v>
      </c>
      <c r="F32" s="40">
        <f t="shared" si="3"/>
        <v>647.33756158495328</v>
      </c>
      <c r="G32" s="40">
        <f t="shared" si="4"/>
        <v>497.92811425357672</v>
      </c>
      <c r="H32" s="1"/>
      <c r="I32" s="39"/>
      <c r="J32" s="1"/>
      <c r="K32" s="1"/>
      <c r="L32" s="1"/>
      <c r="M32" s="1"/>
      <c r="N32" s="156"/>
      <c r="O32" s="156"/>
      <c r="P32" s="156"/>
      <c r="Q32" s="156"/>
      <c r="R32" s="156"/>
      <c r="S32" s="156"/>
      <c r="T32" s="156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1:45" ht="15.75" customHeight="1">
      <c r="A33" s="1"/>
      <c r="B33" s="236">
        <f t="shared" si="0"/>
        <v>45010</v>
      </c>
      <c r="C33" s="9">
        <v>20</v>
      </c>
      <c r="D33" s="40">
        <f t="shared" si="1"/>
        <v>9170.9565474546162</v>
      </c>
      <c r="E33" s="40">
        <f t="shared" si="2"/>
        <v>142.09725443134141</v>
      </c>
      <c r="F33" s="40">
        <f t="shared" si="3"/>
        <v>647.33756158495328</v>
      </c>
      <c r="G33" s="40">
        <f t="shared" si="4"/>
        <v>505.24030715361187</v>
      </c>
      <c r="H33" s="1"/>
      <c r="I33" s="39"/>
      <c r="J33" s="1"/>
      <c r="K33" s="1"/>
      <c r="L33" s="1"/>
      <c r="M33" s="1"/>
      <c r="N33" s="156"/>
      <c r="O33" s="156"/>
      <c r="P33" s="156"/>
      <c r="Q33" s="156"/>
      <c r="R33" s="156"/>
      <c r="S33" s="156"/>
      <c r="T33" s="156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1:45" ht="15.75" customHeight="1">
      <c r="A34" s="1"/>
      <c r="B34" s="236">
        <f t="shared" si="0"/>
        <v>45040</v>
      </c>
      <c r="C34" s="9">
        <v>21</v>
      </c>
      <c r="D34" s="40">
        <f t="shared" si="1"/>
        <v>8658.2966661074115</v>
      </c>
      <c r="E34" s="40">
        <f t="shared" si="2"/>
        <v>134.67768023774852</v>
      </c>
      <c r="F34" s="40">
        <f t="shared" si="3"/>
        <v>647.33756158495328</v>
      </c>
      <c r="G34" s="40">
        <f t="shared" si="4"/>
        <v>512.65988134720476</v>
      </c>
      <c r="H34" s="1"/>
      <c r="I34" s="39"/>
      <c r="J34" s="1"/>
      <c r="K34" s="1"/>
      <c r="L34" s="1"/>
      <c r="M34" s="1"/>
      <c r="N34" s="156">
        <f>1.16%+1</f>
        <v>1.0116000000000001</v>
      </c>
      <c r="O34" s="239" t="s">
        <v>770</v>
      </c>
      <c r="P34" s="156" t="s">
        <v>771</v>
      </c>
      <c r="Q34" s="156"/>
      <c r="R34" s="156"/>
      <c r="S34" s="156"/>
      <c r="T34" s="156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1:45" ht="15.75" customHeight="1">
      <c r="A35" s="1"/>
      <c r="B35" s="236">
        <f t="shared" si="0"/>
        <v>45070</v>
      </c>
      <c r="C35" s="9">
        <v>22</v>
      </c>
      <c r="D35" s="40">
        <f t="shared" si="1"/>
        <v>8138.1082523531959</v>
      </c>
      <c r="E35" s="40">
        <f t="shared" si="2"/>
        <v>127.14914783073762</v>
      </c>
      <c r="F35" s="40">
        <f t="shared" si="3"/>
        <v>647.33756158495328</v>
      </c>
      <c r="G35" s="40">
        <f t="shared" si="4"/>
        <v>520.18841375421562</v>
      </c>
      <c r="H35" s="1"/>
      <c r="I35" s="39"/>
      <c r="J35" s="1"/>
      <c r="K35" s="1"/>
      <c r="L35" s="1"/>
      <c r="M35" s="1"/>
      <c r="N35" s="156"/>
      <c r="O35" s="156"/>
      <c r="P35" s="156"/>
      <c r="Q35" s="156"/>
      <c r="R35" s="156"/>
      <c r="S35" s="156"/>
      <c r="T35" s="156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1:45" ht="15.75" customHeight="1">
      <c r="A36" s="1"/>
      <c r="B36" s="236">
        <f t="shared" si="0"/>
        <v>45100</v>
      </c>
      <c r="C36" s="9">
        <v>23</v>
      </c>
      <c r="D36" s="40">
        <f t="shared" si="1"/>
        <v>7610.2807479012472</v>
      </c>
      <c r="E36" s="40">
        <f t="shared" si="2"/>
        <v>119.51005713300486</v>
      </c>
      <c r="F36" s="40">
        <f t="shared" si="3"/>
        <v>647.33756158495328</v>
      </c>
      <c r="G36" s="40">
        <f t="shared" si="4"/>
        <v>527.82750445194847</v>
      </c>
      <c r="H36" s="1"/>
      <c r="I36" s="39"/>
      <c r="J36" s="1"/>
      <c r="K36" s="1"/>
      <c r="L36" s="1"/>
      <c r="M36" s="1"/>
      <c r="N36" s="156">
        <f>N34^(12)</f>
        <v>1.1484334884056688</v>
      </c>
      <c r="O36" s="156" t="s">
        <v>770</v>
      </c>
      <c r="P36" s="156" t="s">
        <v>771</v>
      </c>
      <c r="Q36" s="156"/>
      <c r="R36" s="156"/>
      <c r="S36" s="156"/>
      <c r="T36" s="156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1:45" ht="15.75" customHeight="1">
      <c r="A37" s="1"/>
      <c r="B37" s="236">
        <f t="shared" si="0"/>
        <v>45130</v>
      </c>
      <c r="C37" s="9">
        <v>24</v>
      </c>
      <c r="D37" s="40">
        <f t="shared" si="1"/>
        <v>7074.7019708860244</v>
      </c>
      <c r="E37" s="40">
        <f t="shared" si="2"/>
        <v>111.75878456973028</v>
      </c>
      <c r="F37" s="40">
        <f t="shared" si="3"/>
        <v>647.33756158495328</v>
      </c>
      <c r="G37" s="40">
        <f t="shared" si="4"/>
        <v>535.57877701522295</v>
      </c>
      <c r="H37" s="24">
        <f>SUM(E26:E37)</f>
        <v>1828.7947634608363</v>
      </c>
      <c r="I37" s="39"/>
      <c r="J37" s="1"/>
      <c r="K37" s="1"/>
      <c r="L37" s="1"/>
      <c r="M37" s="1"/>
      <c r="N37" s="156" t="s">
        <v>19</v>
      </c>
      <c r="O37" s="156" t="s">
        <v>770</v>
      </c>
      <c r="P37" s="237">
        <f>N36-1</f>
        <v>0.14843348840566883</v>
      </c>
      <c r="Q37" s="156"/>
      <c r="R37" s="156"/>
      <c r="S37" s="156"/>
      <c r="T37" s="156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1:45" ht="15.75" customHeight="1">
      <c r="A38" s="1"/>
      <c r="B38" s="236">
        <f t="shared" si="0"/>
        <v>45160</v>
      </c>
      <c r="C38" s="9">
        <v>25</v>
      </c>
      <c r="D38" s="40">
        <f t="shared" si="1"/>
        <v>6531.2580920245819</v>
      </c>
      <c r="E38" s="40">
        <f t="shared" si="2"/>
        <v>103.89368272351116</v>
      </c>
      <c r="F38" s="40">
        <f t="shared" si="3"/>
        <v>647.33756158495328</v>
      </c>
      <c r="G38" s="40">
        <f t="shared" si="4"/>
        <v>543.44387886144216</v>
      </c>
      <c r="H38" s="1"/>
      <c r="I38" s="39"/>
      <c r="J38" s="1"/>
      <c r="K38" s="1"/>
      <c r="L38" s="1"/>
      <c r="M38" s="1"/>
      <c r="N38" s="156"/>
      <c r="O38" s="156"/>
      <c r="P38" s="156"/>
      <c r="Q38" s="156"/>
      <c r="R38" s="156"/>
      <c r="S38" s="156"/>
      <c r="T38" s="156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1:45" ht="15.75" customHeight="1">
      <c r="A39" s="1"/>
      <c r="B39" s="236">
        <f t="shared" si="0"/>
        <v>45190</v>
      </c>
      <c r="C39" s="9">
        <v>26</v>
      </c>
      <c r="D39" s="40">
        <f t="shared" si="1"/>
        <v>5979.833610423857</v>
      </c>
      <c r="E39" s="40">
        <f t="shared" si="2"/>
        <v>95.913079984228006</v>
      </c>
      <c r="F39" s="40">
        <f t="shared" si="3"/>
        <v>647.33756158495328</v>
      </c>
      <c r="G39" s="40">
        <f t="shared" si="4"/>
        <v>551.42448160072524</v>
      </c>
      <c r="H39" s="1"/>
      <c r="I39" s="39"/>
      <c r="J39" s="1"/>
      <c r="K39" s="1"/>
      <c r="L39" s="1"/>
      <c r="M39" s="1"/>
      <c r="N39" s="156"/>
      <c r="O39" s="156"/>
      <c r="P39" s="156"/>
      <c r="Q39" s="156"/>
      <c r="R39" s="156"/>
      <c r="S39" s="156"/>
      <c r="T39" s="156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1:45" ht="15.75" customHeight="1">
      <c r="A40" s="1"/>
      <c r="B40" s="236">
        <f t="shared" si="0"/>
        <v>45220</v>
      </c>
      <c r="C40" s="9">
        <v>27</v>
      </c>
      <c r="D40" s="40">
        <f t="shared" si="1"/>
        <v>5420.3113290326728</v>
      </c>
      <c r="E40" s="40">
        <f t="shared" si="2"/>
        <v>87.815280193768785</v>
      </c>
      <c r="F40" s="40">
        <f t="shared" si="3"/>
        <v>647.33756158495328</v>
      </c>
      <c r="G40" s="40">
        <f t="shared" si="4"/>
        <v>559.52228139118449</v>
      </c>
      <c r="H40" s="1"/>
      <c r="I40" s="39"/>
      <c r="J40" s="1"/>
      <c r="K40" s="1"/>
      <c r="L40" s="1"/>
      <c r="M40" s="1"/>
      <c r="N40" s="156"/>
      <c r="O40" s="156"/>
      <c r="P40" s="156"/>
      <c r="Q40" s="156"/>
      <c r="R40" s="156"/>
      <c r="S40" s="156"/>
      <c r="T40" s="156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1:45" ht="15.75" customHeight="1">
      <c r="A41" s="1"/>
      <c r="B41" s="236">
        <f t="shared" si="0"/>
        <v>45250</v>
      </c>
      <c r="C41" s="9">
        <v>28</v>
      </c>
      <c r="D41" s="40">
        <f t="shared" si="1"/>
        <v>4852.5723297332552</v>
      </c>
      <c r="E41" s="40">
        <f t="shared" si="2"/>
        <v>79.598562285535735</v>
      </c>
      <c r="F41" s="40">
        <f t="shared" si="3"/>
        <v>647.33756158495328</v>
      </c>
      <c r="G41" s="40">
        <f t="shared" si="4"/>
        <v>567.73899929941751</v>
      </c>
      <c r="H41" s="1"/>
      <c r="I41" s="39"/>
      <c r="J41" s="1"/>
      <c r="K41" s="1"/>
      <c r="L41" s="1"/>
      <c r="M41" s="1"/>
      <c r="N41" s="156"/>
      <c r="O41" s="156"/>
      <c r="P41" s="156"/>
      <c r="Q41" s="156"/>
      <c r="R41" s="156"/>
      <c r="S41" s="156"/>
      <c r="T41" s="156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1:45" ht="15.75" customHeight="1">
      <c r="A42" s="1"/>
      <c r="B42" s="236">
        <f t="shared" si="0"/>
        <v>45280</v>
      </c>
      <c r="C42" s="9">
        <v>29</v>
      </c>
      <c r="D42" s="40">
        <f t="shared" si="1"/>
        <v>4276.4959480669604</v>
      </c>
      <c r="E42" s="40">
        <f t="shared" si="2"/>
        <v>71.261179918658414</v>
      </c>
      <c r="F42" s="40">
        <f t="shared" si="3"/>
        <v>647.33756158495328</v>
      </c>
      <c r="G42" s="40">
        <f t="shared" si="4"/>
        <v>576.07638166629488</v>
      </c>
      <c r="H42" s="1"/>
      <c r="I42" s="39"/>
      <c r="J42" s="1"/>
      <c r="K42" s="1"/>
      <c r="L42" s="1"/>
      <c r="M42" s="1"/>
      <c r="N42" s="156"/>
      <c r="O42" s="156"/>
      <c r="P42" s="156"/>
      <c r="Q42" s="156"/>
      <c r="R42" s="156"/>
      <c r="S42" s="156"/>
      <c r="T42" s="156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1:45" ht="15.75" customHeight="1">
      <c r="A43" s="1"/>
      <c r="B43" s="236">
        <f t="shared" si="0"/>
        <v>45310</v>
      </c>
      <c r="C43" s="9">
        <v>30</v>
      </c>
      <c r="D43" s="40">
        <f t="shared" si="1"/>
        <v>3691.9597475888422</v>
      </c>
      <c r="E43" s="40">
        <f t="shared" si="2"/>
        <v>62.801361106834911</v>
      </c>
      <c r="F43" s="40">
        <f t="shared" si="3"/>
        <v>647.33756158495328</v>
      </c>
      <c r="G43" s="40">
        <f t="shared" si="4"/>
        <v>584.53620047811842</v>
      </c>
      <c r="H43" s="1"/>
      <c r="I43" s="39"/>
      <c r="J43" s="1"/>
      <c r="K43" s="1"/>
      <c r="L43" s="1"/>
      <c r="M43" s="1"/>
      <c r="N43" s="156"/>
      <c r="O43" s="156"/>
      <c r="P43" s="156"/>
      <c r="Q43" s="156"/>
      <c r="R43" s="156"/>
      <c r="S43" s="156"/>
      <c r="T43" s="156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1:45" ht="15.75" customHeight="1">
      <c r="A44" s="1"/>
      <c r="B44" s="236">
        <f t="shared" si="0"/>
        <v>45340</v>
      </c>
      <c r="C44" s="9">
        <v>31</v>
      </c>
      <c r="D44" s="40">
        <f t="shared" si="1"/>
        <v>3098.8394938456117</v>
      </c>
      <c r="E44" s="40">
        <f t="shared" si="2"/>
        <v>54.217307841722651</v>
      </c>
      <c r="F44" s="40">
        <f t="shared" si="3"/>
        <v>647.33756158495328</v>
      </c>
      <c r="G44" s="40">
        <f t="shared" si="4"/>
        <v>593.12025374323059</v>
      </c>
      <c r="H44" s="1"/>
      <c r="I44" s="39"/>
      <c r="J44" s="1"/>
      <c r="K44" s="1"/>
      <c r="L44" s="1"/>
      <c r="M44" s="1"/>
      <c r="N44" s="156"/>
      <c r="O44" s="156"/>
      <c r="P44" s="156"/>
      <c r="Q44" s="156"/>
      <c r="R44" s="156"/>
      <c r="S44" s="156"/>
      <c r="T44" s="156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1:45" ht="15.75" customHeight="1">
      <c r="A45" s="1"/>
      <c r="B45" s="236">
        <f t="shared" si="0"/>
        <v>45370</v>
      </c>
      <c r="C45" s="9">
        <v>32</v>
      </c>
      <c r="D45" s="40">
        <f t="shared" si="1"/>
        <v>2497.009127971457</v>
      </c>
      <c r="E45" s="40">
        <f t="shared" si="2"/>
        <v>45.507195710798463</v>
      </c>
      <c r="F45" s="40">
        <f t="shared" si="3"/>
        <v>647.33756158495328</v>
      </c>
      <c r="G45" s="40">
        <f t="shared" si="4"/>
        <v>601.83036587415484</v>
      </c>
      <c r="H45" s="1"/>
      <c r="I45" s="39"/>
      <c r="J45" s="1"/>
      <c r="K45" s="31">
        <f>0.002</f>
        <v>2E-3</v>
      </c>
      <c r="L45" s="1"/>
      <c r="M45" s="1"/>
      <c r="N45" s="156"/>
      <c r="O45" s="156"/>
      <c r="P45" s="156"/>
      <c r="Q45" s="156"/>
      <c r="R45" s="156"/>
      <c r="S45" s="156"/>
      <c r="T45" s="156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1:45" ht="15.75" customHeight="1">
      <c r="A46" s="1"/>
      <c r="B46" s="236">
        <f t="shared" si="0"/>
        <v>45400</v>
      </c>
      <c r="C46" s="9">
        <v>33</v>
      </c>
      <c r="D46" s="40">
        <f t="shared" si="1"/>
        <v>1886.3407398961108</v>
      </c>
      <c r="E46" s="40">
        <f t="shared" si="2"/>
        <v>36.669173509606942</v>
      </c>
      <c r="F46" s="40">
        <f t="shared" si="3"/>
        <v>647.33756158495328</v>
      </c>
      <c r="G46" s="40">
        <f t="shared" si="4"/>
        <v>610.66838807534634</v>
      </c>
      <c r="H46" s="1"/>
      <c r="I46" s="39"/>
      <c r="J46" s="1"/>
      <c r="K46" s="1"/>
      <c r="L46" s="1"/>
      <c r="M46" s="1"/>
      <c r="N46" s="156"/>
      <c r="O46" s="156"/>
      <c r="P46" s="156"/>
      <c r="Q46" s="156"/>
      <c r="R46" s="156"/>
      <c r="S46" s="156"/>
      <c r="T46" s="156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1:45" ht="15.75" customHeight="1">
      <c r="A47" s="1"/>
      <c r="B47" s="236">
        <f t="shared" si="0"/>
        <v>45430</v>
      </c>
      <c r="C47" s="9">
        <v>34</v>
      </c>
      <c r="D47" s="40">
        <f t="shared" si="1"/>
        <v>1266.7045411594722</v>
      </c>
      <c r="E47" s="40">
        <f t="shared" si="2"/>
        <v>27.701362848314549</v>
      </c>
      <c r="F47" s="40">
        <f t="shared" si="3"/>
        <v>647.33756158495328</v>
      </c>
      <c r="G47" s="40">
        <f t="shared" si="4"/>
        <v>619.63619873663868</v>
      </c>
      <c r="H47" s="1"/>
      <c r="I47" s="39"/>
      <c r="J47" s="1"/>
      <c r="K47" s="1"/>
      <c r="L47" s="1"/>
      <c r="M47" s="1"/>
      <c r="N47" s="156"/>
      <c r="O47" s="156"/>
      <c r="P47" s="156"/>
      <c r="Q47" s="156"/>
      <c r="R47" s="156"/>
      <c r="S47" s="156"/>
      <c r="T47" s="156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1:45" ht="15.75" customHeight="1">
      <c r="A48" s="1"/>
      <c r="B48" s="236">
        <f t="shared" si="0"/>
        <v>45460</v>
      </c>
      <c r="C48" s="9">
        <v>35</v>
      </c>
      <c r="D48" s="40">
        <f t="shared" si="1"/>
        <v>637.96883732700474</v>
      </c>
      <c r="E48" s="40">
        <f t="shared" si="2"/>
        <v>18.601857752485834</v>
      </c>
      <c r="F48" s="40">
        <f t="shared" si="3"/>
        <v>647.33756158495328</v>
      </c>
      <c r="G48" s="40">
        <f t="shared" si="4"/>
        <v>628.73570383246749</v>
      </c>
      <c r="H48" s="1"/>
      <c r="I48" s="39"/>
      <c r="J48" s="1"/>
      <c r="K48" s="1"/>
      <c r="L48" s="1"/>
      <c r="M48" s="1"/>
      <c r="N48" s="156"/>
      <c r="O48" s="156"/>
      <c r="P48" s="156"/>
      <c r="Q48" s="156"/>
      <c r="R48" s="156"/>
      <c r="S48" s="156"/>
      <c r="T48" s="156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:45" ht="15.75" customHeight="1">
      <c r="A49" s="1"/>
      <c r="B49" s="236">
        <f t="shared" si="0"/>
        <v>45490</v>
      </c>
      <c r="C49" s="9">
        <v>36</v>
      </c>
      <c r="D49" s="228">
        <f t="shared" si="1"/>
        <v>4.8430592869408429E-11</v>
      </c>
      <c r="E49" s="40">
        <f t="shared" si="2"/>
        <v>9.3687242579970071</v>
      </c>
      <c r="F49" s="40">
        <f t="shared" si="3"/>
        <v>647.33756158495328</v>
      </c>
      <c r="G49" s="40">
        <f t="shared" si="4"/>
        <v>637.9688373269563</v>
      </c>
      <c r="H49" s="24">
        <f>SUM(E38:E49)</f>
        <v>693.34876813346239</v>
      </c>
      <c r="I49" s="39"/>
      <c r="J49" s="1"/>
      <c r="K49" s="1"/>
      <c r="L49" s="1"/>
      <c r="M49" s="1"/>
      <c r="N49" s="156"/>
      <c r="O49" s="156"/>
      <c r="P49" s="156"/>
      <c r="Q49" s="156"/>
      <c r="R49" s="156"/>
      <c r="S49" s="156"/>
      <c r="T49" s="156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:45" ht="15.75" customHeight="1">
      <c r="A50" s="1"/>
      <c r="B50" s="1"/>
      <c r="C50" s="1"/>
      <c r="D50" s="62"/>
      <c r="E50" s="43">
        <f>SUM(E14:E49)</f>
        <v>5304.1522170583648</v>
      </c>
      <c r="F50" s="79"/>
      <c r="G50" s="43">
        <f>SUM(G14:G49)</f>
        <v>17999.999999999953</v>
      </c>
      <c r="H50" s="1"/>
      <c r="I50" s="39"/>
      <c r="J50" s="1"/>
      <c r="K50" s="1"/>
      <c r="L50" s="1"/>
      <c r="M50" s="1"/>
      <c r="N50" s="156"/>
      <c r="O50" s="156"/>
      <c r="P50" s="156"/>
      <c r="Q50" s="156"/>
      <c r="R50" s="156"/>
      <c r="S50" s="156"/>
      <c r="T50" s="156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:4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56"/>
      <c r="O51" s="156"/>
      <c r="P51" s="156"/>
      <c r="Q51" s="156"/>
      <c r="R51" s="156"/>
      <c r="S51" s="156"/>
      <c r="T51" s="156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:45" ht="15.75" customHeight="1">
      <c r="A52" s="1"/>
      <c r="B52" s="156" t="s">
        <v>772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56"/>
      <c r="O52" s="156"/>
      <c r="P52" s="156"/>
      <c r="Q52" s="156"/>
      <c r="R52" s="156"/>
      <c r="S52" s="156"/>
      <c r="T52" s="156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:4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56"/>
      <c r="O53" s="156"/>
      <c r="P53" s="156"/>
      <c r="Q53" s="156"/>
      <c r="R53" s="156"/>
      <c r="S53" s="156"/>
      <c r="T53" s="156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:45" ht="15.75" customHeight="1">
      <c r="A54" s="1"/>
      <c r="B54" s="240" t="s">
        <v>773</v>
      </c>
      <c r="C54" s="240" t="s">
        <v>774</v>
      </c>
      <c r="D54" s="240" t="s">
        <v>440</v>
      </c>
      <c r="E54" s="5" t="s">
        <v>439</v>
      </c>
      <c r="F54" s="5" t="s">
        <v>775</v>
      </c>
      <c r="G54" s="5" t="s">
        <v>776</v>
      </c>
      <c r="H54" s="5" t="s">
        <v>444</v>
      </c>
      <c r="I54" s="1"/>
      <c r="J54" s="1"/>
      <c r="K54" s="1"/>
      <c r="L54" s="1"/>
      <c r="M54" s="1"/>
      <c r="N54" s="156"/>
      <c r="O54" s="156"/>
      <c r="P54" s="156"/>
      <c r="Q54" s="156"/>
      <c r="R54" s="156"/>
      <c r="S54" s="156"/>
      <c r="T54" s="156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:45" ht="15.75" customHeight="1">
      <c r="A55" s="1"/>
      <c r="B55" s="241">
        <v>44410</v>
      </c>
      <c r="C55" s="9">
        <v>0</v>
      </c>
      <c r="D55" s="40">
        <f>E3</f>
        <v>18000</v>
      </c>
      <c r="E55" s="40"/>
      <c r="F55" s="40"/>
      <c r="G55" s="40"/>
      <c r="H55" s="40">
        <f>D55</f>
        <v>18000</v>
      </c>
      <c r="I55" s="1"/>
      <c r="J55" s="1"/>
      <c r="K55" s="1"/>
      <c r="L55" s="1"/>
      <c r="M55" s="1"/>
      <c r="N55" s="156"/>
      <c r="O55" s="156"/>
      <c r="P55" s="156"/>
      <c r="Q55" s="156"/>
      <c r="R55" s="156"/>
      <c r="S55" s="156"/>
      <c r="T55" s="156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:45" ht="15.75" customHeight="1">
      <c r="A56" s="1"/>
      <c r="B56" s="241">
        <f t="shared" ref="B56:B91" si="5">B55+30</f>
        <v>44440</v>
      </c>
      <c r="C56" s="9">
        <v>1</v>
      </c>
      <c r="D56" s="40">
        <f t="shared" ref="D56:D91" si="6">H55</f>
        <v>18000</v>
      </c>
      <c r="E56" s="40">
        <f t="shared" ref="E56:E91" si="7">$E$10</f>
        <v>647.33756158495328</v>
      </c>
      <c r="F56" s="40">
        <f t="shared" ref="F56:F91" si="8">D56*$E$8</f>
        <v>264.3342852771782</v>
      </c>
      <c r="G56" s="40">
        <f t="shared" ref="G56:G91" si="9">E56-F56</f>
        <v>383.00327630777508</v>
      </c>
      <c r="H56" s="40">
        <f t="shared" ref="H56:H91" si="10">D56-G56</f>
        <v>17616.996723692224</v>
      </c>
      <c r="I56" s="1"/>
      <c r="J56" s="1"/>
      <c r="K56" s="1"/>
      <c r="L56" s="1"/>
      <c r="M56" s="1"/>
      <c r="N56" s="156"/>
      <c r="O56" s="156"/>
      <c r="P56" s="156"/>
      <c r="Q56" s="156"/>
      <c r="R56" s="156"/>
      <c r="S56" s="156"/>
      <c r="T56" s="156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:45" ht="15.75" customHeight="1">
      <c r="A57" s="1"/>
      <c r="B57" s="241">
        <f t="shared" si="5"/>
        <v>44470</v>
      </c>
      <c r="C57" s="9">
        <v>2</v>
      </c>
      <c r="D57" s="40">
        <f t="shared" si="6"/>
        <v>17616.996723692224</v>
      </c>
      <c r="E57" s="40">
        <f t="shared" si="7"/>
        <v>647.33756158495328</v>
      </c>
      <c r="F57" s="40">
        <f t="shared" si="8"/>
        <v>258.70979098264297</v>
      </c>
      <c r="G57" s="40">
        <f t="shared" si="9"/>
        <v>388.62777060231031</v>
      </c>
      <c r="H57" s="40">
        <f t="shared" si="10"/>
        <v>17228.368953089914</v>
      </c>
      <c r="I57" s="1"/>
      <c r="J57" s="1"/>
      <c r="K57" s="1"/>
      <c r="L57" s="1"/>
      <c r="M57" s="1"/>
      <c r="N57" s="156"/>
      <c r="O57" s="156"/>
      <c r="P57" s="156"/>
      <c r="Q57" s="156"/>
      <c r="R57" s="156"/>
      <c r="S57" s="156"/>
      <c r="T57" s="156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:45" ht="15.75" customHeight="1">
      <c r="A58" s="1"/>
      <c r="B58" s="241">
        <f t="shared" si="5"/>
        <v>44500</v>
      </c>
      <c r="C58" s="9">
        <v>3</v>
      </c>
      <c r="D58" s="40">
        <f t="shared" si="6"/>
        <v>17228.368953089914</v>
      </c>
      <c r="E58" s="40">
        <f t="shared" si="7"/>
        <v>647.33756158495328</v>
      </c>
      <c r="F58" s="40">
        <f t="shared" si="8"/>
        <v>253.00269965036381</v>
      </c>
      <c r="G58" s="40">
        <f t="shared" si="9"/>
        <v>394.33486193458947</v>
      </c>
      <c r="H58" s="40">
        <f t="shared" si="10"/>
        <v>16834.034091155325</v>
      </c>
      <c r="I58" s="1"/>
      <c r="J58" s="1"/>
      <c r="K58" s="1"/>
      <c r="L58" s="1"/>
      <c r="M58" s="1"/>
      <c r="N58" s="156"/>
      <c r="O58" s="156"/>
      <c r="P58" s="156"/>
      <c r="Q58" s="156"/>
      <c r="R58" s="156"/>
      <c r="S58" s="156"/>
      <c r="T58" s="156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:45" ht="15.75" customHeight="1">
      <c r="A59" s="1"/>
      <c r="B59" s="241">
        <f t="shared" si="5"/>
        <v>44530</v>
      </c>
      <c r="C59" s="9">
        <v>4</v>
      </c>
      <c r="D59" s="40">
        <f t="shared" si="6"/>
        <v>16834.034091155325</v>
      </c>
      <c r="E59" s="40">
        <f t="shared" si="7"/>
        <v>647.33756158495328</v>
      </c>
      <c r="F59" s="40">
        <f t="shared" si="8"/>
        <v>247.21179832317748</v>
      </c>
      <c r="G59" s="40">
        <f t="shared" si="9"/>
        <v>400.12576326177577</v>
      </c>
      <c r="H59" s="40">
        <f t="shared" si="10"/>
        <v>16433.90832789355</v>
      </c>
      <c r="I59" s="1"/>
      <c r="J59" s="1"/>
      <c r="K59" s="1"/>
      <c r="L59" s="1"/>
      <c r="M59" s="1"/>
      <c r="N59" s="156"/>
      <c r="O59" s="156"/>
      <c r="P59" s="156"/>
      <c r="Q59" s="156"/>
      <c r="R59" s="156"/>
      <c r="S59" s="156"/>
      <c r="T59" s="156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:45" ht="15.75" customHeight="1">
      <c r="A60" s="1"/>
      <c r="B60" s="241">
        <f t="shared" si="5"/>
        <v>44560</v>
      </c>
      <c r="C60" s="9">
        <v>5</v>
      </c>
      <c r="D60" s="40">
        <f t="shared" si="6"/>
        <v>16433.90832789355</v>
      </c>
      <c r="E60" s="40">
        <f t="shared" si="7"/>
        <v>647.33756158495328</v>
      </c>
      <c r="F60" s="40">
        <f t="shared" si="8"/>
        <v>241.33585623135599</v>
      </c>
      <c r="G60" s="40">
        <f t="shared" si="9"/>
        <v>406.00170535359729</v>
      </c>
      <c r="H60" s="40">
        <f t="shared" si="10"/>
        <v>16027.906622539953</v>
      </c>
      <c r="I60" s="1"/>
      <c r="J60" s="1"/>
      <c r="K60" s="1"/>
      <c r="L60" s="1"/>
      <c r="M60" s="1"/>
      <c r="N60" s="156"/>
      <c r="O60" s="156"/>
      <c r="P60" s="156"/>
      <c r="Q60" s="156"/>
      <c r="R60" s="156"/>
      <c r="S60" s="156"/>
      <c r="T60" s="156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:45" ht="15.75" customHeight="1">
      <c r="A61" s="1"/>
      <c r="B61" s="241">
        <f t="shared" si="5"/>
        <v>44590</v>
      </c>
      <c r="C61" s="9">
        <v>6</v>
      </c>
      <c r="D61" s="40">
        <f t="shared" si="6"/>
        <v>16027.906622539953</v>
      </c>
      <c r="E61" s="40">
        <f t="shared" si="7"/>
        <v>647.33756158495328</v>
      </c>
      <c r="F61" s="40">
        <f t="shared" si="8"/>
        <v>235.37362453102494</v>
      </c>
      <c r="G61" s="40">
        <f t="shared" si="9"/>
        <v>411.96393705392836</v>
      </c>
      <c r="H61" s="40">
        <f t="shared" si="10"/>
        <v>15615.942685486025</v>
      </c>
      <c r="I61" s="1"/>
      <c r="J61" s="1"/>
      <c r="K61" s="1"/>
      <c r="L61" s="1"/>
      <c r="M61" s="1"/>
      <c r="N61" s="156"/>
      <c r="O61" s="156"/>
      <c r="P61" s="156"/>
      <c r="Q61" s="156"/>
      <c r="R61" s="156"/>
      <c r="S61" s="156"/>
      <c r="T61" s="156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:45" ht="15.75" customHeight="1">
      <c r="A62" s="1"/>
      <c r="B62" s="241">
        <f t="shared" si="5"/>
        <v>44620</v>
      </c>
      <c r="C62" s="9">
        <v>7</v>
      </c>
      <c r="D62" s="40">
        <f t="shared" si="6"/>
        <v>15615.942685486025</v>
      </c>
      <c r="E62" s="40">
        <f t="shared" si="7"/>
        <v>647.33756158495328</v>
      </c>
      <c r="F62" s="40">
        <f t="shared" si="8"/>
        <v>229.32383603874038</v>
      </c>
      <c r="G62" s="40">
        <f t="shared" si="9"/>
        <v>418.01372554621287</v>
      </c>
      <c r="H62" s="40">
        <f t="shared" si="10"/>
        <v>15197.928959939813</v>
      </c>
      <c r="I62" s="1"/>
      <c r="J62" s="1"/>
      <c r="K62" s="1"/>
      <c r="L62" s="1"/>
      <c r="M62" s="1"/>
      <c r="N62" s="156"/>
      <c r="O62" s="156"/>
      <c r="P62" s="156"/>
      <c r="Q62" s="156"/>
      <c r="R62" s="156"/>
      <c r="S62" s="156"/>
      <c r="T62" s="156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:45" ht="15.75" customHeight="1">
      <c r="A63" s="1"/>
      <c r="B63" s="241">
        <f t="shared" si="5"/>
        <v>44650</v>
      </c>
      <c r="C63" s="9">
        <v>8</v>
      </c>
      <c r="D63" s="40">
        <f t="shared" si="6"/>
        <v>15197.928959939813</v>
      </c>
      <c r="E63" s="40">
        <f t="shared" si="7"/>
        <v>647.33756158495328</v>
      </c>
      <c r="F63" s="40">
        <f t="shared" si="8"/>
        <v>223.18520496216769</v>
      </c>
      <c r="G63" s="40">
        <f t="shared" si="9"/>
        <v>424.15235662278559</v>
      </c>
      <c r="H63" s="40">
        <f t="shared" si="10"/>
        <v>14773.776603317026</v>
      </c>
      <c r="I63" s="1"/>
      <c r="J63" s="1"/>
      <c r="K63" s="1"/>
      <c r="L63" s="1"/>
      <c r="M63" s="1"/>
      <c r="N63" s="156"/>
      <c r="O63" s="156"/>
      <c r="P63" s="156"/>
      <c r="Q63" s="156"/>
      <c r="R63" s="156"/>
      <c r="S63" s="156"/>
      <c r="T63" s="156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:45" ht="15.75" customHeight="1">
      <c r="A64" s="1"/>
      <c r="B64" s="241">
        <f t="shared" si="5"/>
        <v>44680</v>
      </c>
      <c r="C64" s="9">
        <v>9</v>
      </c>
      <c r="D64" s="40">
        <f t="shared" si="6"/>
        <v>14773.776603317026</v>
      </c>
      <c r="E64" s="40">
        <f t="shared" si="7"/>
        <v>647.33756158495328</v>
      </c>
      <c r="F64" s="40">
        <f t="shared" si="8"/>
        <v>216.95642662680572</v>
      </c>
      <c r="G64" s="40">
        <f t="shared" si="9"/>
        <v>430.38113495814753</v>
      </c>
      <c r="H64" s="40">
        <f t="shared" si="10"/>
        <v>14343.395468358878</v>
      </c>
      <c r="I64" s="1"/>
      <c r="J64" s="1"/>
      <c r="K64" s="1"/>
      <c r="L64" s="1"/>
      <c r="M64" s="1"/>
      <c r="N64" s="156"/>
      <c r="O64" s="156"/>
      <c r="P64" s="156"/>
      <c r="Q64" s="156"/>
      <c r="R64" s="156"/>
      <c r="S64" s="156"/>
      <c r="T64" s="156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:45" ht="15.75" customHeight="1">
      <c r="A65" s="1"/>
      <c r="B65" s="241">
        <f t="shared" si="5"/>
        <v>44710</v>
      </c>
      <c r="C65" s="9">
        <v>10</v>
      </c>
      <c r="D65" s="40">
        <f t="shared" si="6"/>
        <v>14343.395468358878</v>
      </c>
      <c r="E65" s="40">
        <f t="shared" si="7"/>
        <v>647.33756158495328</v>
      </c>
      <c r="F65" s="40">
        <f t="shared" si="8"/>
        <v>210.63617719869779</v>
      </c>
      <c r="G65" s="40">
        <f t="shared" si="9"/>
        <v>436.70138438625548</v>
      </c>
      <c r="H65" s="40">
        <f t="shared" si="10"/>
        <v>13906.694083972623</v>
      </c>
      <c r="I65" s="1"/>
      <c r="J65" s="1"/>
      <c r="K65" s="1"/>
      <c r="L65" s="1"/>
      <c r="M65" s="1"/>
      <c r="N65" s="156"/>
      <c r="O65" s="156"/>
      <c r="P65" s="156"/>
      <c r="Q65" s="156"/>
      <c r="R65" s="156"/>
      <c r="S65" s="156"/>
      <c r="T65" s="156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:45" ht="15.75" customHeight="1">
      <c r="A66" s="1"/>
      <c r="B66" s="241">
        <f t="shared" si="5"/>
        <v>44740</v>
      </c>
      <c r="C66" s="9">
        <v>11</v>
      </c>
      <c r="D66" s="40">
        <f t="shared" si="6"/>
        <v>13906.694083972623</v>
      </c>
      <c r="E66" s="40">
        <f t="shared" si="7"/>
        <v>647.33756158495328</v>
      </c>
      <c r="F66" s="40">
        <f t="shared" si="8"/>
        <v>204.2231134030703</v>
      </c>
      <c r="G66" s="40">
        <f t="shared" si="9"/>
        <v>443.11444818188295</v>
      </c>
      <c r="H66" s="40">
        <f t="shared" si="10"/>
        <v>13463.57963579074</v>
      </c>
      <c r="I66" s="1"/>
      <c r="J66" s="1"/>
      <c r="K66" s="1"/>
      <c r="L66" s="1"/>
      <c r="M66" s="1"/>
      <c r="N66" s="156"/>
      <c r="O66" s="156"/>
      <c r="P66" s="156"/>
      <c r="Q66" s="156"/>
      <c r="R66" s="156"/>
      <c r="S66" s="156"/>
      <c r="T66" s="156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:45" ht="15.75" customHeight="1">
      <c r="A67" s="1"/>
      <c r="B67" s="241">
        <f t="shared" si="5"/>
        <v>44770</v>
      </c>
      <c r="C67" s="9">
        <v>12</v>
      </c>
      <c r="D67" s="40">
        <f t="shared" si="6"/>
        <v>13463.57963579074</v>
      </c>
      <c r="E67" s="40">
        <f t="shared" si="7"/>
        <v>647.33756158495328</v>
      </c>
      <c r="F67" s="40">
        <f t="shared" si="8"/>
        <v>197.71587223883978</v>
      </c>
      <c r="G67" s="40">
        <f t="shared" si="9"/>
        <v>449.6216893461135</v>
      </c>
      <c r="H67" s="40">
        <f t="shared" si="10"/>
        <v>13013.957946444627</v>
      </c>
      <c r="I67" s="1"/>
      <c r="J67" s="1"/>
      <c r="K67" s="1"/>
      <c r="L67" s="1"/>
      <c r="M67" s="1"/>
      <c r="N67" s="156"/>
      <c r="O67" s="156"/>
      <c r="P67" s="156"/>
      <c r="Q67" s="156"/>
      <c r="R67" s="156"/>
      <c r="S67" s="156"/>
      <c r="T67" s="156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:45" ht="15.75" customHeight="1">
      <c r="A68" s="1"/>
      <c r="B68" s="241">
        <f t="shared" si="5"/>
        <v>44800</v>
      </c>
      <c r="C68" s="9">
        <v>13</v>
      </c>
      <c r="D68" s="40">
        <f t="shared" si="6"/>
        <v>13013.957946444627</v>
      </c>
      <c r="E68" s="40">
        <f t="shared" si="7"/>
        <v>647.33756158495328</v>
      </c>
      <c r="F68" s="40">
        <f t="shared" si="8"/>
        <v>191.11307068892742</v>
      </c>
      <c r="G68" s="40">
        <f t="shared" si="9"/>
        <v>456.22449089602583</v>
      </c>
      <c r="H68" s="40">
        <f t="shared" si="10"/>
        <v>12557.733455548601</v>
      </c>
      <c r="I68" s="1"/>
      <c r="J68" s="1"/>
      <c r="K68" s="1"/>
      <c r="L68" s="1"/>
      <c r="M68" s="1"/>
      <c r="N68" s="156"/>
      <c r="O68" s="156"/>
      <c r="P68" s="156"/>
      <c r="Q68" s="156"/>
      <c r="R68" s="156"/>
      <c r="S68" s="156"/>
      <c r="T68" s="156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:45" ht="15.75" customHeight="1">
      <c r="A69" s="1"/>
      <c r="B69" s="241">
        <f t="shared" si="5"/>
        <v>44830</v>
      </c>
      <c r="C69" s="9">
        <v>14</v>
      </c>
      <c r="D69" s="40">
        <f t="shared" si="6"/>
        <v>12557.733455548601</v>
      </c>
      <c r="E69" s="40">
        <f t="shared" si="7"/>
        <v>647.33756158495328</v>
      </c>
      <c r="F69" s="40">
        <f t="shared" si="8"/>
        <v>184.41330542631937</v>
      </c>
      <c r="G69" s="40">
        <f t="shared" si="9"/>
        <v>462.92425615863391</v>
      </c>
      <c r="H69" s="40">
        <f t="shared" si="10"/>
        <v>12094.809199389967</v>
      </c>
      <c r="I69" s="1"/>
      <c r="J69" s="1"/>
      <c r="K69" s="1"/>
      <c r="L69" s="1"/>
      <c r="M69" s="1"/>
      <c r="N69" s="156"/>
      <c r="O69" s="156"/>
      <c r="P69" s="156"/>
      <c r="Q69" s="156"/>
      <c r="R69" s="156"/>
      <c r="S69" s="156"/>
      <c r="T69" s="156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:45" ht="15.75" customHeight="1">
      <c r="A70" s="1"/>
      <c r="B70" s="241">
        <f t="shared" si="5"/>
        <v>44860</v>
      </c>
      <c r="C70" s="9">
        <v>15</v>
      </c>
      <c r="D70" s="40">
        <f t="shared" si="6"/>
        <v>12094.809199389967</v>
      </c>
      <c r="E70" s="40">
        <f t="shared" si="7"/>
        <v>647.33756158495328</v>
      </c>
      <c r="F70" s="40">
        <f t="shared" si="8"/>
        <v>177.61515251581037</v>
      </c>
      <c r="G70" s="40">
        <f t="shared" si="9"/>
        <v>469.72240906914294</v>
      </c>
      <c r="H70" s="40">
        <f t="shared" si="10"/>
        <v>11625.086790320824</v>
      </c>
      <c r="I70" s="1"/>
      <c r="J70" s="1"/>
      <c r="K70" s="1"/>
      <c r="L70" s="1"/>
      <c r="M70" s="1"/>
      <c r="N70" s="156"/>
      <c r="O70" s="156"/>
      <c r="P70" s="156"/>
      <c r="Q70" s="156"/>
      <c r="R70" s="156"/>
      <c r="S70" s="156"/>
      <c r="T70" s="156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:45" ht="15.75" customHeight="1">
      <c r="A71" s="1"/>
      <c r="B71" s="241">
        <f t="shared" si="5"/>
        <v>44890</v>
      </c>
      <c r="C71" s="9">
        <v>16</v>
      </c>
      <c r="D71" s="40">
        <f t="shared" si="6"/>
        <v>11625.086790320824</v>
      </c>
      <c r="E71" s="40">
        <f t="shared" si="7"/>
        <v>647.33756158495328</v>
      </c>
      <c r="F71" s="40">
        <f t="shared" si="8"/>
        <v>170.71716711136779</v>
      </c>
      <c r="G71" s="40">
        <f t="shared" si="9"/>
        <v>476.62039447358552</v>
      </c>
      <c r="H71" s="40">
        <f t="shared" si="10"/>
        <v>11148.466395847237</v>
      </c>
      <c r="I71" s="1"/>
      <c r="J71" s="1"/>
      <c r="K71" s="1"/>
      <c r="L71" s="1"/>
      <c r="M71" s="1"/>
      <c r="N71" s="156"/>
      <c r="O71" s="156"/>
      <c r="P71" s="156"/>
      <c r="Q71" s="156"/>
      <c r="R71" s="156"/>
      <c r="S71" s="156"/>
      <c r="T71" s="156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:45" ht="15.75" customHeight="1">
      <c r="A72" s="1"/>
      <c r="B72" s="241">
        <f t="shared" si="5"/>
        <v>44920</v>
      </c>
      <c r="C72" s="9">
        <v>17</v>
      </c>
      <c r="D72" s="40">
        <f t="shared" si="6"/>
        <v>11148.466395847237</v>
      </c>
      <c r="E72" s="40">
        <f t="shared" si="7"/>
        <v>647.33756158495328</v>
      </c>
      <c r="F72" s="40">
        <f t="shared" si="8"/>
        <v>163.717883149051</v>
      </c>
      <c r="G72" s="40">
        <f t="shared" si="9"/>
        <v>483.6196784359023</v>
      </c>
      <c r="H72" s="40">
        <f t="shared" si="10"/>
        <v>10664.846717411336</v>
      </c>
      <c r="I72" s="1"/>
      <c r="J72" s="1"/>
      <c r="K72" s="1"/>
      <c r="L72" s="1"/>
      <c r="M72" s="1"/>
      <c r="N72" s="156"/>
      <c r="O72" s="156"/>
      <c r="P72" s="156"/>
      <c r="Q72" s="156"/>
      <c r="R72" s="156"/>
      <c r="S72" s="156"/>
      <c r="T72" s="156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:45" ht="15.75" customHeight="1">
      <c r="A73" s="1"/>
      <c r="B73" s="241">
        <f t="shared" si="5"/>
        <v>44950</v>
      </c>
      <c r="C73" s="9">
        <v>18</v>
      </c>
      <c r="D73" s="40">
        <f t="shared" si="6"/>
        <v>10664.846717411336</v>
      </c>
      <c r="E73" s="40">
        <f t="shared" si="7"/>
        <v>647.33756158495328</v>
      </c>
      <c r="F73" s="40">
        <f t="shared" si="8"/>
        <v>156.61581303542141</v>
      </c>
      <c r="G73" s="40">
        <f t="shared" si="9"/>
        <v>490.72174854953187</v>
      </c>
      <c r="H73" s="40">
        <f t="shared" si="10"/>
        <v>10174.124968861805</v>
      </c>
      <c r="I73" s="1"/>
      <c r="J73" s="1"/>
      <c r="K73" s="1"/>
      <c r="L73" s="1"/>
      <c r="M73" s="1"/>
      <c r="N73" s="156"/>
      <c r="O73" s="156"/>
      <c r="P73" s="156"/>
      <c r="Q73" s="156"/>
      <c r="R73" s="156"/>
      <c r="S73" s="156"/>
      <c r="T73" s="156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:45" ht="15.75" customHeight="1">
      <c r="A74" s="1"/>
      <c r="B74" s="241">
        <f t="shared" si="5"/>
        <v>44980</v>
      </c>
      <c r="C74" s="9">
        <v>19</v>
      </c>
      <c r="D74" s="40">
        <f t="shared" si="6"/>
        <v>10174.124968861805</v>
      </c>
      <c r="E74" s="40">
        <f t="shared" si="7"/>
        <v>647.33756158495328</v>
      </c>
      <c r="F74" s="40">
        <f t="shared" si="8"/>
        <v>149.40944733137653</v>
      </c>
      <c r="G74" s="40">
        <f t="shared" si="9"/>
        <v>497.92811425357672</v>
      </c>
      <c r="H74" s="40">
        <f t="shared" si="10"/>
        <v>9676.196854608228</v>
      </c>
      <c r="I74" s="1"/>
      <c r="J74" s="1"/>
      <c r="K74" s="1"/>
      <c r="L74" s="1"/>
      <c r="M74" s="1"/>
      <c r="N74" s="156"/>
      <c r="O74" s="156"/>
      <c r="P74" s="156"/>
      <c r="Q74" s="156"/>
      <c r="R74" s="156"/>
      <c r="S74" s="156"/>
      <c r="T74" s="156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:45" ht="15.75" customHeight="1">
      <c r="A75" s="1"/>
      <c r="B75" s="241">
        <f t="shared" si="5"/>
        <v>45010</v>
      </c>
      <c r="C75" s="9">
        <v>20</v>
      </c>
      <c r="D75" s="40">
        <f t="shared" si="6"/>
        <v>9676.196854608228</v>
      </c>
      <c r="E75" s="40">
        <f t="shared" si="7"/>
        <v>647.33756158495328</v>
      </c>
      <c r="F75" s="40">
        <f t="shared" si="8"/>
        <v>142.09725443134141</v>
      </c>
      <c r="G75" s="40">
        <f t="shared" si="9"/>
        <v>505.24030715361187</v>
      </c>
      <c r="H75" s="40">
        <f t="shared" si="10"/>
        <v>9170.9565474546162</v>
      </c>
      <c r="I75" s="1"/>
      <c r="J75" s="1"/>
      <c r="K75" s="1"/>
      <c r="L75" s="1"/>
      <c r="M75" s="1"/>
      <c r="N75" s="156"/>
      <c r="O75" s="156"/>
      <c r="P75" s="156"/>
      <c r="Q75" s="156"/>
      <c r="R75" s="156"/>
      <c r="S75" s="156"/>
      <c r="T75" s="156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:45" ht="15.75" customHeight="1">
      <c r="A76" s="1"/>
      <c r="B76" s="241">
        <f t="shared" si="5"/>
        <v>45040</v>
      </c>
      <c r="C76" s="9">
        <v>21</v>
      </c>
      <c r="D76" s="40">
        <f t="shared" si="6"/>
        <v>9170.9565474546162</v>
      </c>
      <c r="E76" s="40">
        <f t="shared" si="7"/>
        <v>647.33756158495328</v>
      </c>
      <c r="F76" s="40">
        <f t="shared" si="8"/>
        <v>134.67768023774852</v>
      </c>
      <c r="G76" s="40">
        <f t="shared" si="9"/>
        <v>512.65988134720476</v>
      </c>
      <c r="H76" s="40">
        <f t="shared" si="10"/>
        <v>8658.2966661074115</v>
      </c>
      <c r="I76" s="1"/>
      <c r="J76" s="1"/>
      <c r="K76" s="1"/>
      <c r="L76" s="1"/>
      <c r="M76" s="1"/>
      <c r="N76" s="156"/>
      <c r="O76" s="156"/>
      <c r="P76" s="156"/>
      <c r="Q76" s="156"/>
      <c r="R76" s="156"/>
      <c r="S76" s="156"/>
      <c r="T76" s="156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:45" ht="15.75" customHeight="1">
      <c r="A77" s="1"/>
      <c r="B77" s="241">
        <f t="shared" si="5"/>
        <v>45070</v>
      </c>
      <c r="C77" s="9">
        <v>22</v>
      </c>
      <c r="D77" s="40">
        <f t="shared" si="6"/>
        <v>8658.2966661074115</v>
      </c>
      <c r="E77" s="40">
        <f t="shared" si="7"/>
        <v>647.33756158495328</v>
      </c>
      <c r="F77" s="40">
        <f t="shared" si="8"/>
        <v>127.14914783073762</v>
      </c>
      <c r="G77" s="40">
        <f t="shared" si="9"/>
        <v>520.18841375421562</v>
      </c>
      <c r="H77" s="40">
        <f t="shared" si="10"/>
        <v>8138.1082523531959</v>
      </c>
      <c r="I77" s="1"/>
      <c r="J77" s="1"/>
      <c r="K77" s="1"/>
      <c r="L77" s="1"/>
      <c r="M77" s="1"/>
      <c r="N77" s="156"/>
      <c r="O77" s="156"/>
      <c r="P77" s="156"/>
      <c r="Q77" s="156"/>
      <c r="R77" s="156"/>
      <c r="S77" s="156"/>
      <c r="T77" s="156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:45" ht="15.75" customHeight="1">
      <c r="A78" s="1"/>
      <c r="B78" s="241">
        <f t="shared" si="5"/>
        <v>45100</v>
      </c>
      <c r="C78" s="9">
        <v>23</v>
      </c>
      <c r="D78" s="40">
        <f t="shared" si="6"/>
        <v>8138.1082523531959</v>
      </c>
      <c r="E78" s="40">
        <f t="shared" si="7"/>
        <v>647.33756158495328</v>
      </c>
      <c r="F78" s="40">
        <f t="shared" si="8"/>
        <v>119.51005713300486</v>
      </c>
      <c r="G78" s="40">
        <f t="shared" si="9"/>
        <v>527.82750445194847</v>
      </c>
      <c r="H78" s="40">
        <f t="shared" si="10"/>
        <v>7610.2807479012472</v>
      </c>
      <c r="I78" s="1"/>
      <c r="J78" s="1"/>
      <c r="K78" s="1"/>
      <c r="L78" s="1"/>
      <c r="M78" s="1"/>
      <c r="N78" s="156"/>
      <c r="O78" s="156"/>
      <c r="P78" s="156"/>
      <c r="Q78" s="156"/>
      <c r="R78" s="156"/>
      <c r="S78" s="156"/>
      <c r="T78" s="156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:45" ht="15.75" customHeight="1">
      <c r="A79" s="1"/>
      <c r="B79" s="241">
        <f t="shared" si="5"/>
        <v>45130</v>
      </c>
      <c r="C79" s="9">
        <v>24</v>
      </c>
      <c r="D79" s="40">
        <f t="shared" si="6"/>
        <v>7610.2807479012472</v>
      </c>
      <c r="E79" s="40">
        <f t="shared" si="7"/>
        <v>647.33756158495328</v>
      </c>
      <c r="F79" s="40">
        <f t="shared" si="8"/>
        <v>111.75878456973028</v>
      </c>
      <c r="G79" s="40">
        <f t="shared" si="9"/>
        <v>535.57877701522295</v>
      </c>
      <c r="H79" s="40">
        <f t="shared" si="10"/>
        <v>7074.7019708860244</v>
      </c>
      <c r="I79" s="1"/>
      <c r="J79" s="1"/>
      <c r="K79" s="1"/>
      <c r="L79" s="1"/>
      <c r="M79" s="1"/>
      <c r="N79" s="156"/>
      <c r="O79" s="156"/>
      <c r="P79" s="156"/>
      <c r="Q79" s="156"/>
      <c r="R79" s="156"/>
      <c r="S79" s="156"/>
      <c r="T79" s="156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:45" ht="15.75" customHeight="1">
      <c r="A80" s="1"/>
      <c r="B80" s="241">
        <f t="shared" si="5"/>
        <v>45160</v>
      </c>
      <c r="C80" s="9">
        <v>25</v>
      </c>
      <c r="D80" s="40">
        <f t="shared" si="6"/>
        <v>7074.7019708860244</v>
      </c>
      <c r="E80" s="40">
        <f t="shared" si="7"/>
        <v>647.33756158495328</v>
      </c>
      <c r="F80" s="40">
        <f t="shared" si="8"/>
        <v>103.89368272351116</v>
      </c>
      <c r="G80" s="40">
        <f t="shared" si="9"/>
        <v>543.44387886144216</v>
      </c>
      <c r="H80" s="40">
        <f t="shared" si="10"/>
        <v>6531.2580920245819</v>
      </c>
      <c r="I80" s="1"/>
      <c r="J80" s="1"/>
      <c r="K80" s="1"/>
      <c r="L80" s="1"/>
      <c r="M80" s="1"/>
      <c r="N80" s="156"/>
      <c r="O80" s="156"/>
      <c r="P80" s="156"/>
      <c r="Q80" s="156"/>
      <c r="R80" s="156"/>
      <c r="S80" s="156"/>
      <c r="T80" s="156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:45" ht="15.75" customHeight="1">
      <c r="A81" s="1"/>
      <c r="B81" s="241">
        <f t="shared" si="5"/>
        <v>45190</v>
      </c>
      <c r="C81" s="9">
        <v>26</v>
      </c>
      <c r="D81" s="40">
        <f t="shared" si="6"/>
        <v>6531.2580920245819</v>
      </c>
      <c r="E81" s="40">
        <f t="shared" si="7"/>
        <v>647.33756158495328</v>
      </c>
      <c r="F81" s="40">
        <f t="shared" si="8"/>
        <v>95.913079984228006</v>
      </c>
      <c r="G81" s="40">
        <f t="shared" si="9"/>
        <v>551.42448160072524</v>
      </c>
      <c r="H81" s="40">
        <f t="shared" si="10"/>
        <v>5979.833610423857</v>
      </c>
      <c r="I81" s="1"/>
      <c r="J81" s="1"/>
      <c r="K81" s="1"/>
      <c r="L81" s="1"/>
      <c r="M81" s="1"/>
      <c r="N81" s="156"/>
      <c r="O81" s="156"/>
      <c r="P81" s="156"/>
      <c r="Q81" s="156"/>
      <c r="R81" s="156"/>
      <c r="S81" s="156"/>
      <c r="T81" s="156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:45" ht="15.75" customHeight="1">
      <c r="A82" s="1"/>
      <c r="B82" s="241">
        <f t="shared" si="5"/>
        <v>45220</v>
      </c>
      <c r="C82" s="9">
        <v>27</v>
      </c>
      <c r="D82" s="40">
        <f t="shared" si="6"/>
        <v>5979.833610423857</v>
      </c>
      <c r="E82" s="40">
        <f t="shared" si="7"/>
        <v>647.33756158495328</v>
      </c>
      <c r="F82" s="40">
        <f t="shared" si="8"/>
        <v>87.815280193768785</v>
      </c>
      <c r="G82" s="40">
        <f t="shared" si="9"/>
        <v>559.52228139118449</v>
      </c>
      <c r="H82" s="40">
        <f t="shared" si="10"/>
        <v>5420.3113290326728</v>
      </c>
      <c r="I82" s="1"/>
      <c r="J82" s="1"/>
      <c r="K82" s="1"/>
      <c r="L82" s="1"/>
      <c r="M82" s="1"/>
      <c r="N82" s="156"/>
      <c r="O82" s="156"/>
      <c r="P82" s="156"/>
      <c r="Q82" s="156"/>
      <c r="R82" s="156"/>
      <c r="S82" s="156"/>
      <c r="T82" s="156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:45" ht="15.75" customHeight="1">
      <c r="A83" s="1"/>
      <c r="B83" s="241">
        <f t="shared" si="5"/>
        <v>45250</v>
      </c>
      <c r="C83" s="9">
        <v>28</v>
      </c>
      <c r="D83" s="40">
        <f t="shared" si="6"/>
        <v>5420.3113290326728</v>
      </c>
      <c r="E83" s="40">
        <f t="shared" si="7"/>
        <v>647.33756158495328</v>
      </c>
      <c r="F83" s="40">
        <f t="shared" si="8"/>
        <v>79.598562285535735</v>
      </c>
      <c r="G83" s="40">
        <f t="shared" si="9"/>
        <v>567.73899929941751</v>
      </c>
      <c r="H83" s="40">
        <f t="shared" si="10"/>
        <v>4852.5723297332552</v>
      </c>
      <c r="I83" s="1"/>
      <c r="J83" s="1"/>
      <c r="K83" s="1"/>
      <c r="L83" s="1"/>
      <c r="M83" s="1"/>
      <c r="N83" s="156"/>
      <c r="O83" s="156"/>
      <c r="P83" s="156"/>
      <c r="Q83" s="156"/>
      <c r="R83" s="156"/>
      <c r="S83" s="156"/>
      <c r="T83" s="156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:45" ht="15.75" customHeight="1">
      <c r="A84" s="1"/>
      <c r="B84" s="241">
        <f t="shared" si="5"/>
        <v>45280</v>
      </c>
      <c r="C84" s="9">
        <v>29</v>
      </c>
      <c r="D84" s="40">
        <f t="shared" si="6"/>
        <v>4852.5723297332552</v>
      </c>
      <c r="E84" s="40">
        <f t="shared" si="7"/>
        <v>647.33756158495328</v>
      </c>
      <c r="F84" s="40">
        <f t="shared" si="8"/>
        <v>71.261179918658414</v>
      </c>
      <c r="G84" s="40">
        <f t="shared" si="9"/>
        <v>576.07638166629488</v>
      </c>
      <c r="H84" s="40">
        <f t="shared" si="10"/>
        <v>4276.4959480669604</v>
      </c>
      <c r="I84" s="1"/>
      <c r="J84" s="1"/>
      <c r="K84" s="1"/>
      <c r="L84" s="1"/>
      <c r="M84" s="1"/>
      <c r="N84" s="156"/>
      <c r="O84" s="156"/>
      <c r="P84" s="156"/>
      <c r="Q84" s="156"/>
      <c r="R84" s="156"/>
      <c r="S84" s="156"/>
      <c r="T84" s="156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:45" ht="15.75" customHeight="1">
      <c r="A85" s="1"/>
      <c r="B85" s="241">
        <f t="shared" si="5"/>
        <v>45310</v>
      </c>
      <c r="C85" s="9">
        <v>30</v>
      </c>
      <c r="D85" s="40">
        <f t="shared" si="6"/>
        <v>4276.4959480669604</v>
      </c>
      <c r="E85" s="40">
        <f t="shared" si="7"/>
        <v>647.33756158495328</v>
      </c>
      <c r="F85" s="40">
        <f t="shared" si="8"/>
        <v>62.801361106834911</v>
      </c>
      <c r="G85" s="40">
        <f t="shared" si="9"/>
        <v>584.53620047811842</v>
      </c>
      <c r="H85" s="40">
        <f t="shared" si="10"/>
        <v>3691.9597475888422</v>
      </c>
      <c r="I85" s="1"/>
      <c r="J85" s="1"/>
      <c r="K85" s="1"/>
      <c r="L85" s="1"/>
      <c r="M85" s="1"/>
      <c r="N85" s="156"/>
      <c r="O85" s="156"/>
      <c r="P85" s="156"/>
      <c r="Q85" s="156"/>
      <c r="R85" s="156"/>
      <c r="S85" s="156"/>
      <c r="T85" s="156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:45" ht="15.75" customHeight="1">
      <c r="A86" s="1"/>
      <c r="B86" s="241">
        <f t="shared" si="5"/>
        <v>45340</v>
      </c>
      <c r="C86" s="9">
        <v>31</v>
      </c>
      <c r="D86" s="40">
        <f t="shared" si="6"/>
        <v>3691.9597475888422</v>
      </c>
      <c r="E86" s="40">
        <f t="shared" si="7"/>
        <v>647.33756158495328</v>
      </c>
      <c r="F86" s="40">
        <f t="shared" si="8"/>
        <v>54.217307841722651</v>
      </c>
      <c r="G86" s="40">
        <f t="shared" si="9"/>
        <v>593.12025374323059</v>
      </c>
      <c r="H86" s="40">
        <f t="shared" si="10"/>
        <v>3098.8394938456117</v>
      </c>
      <c r="I86" s="1"/>
      <c r="J86" s="1"/>
      <c r="K86" s="1"/>
      <c r="L86" s="1"/>
      <c r="M86" s="1"/>
      <c r="N86" s="156"/>
      <c r="O86" s="156"/>
      <c r="P86" s="156"/>
      <c r="Q86" s="156"/>
      <c r="R86" s="156"/>
      <c r="S86" s="156"/>
      <c r="T86" s="156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:45" ht="15.75" customHeight="1">
      <c r="A87" s="1"/>
      <c r="B87" s="241">
        <f t="shared" si="5"/>
        <v>45370</v>
      </c>
      <c r="C87" s="9">
        <v>32</v>
      </c>
      <c r="D87" s="40">
        <f t="shared" si="6"/>
        <v>3098.8394938456117</v>
      </c>
      <c r="E87" s="40">
        <f t="shared" si="7"/>
        <v>647.33756158495328</v>
      </c>
      <c r="F87" s="40">
        <f t="shared" si="8"/>
        <v>45.507195710798463</v>
      </c>
      <c r="G87" s="40">
        <f t="shared" si="9"/>
        <v>601.83036587415484</v>
      </c>
      <c r="H87" s="40">
        <f t="shared" si="10"/>
        <v>2497.009127971457</v>
      </c>
      <c r="I87" s="1"/>
      <c r="J87" s="1"/>
      <c r="K87" s="1"/>
      <c r="L87" s="1"/>
      <c r="M87" s="1"/>
      <c r="N87" s="156"/>
      <c r="O87" s="156"/>
      <c r="P87" s="156"/>
      <c r="Q87" s="156"/>
      <c r="R87" s="156"/>
      <c r="S87" s="156"/>
      <c r="T87" s="156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:45" ht="15.75" customHeight="1">
      <c r="A88" s="1"/>
      <c r="B88" s="241">
        <f t="shared" si="5"/>
        <v>45400</v>
      </c>
      <c r="C88" s="9">
        <v>33</v>
      </c>
      <c r="D88" s="40">
        <f t="shared" si="6"/>
        <v>2497.009127971457</v>
      </c>
      <c r="E88" s="40">
        <f t="shared" si="7"/>
        <v>647.33756158495328</v>
      </c>
      <c r="F88" s="40">
        <f t="shared" si="8"/>
        <v>36.669173509606942</v>
      </c>
      <c r="G88" s="40">
        <f t="shared" si="9"/>
        <v>610.66838807534634</v>
      </c>
      <c r="H88" s="40">
        <f t="shared" si="10"/>
        <v>1886.3407398961108</v>
      </c>
      <c r="I88" s="1"/>
      <c r="J88" s="1"/>
      <c r="K88" s="1"/>
      <c r="L88" s="1"/>
      <c r="M88" s="1"/>
      <c r="N88" s="156"/>
      <c r="O88" s="156"/>
      <c r="P88" s="156"/>
      <c r="Q88" s="156"/>
      <c r="R88" s="156"/>
      <c r="S88" s="156"/>
      <c r="T88" s="156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:45" ht="15.75" customHeight="1">
      <c r="A89" s="1"/>
      <c r="B89" s="241">
        <f t="shared" si="5"/>
        <v>45430</v>
      </c>
      <c r="C89" s="9">
        <v>34</v>
      </c>
      <c r="D89" s="40">
        <f t="shared" si="6"/>
        <v>1886.3407398961108</v>
      </c>
      <c r="E89" s="40">
        <f t="shared" si="7"/>
        <v>647.33756158495328</v>
      </c>
      <c r="F89" s="40">
        <f t="shared" si="8"/>
        <v>27.701362848314549</v>
      </c>
      <c r="G89" s="40">
        <f t="shared" si="9"/>
        <v>619.63619873663868</v>
      </c>
      <c r="H89" s="40">
        <f t="shared" si="10"/>
        <v>1266.7045411594722</v>
      </c>
      <c r="I89" s="1"/>
      <c r="J89" s="1"/>
      <c r="K89" s="1"/>
      <c r="L89" s="1"/>
      <c r="M89" s="1"/>
      <c r="N89" s="156"/>
      <c r="O89" s="156"/>
      <c r="P89" s="156"/>
      <c r="Q89" s="156"/>
      <c r="R89" s="156"/>
      <c r="S89" s="156"/>
      <c r="T89" s="156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:45" ht="15.75" customHeight="1">
      <c r="A90" s="1"/>
      <c r="B90" s="241">
        <f t="shared" si="5"/>
        <v>45460</v>
      </c>
      <c r="C90" s="9">
        <v>35</v>
      </c>
      <c r="D90" s="40">
        <f t="shared" si="6"/>
        <v>1266.7045411594722</v>
      </c>
      <c r="E90" s="40">
        <f t="shared" si="7"/>
        <v>647.33756158495328</v>
      </c>
      <c r="F90" s="40">
        <f t="shared" si="8"/>
        <v>18.601857752485834</v>
      </c>
      <c r="G90" s="40">
        <f t="shared" si="9"/>
        <v>628.73570383246749</v>
      </c>
      <c r="H90" s="40">
        <f t="shared" si="10"/>
        <v>637.96883732700474</v>
      </c>
      <c r="I90" s="1"/>
      <c r="J90" s="1"/>
      <c r="K90" s="1"/>
      <c r="L90" s="1"/>
      <c r="M90" s="1"/>
      <c r="N90" s="156"/>
      <c r="O90" s="156"/>
      <c r="P90" s="156"/>
      <c r="Q90" s="156"/>
      <c r="R90" s="156"/>
      <c r="S90" s="156"/>
      <c r="T90" s="156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:45" ht="15.75" customHeight="1">
      <c r="A91" s="1"/>
      <c r="B91" s="241">
        <f t="shared" si="5"/>
        <v>45490</v>
      </c>
      <c r="C91" s="9">
        <v>36</v>
      </c>
      <c r="D91" s="40">
        <f t="shared" si="6"/>
        <v>637.96883732700474</v>
      </c>
      <c r="E91" s="40">
        <f t="shared" si="7"/>
        <v>647.33756158495328</v>
      </c>
      <c r="F91" s="40">
        <f t="shared" si="8"/>
        <v>9.3687242579970071</v>
      </c>
      <c r="G91" s="40">
        <f t="shared" si="9"/>
        <v>637.9688373269563</v>
      </c>
      <c r="H91" s="228">
        <f t="shared" si="10"/>
        <v>4.8430592869408429E-11</v>
      </c>
      <c r="I91" s="1"/>
      <c r="J91" s="1"/>
      <c r="K91" s="1"/>
      <c r="L91" s="1"/>
      <c r="M91" s="1"/>
      <c r="N91" s="156"/>
      <c r="O91" s="156"/>
      <c r="P91" s="156"/>
      <c r="Q91" s="156"/>
      <c r="R91" s="156"/>
      <c r="S91" s="156"/>
      <c r="T91" s="156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:45" ht="15.75" customHeight="1">
      <c r="A92" s="1"/>
      <c r="B92" s="34" t="s">
        <v>195</v>
      </c>
      <c r="C92" s="34"/>
      <c r="D92" s="64"/>
      <c r="E92" s="64"/>
      <c r="F92" s="43">
        <f t="shared" ref="F92:G92" si="11">SUM(F56:F91)</f>
        <v>5304.1522170583648</v>
      </c>
      <c r="G92" s="43">
        <f t="shared" si="11"/>
        <v>17999.999999999953</v>
      </c>
      <c r="H92" s="64"/>
      <c r="I92" s="1"/>
      <c r="J92" s="1"/>
      <c r="K92" s="1"/>
      <c r="L92" s="1"/>
      <c r="M92" s="1"/>
      <c r="N92" s="156"/>
      <c r="O92" s="156"/>
      <c r="P92" s="156"/>
      <c r="Q92" s="156"/>
      <c r="R92" s="156"/>
      <c r="S92" s="156"/>
      <c r="T92" s="156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:4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56"/>
      <c r="O93" s="156"/>
      <c r="P93" s="156"/>
      <c r="Q93" s="156"/>
      <c r="R93" s="156"/>
      <c r="S93" s="156"/>
      <c r="T93" s="156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:4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56"/>
      <c r="O94" s="156"/>
      <c r="P94" s="156"/>
      <c r="Q94" s="156"/>
      <c r="R94" s="156"/>
      <c r="S94" s="156"/>
      <c r="T94" s="156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:4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56"/>
      <c r="O95" s="156"/>
      <c r="P95" s="156"/>
      <c r="Q95" s="156"/>
      <c r="R95" s="156"/>
      <c r="S95" s="156"/>
      <c r="T95" s="156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:4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56"/>
      <c r="O96" s="156"/>
      <c r="P96" s="156"/>
      <c r="Q96" s="156"/>
      <c r="R96" s="156"/>
      <c r="S96" s="156"/>
      <c r="T96" s="156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:4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56"/>
      <c r="O97" s="156"/>
      <c r="P97" s="156"/>
      <c r="Q97" s="156"/>
      <c r="R97" s="156"/>
      <c r="S97" s="156"/>
      <c r="T97" s="156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:4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56"/>
      <c r="O98" s="156"/>
      <c r="P98" s="156"/>
      <c r="Q98" s="156"/>
      <c r="R98" s="156"/>
      <c r="S98" s="156"/>
      <c r="T98" s="156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:4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56"/>
      <c r="O99" s="156"/>
      <c r="P99" s="156"/>
      <c r="Q99" s="156"/>
      <c r="R99" s="156"/>
      <c r="S99" s="156"/>
      <c r="T99" s="156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:4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56"/>
      <c r="O100" s="156"/>
      <c r="P100" s="156"/>
      <c r="Q100" s="156"/>
      <c r="R100" s="156"/>
      <c r="S100" s="156"/>
      <c r="T100" s="156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:4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56"/>
      <c r="O101" s="156"/>
      <c r="P101" s="156"/>
      <c r="Q101" s="156"/>
      <c r="R101" s="156"/>
      <c r="S101" s="156"/>
      <c r="T101" s="156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:4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56"/>
      <c r="O102" s="156"/>
      <c r="P102" s="156"/>
      <c r="Q102" s="156"/>
      <c r="R102" s="156"/>
      <c r="S102" s="156"/>
      <c r="T102" s="156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:4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56"/>
      <c r="O103" s="156"/>
      <c r="P103" s="156"/>
      <c r="Q103" s="156"/>
      <c r="R103" s="156"/>
      <c r="S103" s="156"/>
      <c r="T103" s="156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:4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56"/>
      <c r="O104" s="156"/>
      <c r="P104" s="156"/>
      <c r="Q104" s="156"/>
      <c r="R104" s="156"/>
      <c r="S104" s="156"/>
      <c r="T104" s="156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:4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56"/>
      <c r="O105" s="156"/>
      <c r="P105" s="156"/>
      <c r="Q105" s="156"/>
      <c r="R105" s="156"/>
      <c r="S105" s="156"/>
      <c r="T105" s="156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:4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56"/>
      <c r="O106" s="156"/>
      <c r="P106" s="156"/>
      <c r="Q106" s="156"/>
      <c r="R106" s="156"/>
      <c r="S106" s="156"/>
      <c r="T106" s="156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:4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56"/>
      <c r="O107" s="156"/>
      <c r="P107" s="156"/>
      <c r="Q107" s="156"/>
      <c r="R107" s="156"/>
      <c r="S107" s="156"/>
      <c r="T107" s="156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:4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56"/>
      <c r="O108" s="156"/>
      <c r="P108" s="156"/>
      <c r="Q108" s="156"/>
      <c r="R108" s="156"/>
      <c r="S108" s="156"/>
      <c r="T108" s="156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:4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56"/>
      <c r="O109" s="156"/>
      <c r="P109" s="156"/>
      <c r="Q109" s="156"/>
      <c r="R109" s="156"/>
      <c r="S109" s="156"/>
      <c r="T109" s="156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:4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56"/>
      <c r="O110" s="156"/>
      <c r="P110" s="156"/>
      <c r="Q110" s="156"/>
      <c r="R110" s="156"/>
      <c r="S110" s="156"/>
      <c r="T110" s="156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:4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56"/>
      <c r="O111" s="156"/>
      <c r="P111" s="156"/>
      <c r="Q111" s="156"/>
      <c r="R111" s="156"/>
      <c r="S111" s="156"/>
      <c r="T111" s="156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:4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56"/>
      <c r="O112" s="156"/>
      <c r="P112" s="156"/>
      <c r="Q112" s="156"/>
      <c r="R112" s="156"/>
      <c r="S112" s="156"/>
      <c r="T112" s="156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:4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56"/>
      <c r="O113" s="156"/>
      <c r="P113" s="156"/>
      <c r="Q113" s="156"/>
      <c r="R113" s="156"/>
      <c r="S113" s="156"/>
      <c r="T113" s="156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:4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56"/>
      <c r="O114" s="156"/>
      <c r="P114" s="156"/>
      <c r="Q114" s="156"/>
      <c r="R114" s="156"/>
      <c r="S114" s="156"/>
      <c r="T114" s="156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:4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56"/>
      <c r="O115" s="156"/>
      <c r="P115" s="156"/>
      <c r="Q115" s="156"/>
      <c r="R115" s="156"/>
      <c r="S115" s="156"/>
      <c r="T115" s="156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:4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56"/>
      <c r="O116" s="156"/>
      <c r="P116" s="156"/>
      <c r="Q116" s="156"/>
      <c r="R116" s="156"/>
      <c r="S116" s="156"/>
      <c r="T116" s="156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:4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56"/>
      <c r="O117" s="156"/>
      <c r="P117" s="156"/>
      <c r="Q117" s="156"/>
      <c r="R117" s="156"/>
      <c r="S117" s="156"/>
      <c r="T117" s="156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56"/>
      <c r="O118" s="156"/>
      <c r="P118" s="156"/>
      <c r="Q118" s="156"/>
      <c r="R118" s="156"/>
      <c r="S118" s="156"/>
      <c r="T118" s="156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4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56"/>
      <c r="O119" s="156"/>
      <c r="P119" s="156"/>
      <c r="Q119" s="156"/>
      <c r="R119" s="156"/>
      <c r="S119" s="156"/>
      <c r="T119" s="156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:4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56"/>
      <c r="O120" s="156"/>
      <c r="P120" s="156"/>
      <c r="Q120" s="156"/>
      <c r="R120" s="156"/>
      <c r="S120" s="156"/>
      <c r="T120" s="156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:4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56"/>
      <c r="O121" s="156"/>
      <c r="P121" s="156"/>
      <c r="Q121" s="156"/>
      <c r="R121" s="156"/>
      <c r="S121" s="156"/>
      <c r="T121" s="156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:4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56"/>
      <c r="O122" s="156"/>
      <c r="P122" s="156"/>
      <c r="Q122" s="156"/>
      <c r="R122" s="156"/>
      <c r="S122" s="156"/>
      <c r="T122" s="156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:4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56"/>
      <c r="O123" s="156"/>
      <c r="P123" s="156"/>
      <c r="Q123" s="156"/>
      <c r="R123" s="156"/>
      <c r="S123" s="156"/>
      <c r="T123" s="156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:4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56"/>
      <c r="O124" s="156"/>
      <c r="P124" s="156"/>
      <c r="Q124" s="156"/>
      <c r="R124" s="156"/>
      <c r="S124" s="156"/>
      <c r="T124" s="156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:4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56"/>
      <c r="O125" s="156"/>
      <c r="P125" s="156"/>
      <c r="Q125" s="156"/>
      <c r="R125" s="156"/>
      <c r="S125" s="156"/>
      <c r="T125" s="156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:4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56"/>
      <c r="O126" s="156"/>
      <c r="P126" s="156"/>
      <c r="Q126" s="156"/>
      <c r="R126" s="156"/>
      <c r="S126" s="156"/>
      <c r="T126" s="156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:4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56"/>
      <c r="O127" s="156"/>
      <c r="P127" s="156"/>
      <c r="Q127" s="156"/>
      <c r="R127" s="156"/>
      <c r="S127" s="156"/>
      <c r="T127" s="156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:4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56"/>
      <c r="O128" s="156"/>
      <c r="P128" s="156"/>
      <c r="Q128" s="156"/>
      <c r="R128" s="156"/>
      <c r="S128" s="156"/>
      <c r="T128" s="156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:4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56"/>
      <c r="O129" s="156"/>
      <c r="P129" s="156"/>
      <c r="Q129" s="156"/>
      <c r="R129" s="156"/>
      <c r="S129" s="156"/>
      <c r="T129" s="156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:4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56"/>
      <c r="O130" s="156"/>
      <c r="P130" s="156"/>
      <c r="Q130" s="156"/>
      <c r="R130" s="156"/>
      <c r="S130" s="156"/>
      <c r="T130" s="156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:4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56"/>
      <c r="O131" s="156"/>
      <c r="P131" s="156"/>
      <c r="Q131" s="156"/>
      <c r="R131" s="156"/>
      <c r="S131" s="156"/>
      <c r="T131" s="156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:4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56"/>
      <c r="O132" s="156"/>
      <c r="P132" s="156"/>
      <c r="Q132" s="156"/>
      <c r="R132" s="156"/>
      <c r="S132" s="156"/>
      <c r="T132" s="156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:4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56"/>
      <c r="O133" s="156"/>
      <c r="P133" s="156"/>
      <c r="Q133" s="156"/>
      <c r="R133" s="156"/>
      <c r="S133" s="156"/>
      <c r="T133" s="156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:4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56"/>
      <c r="O134" s="156"/>
      <c r="P134" s="156"/>
      <c r="Q134" s="156"/>
      <c r="R134" s="156"/>
      <c r="S134" s="156"/>
      <c r="T134" s="156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:4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56"/>
      <c r="O135" s="156"/>
      <c r="P135" s="156"/>
      <c r="Q135" s="156"/>
      <c r="R135" s="156"/>
      <c r="S135" s="156"/>
      <c r="T135" s="156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:4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56"/>
      <c r="O136" s="156"/>
      <c r="P136" s="156"/>
      <c r="Q136" s="156"/>
      <c r="R136" s="156"/>
      <c r="S136" s="156"/>
      <c r="T136" s="156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:4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56"/>
      <c r="O137" s="156"/>
      <c r="P137" s="156"/>
      <c r="Q137" s="156"/>
      <c r="R137" s="156"/>
      <c r="S137" s="156"/>
      <c r="T137" s="156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:4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56"/>
      <c r="O138" s="156"/>
      <c r="P138" s="156"/>
      <c r="Q138" s="156"/>
      <c r="R138" s="156"/>
      <c r="S138" s="156"/>
      <c r="T138" s="156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:4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56"/>
      <c r="O139" s="156"/>
      <c r="P139" s="156"/>
      <c r="Q139" s="156"/>
      <c r="R139" s="156"/>
      <c r="S139" s="156"/>
      <c r="T139" s="156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:4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56"/>
      <c r="O140" s="156"/>
      <c r="P140" s="156"/>
      <c r="Q140" s="156"/>
      <c r="R140" s="156"/>
      <c r="S140" s="156"/>
      <c r="T140" s="156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:4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56"/>
      <c r="O141" s="156"/>
      <c r="P141" s="156"/>
      <c r="Q141" s="156"/>
      <c r="R141" s="156"/>
      <c r="S141" s="156"/>
      <c r="T141" s="156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:4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56"/>
      <c r="O142" s="156"/>
      <c r="P142" s="156"/>
      <c r="Q142" s="156"/>
      <c r="R142" s="156"/>
      <c r="S142" s="156"/>
      <c r="T142" s="156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:4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56"/>
      <c r="O143" s="156"/>
      <c r="P143" s="156"/>
      <c r="Q143" s="156"/>
      <c r="R143" s="156"/>
      <c r="S143" s="156"/>
      <c r="T143" s="156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:4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56"/>
      <c r="O144" s="156"/>
      <c r="P144" s="156"/>
      <c r="Q144" s="156"/>
      <c r="R144" s="156"/>
      <c r="S144" s="156"/>
      <c r="T144" s="156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: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56"/>
      <c r="O145" s="156"/>
      <c r="P145" s="156"/>
      <c r="Q145" s="156"/>
      <c r="R145" s="156"/>
      <c r="S145" s="156"/>
      <c r="T145" s="15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:4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56"/>
      <c r="O146" s="156"/>
      <c r="P146" s="156"/>
      <c r="Q146" s="156"/>
      <c r="R146" s="156"/>
      <c r="S146" s="156"/>
      <c r="T146" s="156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:4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56"/>
      <c r="O147" s="156"/>
      <c r="P147" s="156"/>
      <c r="Q147" s="156"/>
      <c r="R147" s="156"/>
      <c r="S147" s="156"/>
      <c r="T147" s="156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:4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56"/>
      <c r="O148" s="156"/>
      <c r="P148" s="156"/>
      <c r="Q148" s="156"/>
      <c r="R148" s="156"/>
      <c r="S148" s="156"/>
      <c r="T148" s="156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:4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56"/>
      <c r="O149" s="156"/>
      <c r="P149" s="156"/>
      <c r="Q149" s="156"/>
      <c r="R149" s="156"/>
      <c r="S149" s="156"/>
      <c r="T149" s="156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:4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56"/>
      <c r="O150" s="156"/>
      <c r="P150" s="156"/>
      <c r="Q150" s="156"/>
      <c r="R150" s="156"/>
      <c r="S150" s="156"/>
      <c r="T150" s="156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:4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56"/>
      <c r="O151" s="156"/>
      <c r="P151" s="156"/>
      <c r="Q151" s="156"/>
      <c r="R151" s="156"/>
      <c r="S151" s="156"/>
      <c r="T151" s="156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:4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56"/>
      <c r="O152" s="156"/>
      <c r="P152" s="156"/>
      <c r="Q152" s="156"/>
      <c r="R152" s="156"/>
      <c r="S152" s="156"/>
      <c r="T152" s="156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:4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56"/>
      <c r="O153" s="156"/>
      <c r="P153" s="156"/>
      <c r="Q153" s="156"/>
      <c r="R153" s="156"/>
      <c r="S153" s="156"/>
      <c r="T153" s="156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:4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56"/>
      <c r="O154" s="156"/>
      <c r="P154" s="156"/>
      <c r="Q154" s="156"/>
      <c r="R154" s="156"/>
      <c r="S154" s="156"/>
      <c r="T154" s="156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:4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56"/>
      <c r="O155" s="156"/>
      <c r="P155" s="156"/>
      <c r="Q155" s="156"/>
      <c r="R155" s="156"/>
      <c r="S155" s="156"/>
      <c r="T155" s="156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:4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56"/>
      <c r="O156" s="156"/>
      <c r="P156" s="156"/>
      <c r="Q156" s="156"/>
      <c r="R156" s="156"/>
      <c r="S156" s="156"/>
      <c r="T156" s="15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:4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56"/>
      <c r="O157" s="156"/>
      <c r="P157" s="156"/>
      <c r="Q157" s="156"/>
      <c r="R157" s="156"/>
      <c r="S157" s="156"/>
      <c r="T157" s="156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:4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56"/>
      <c r="O158" s="156"/>
      <c r="P158" s="156"/>
      <c r="Q158" s="156"/>
      <c r="R158" s="156"/>
      <c r="S158" s="156"/>
      <c r="T158" s="156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:4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56"/>
      <c r="O159" s="156"/>
      <c r="P159" s="156"/>
      <c r="Q159" s="156"/>
      <c r="R159" s="156"/>
      <c r="S159" s="156"/>
      <c r="T159" s="156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:4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56"/>
      <c r="O160" s="156"/>
      <c r="P160" s="156"/>
      <c r="Q160" s="156"/>
      <c r="R160" s="156"/>
      <c r="S160" s="156"/>
      <c r="T160" s="156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:4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56"/>
      <c r="O161" s="156"/>
      <c r="P161" s="156"/>
      <c r="Q161" s="156"/>
      <c r="R161" s="156"/>
      <c r="S161" s="156"/>
      <c r="T161" s="156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:4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56"/>
      <c r="O162" s="156"/>
      <c r="P162" s="156"/>
      <c r="Q162" s="156"/>
      <c r="R162" s="156"/>
      <c r="S162" s="156"/>
      <c r="T162" s="156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:4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56"/>
      <c r="O163" s="156"/>
      <c r="P163" s="156"/>
      <c r="Q163" s="156"/>
      <c r="R163" s="156"/>
      <c r="S163" s="156"/>
      <c r="T163" s="156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:4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56"/>
      <c r="O164" s="156"/>
      <c r="P164" s="156"/>
      <c r="Q164" s="156"/>
      <c r="R164" s="156"/>
      <c r="S164" s="156"/>
      <c r="T164" s="156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:4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56"/>
      <c r="O165" s="156"/>
      <c r="P165" s="156"/>
      <c r="Q165" s="156"/>
      <c r="R165" s="156"/>
      <c r="S165" s="156"/>
      <c r="T165" s="156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:4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56"/>
      <c r="O166" s="156"/>
      <c r="P166" s="156"/>
      <c r="Q166" s="156"/>
      <c r="R166" s="156"/>
      <c r="S166" s="156"/>
      <c r="T166" s="156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:4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56"/>
      <c r="O167" s="156"/>
      <c r="P167" s="156"/>
      <c r="Q167" s="156"/>
      <c r="R167" s="156"/>
      <c r="S167" s="156"/>
      <c r="T167" s="156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:4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56"/>
      <c r="O168" s="156"/>
      <c r="P168" s="156"/>
      <c r="Q168" s="156"/>
      <c r="R168" s="156"/>
      <c r="S168" s="156"/>
      <c r="T168" s="156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:4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56"/>
      <c r="O169" s="156"/>
      <c r="P169" s="156"/>
      <c r="Q169" s="156"/>
      <c r="R169" s="156"/>
      <c r="S169" s="156"/>
      <c r="T169" s="156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:4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56"/>
      <c r="O170" s="156"/>
      <c r="P170" s="156"/>
      <c r="Q170" s="156"/>
      <c r="R170" s="156"/>
      <c r="S170" s="156"/>
      <c r="T170" s="156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:4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56"/>
      <c r="O171" s="156"/>
      <c r="P171" s="156"/>
      <c r="Q171" s="156"/>
      <c r="R171" s="156"/>
      <c r="S171" s="156"/>
      <c r="T171" s="156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:4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56"/>
      <c r="O172" s="156"/>
      <c r="P172" s="156"/>
      <c r="Q172" s="156"/>
      <c r="R172" s="156"/>
      <c r="S172" s="156"/>
      <c r="T172" s="156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:4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56"/>
      <c r="O173" s="156"/>
      <c r="P173" s="156"/>
      <c r="Q173" s="156"/>
      <c r="R173" s="156"/>
      <c r="S173" s="156"/>
      <c r="T173" s="156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:4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56"/>
      <c r="O174" s="156"/>
      <c r="P174" s="156"/>
      <c r="Q174" s="156"/>
      <c r="R174" s="156"/>
      <c r="S174" s="156"/>
      <c r="T174" s="156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:4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56"/>
      <c r="O175" s="156"/>
      <c r="P175" s="156"/>
      <c r="Q175" s="156"/>
      <c r="R175" s="156"/>
      <c r="S175" s="156"/>
      <c r="T175" s="156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:4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56"/>
      <c r="O176" s="156"/>
      <c r="P176" s="156"/>
      <c r="Q176" s="156"/>
      <c r="R176" s="156"/>
      <c r="S176" s="156"/>
      <c r="T176" s="156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:4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56"/>
      <c r="O177" s="156"/>
      <c r="P177" s="156"/>
      <c r="Q177" s="156"/>
      <c r="R177" s="156"/>
      <c r="S177" s="156"/>
      <c r="T177" s="156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:4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56"/>
      <c r="O178" s="156"/>
      <c r="P178" s="156"/>
      <c r="Q178" s="156"/>
      <c r="R178" s="156"/>
      <c r="S178" s="156"/>
      <c r="T178" s="156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:4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56"/>
      <c r="O179" s="156"/>
      <c r="P179" s="156"/>
      <c r="Q179" s="156"/>
      <c r="R179" s="156"/>
      <c r="S179" s="156"/>
      <c r="T179" s="156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:4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56"/>
      <c r="O180" s="156"/>
      <c r="P180" s="156"/>
      <c r="Q180" s="156"/>
      <c r="R180" s="156"/>
      <c r="S180" s="156"/>
      <c r="T180" s="156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:4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56"/>
      <c r="O181" s="156"/>
      <c r="P181" s="156"/>
      <c r="Q181" s="156"/>
      <c r="R181" s="156"/>
      <c r="S181" s="156"/>
      <c r="T181" s="156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:4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56"/>
      <c r="O182" s="156"/>
      <c r="P182" s="156"/>
      <c r="Q182" s="156"/>
      <c r="R182" s="156"/>
      <c r="S182" s="156"/>
      <c r="T182" s="156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:4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56"/>
      <c r="O183" s="156"/>
      <c r="P183" s="156"/>
      <c r="Q183" s="156"/>
      <c r="R183" s="156"/>
      <c r="S183" s="156"/>
      <c r="T183" s="156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:4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56"/>
      <c r="O184" s="156"/>
      <c r="P184" s="156"/>
      <c r="Q184" s="156"/>
      <c r="R184" s="156"/>
      <c r="S184" s="156"/>
      <c r="T184" s="156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:4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56"/>
      <c r="O185" s="156"/>
      <c r="P185" s="156"/>
      <c r="Q185" s="156"/>
      <c r="R185" s="156"/>
      <c r="S185" s="156"/>
      <c r="T185" s="156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:4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56"/>
      <c r="O186" s="156"/>
      <c r="P186" s="156"/>
      <c r="Q186" s="156"/>
      <c r="R186" s="156"/>
      <c r="S186" s="156"/>
      <c r="T186" s="156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:4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56"/>
      <c r="O187" s="156"/>
      <c r="P187" s="156"/>
      <c r="Q187" s="156"/>
      <c r="R187" s="156"/>
      <c r="S187" s="156"/>
      <c r="T187" s="156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:4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56"/>
      <c r="O188" s="156"/>
      <c r="P188" s="156"/>
      <c r="Q188" s="156"/>
      <c r="R188" s="156"/>
      <c r="S188" s="156"/>
      <c r="T188" s="156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:4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56"/>
      <c r="O189" s="156"/>
      <c r="P189" s="156"/>
      <c r="Q189" s="156"/>
      <c r="R189" s="156"/>
      <c r="S189" s="156"/>
      <c r="T189" s="156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:4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56"/>
      <c r="O190" s="156"/>
      <c r="P190" s="156"/>
      <c r="Q190" s="156"/>
      <c r="R190" s="156"/>
      <c r="S190" s="156"/>
      <c r="T190" s="156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:4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56"/>
      <c r="O191" s="156"/>
      <c r="P191" s="156"/>
      <c r="Q191" s="156"/>
      <c r="R191" s="156"/>
      <c r="S191" s="156"/>
      <c r="T191" s="156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:4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56"/>
      <c r="O192" s="156"/>
      <c r="P192" s="156"/>
      <c r="Q192" s="156"/>
      <c r="R192" s="156"/>
      <c r="S192" s="156"/>
      <c r="T192" s="156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:4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56"/>
      <c r="O193" s="156"/>
      <c r="P193" s="156"/>
      <c r="Q193" s="156"/>
      <c r="R193" s="156"/>
      <c r="S193" s="156"/>
      <c r="T193" s="156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:4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56"/>
      <c r="O194" s="156"/>
      <c r="P194" s="156"/>
      <c r="Q194" s="156"/>
      <c r="R194" s="156"/>
      <c r="S194" s="156"/>
      <c r="T194" s="156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:4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56"/>
      <c r="O195" s="156"/>
      <c r="P195" s="156"/>
      <c r="Q195" s="156"/>
      <c r="R195" s="156"/>
      <c r="S195" s="156"/>
      <c r="T195" s="156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:4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56"/>
      <c r="O196" s="156"/>
      <c r="P196" s="156"/>
      <c r="Q196" s="156"/>
      <c r="R196" s="156"/>
      <c r="S196" s="156"/>
      <c r="T196" s="156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:4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56"/>
      <c r="O197" s="156"/>
      <c r="P197" s="156"/>
      <c r="Q197" s="156"/>
      <c r="R197" s="156"/>
      <c r="S197" s="156"/>
      <c r="T197" s="156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:4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56"/>
      <c r="O198" s="156"/>
      <c r="P198" s="156"/>
      <c r="Q198" s="156"/>
      <c r="R198" s="156"/>
      <c r="S198" s="156"/>
      <c r="T198" s="156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:4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56"/>
      <c r="O199" s="156"/>
      <c r="P199" s="156"/>
      <c r="Q199" s="156"/>
      <c r="R199" s="156"/>
      <c r="S199" s="156"/>
      <c r="T199" s="156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:4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56"/>
      <c r="O200" s="156"/>
      <c r="P200" s="156"/>
      <c r="Q200" s="156"/>
      <c r="R200" s="156"/>
      <c r="S200" s="156"/>
      <c r="T200" s="156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:4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56"/>
      <c r="O201" s="156"/>
      <c r="P201" s="156"/>
      <c r="Q201" s="156"/>
      <c r="R201" s="156"/>
      <c r="S201" s="156"/>
      <c r="T201" s="156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:4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56"/>
      <c r="O202" s="156"/>
      <c r="P202" s="156"/>
      <c r="Q202" s="156"/>
      <c r="R202" s="156"/>
      <c r="S202" s="156"/>
      <c r="T202" s="156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:4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56"/>
      <c r="O203" s="156"/>
      <c r="P203" s="156"/>
      <c r="Q203" s="156"/>
      <c r="R203" s="156"/>
      <c r="S203" s="156"/>
      <c r="T203" s="156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:4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56"/>
      <c r="O204" s="156"/>
      <c r="P204" s="156"/>
      <c r="Q204" s="156"/>
      <c r="R204" s="156"/>
      <c r="S204" s="156"/>
      <c r="T204" s="156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:4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56"/>
      <c r="O205" s="156"/>
      <c r="P205" s="156"/>
      <c r="Q205" s="156"/>
      <c r="R205" s="156"/>
      <c r="S205" s="156"/>
      <c r="T205" s="156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:4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56"/>
      <c r="O206" s="156"/>
      <c r="P206" s="156"/>
      <c r="Q206" s="156"/>
      <c r="R206" s="156"/>
      <c r="S206" s="156"/>
      <c r="T206" s="156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:4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56"/>
      <c r="O207" s="156"/>
      <c r="P207" s="156"/>
      <c r="Q207" s="156"/>
      <c r="R207" s="156"/>
      <c r="S207" s="156"/>
      <c r="T207" s="156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:4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56"/>
      <c r="O208" s="156"/>
      <c r="P208" s="156"/>
      <c r="Q208" s="156"/>
      <c r="R208" s="156"/>
      <c r="S208" s="156"/>
      <c r="T208" s="156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:4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56"/>
      <c r="O209" s="156"/>
      <c r="P209" s="156"/>
      <c r="Q209" s="156"/>
      <c r="R209" s="156"/>
      <c r="S209" s="156"/>
      <c r="T209" s="156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:4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56"/>
      <c r="O210" s="156"/>
      <c r="P210" s="156"/>
      <c r="Q210" s="156"/>
      <c r="R210" s="156"/>
      <c r="S210" s="156"/>
      <c r="T210" s="156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:4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56"/>
      <c r="O211" s="156"/>
      <c r="P211" s="156"/>
      <c r="Q211" s="156"/>
      <c r="R211" s="156"/>
      <c r="S211" s="156"/>
      <c r="T211" s="156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:4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56"/>
      <c r="O212" s="156"/>
      <c r="P212" s="156"/>
      <c r="Q212" s="156"/>
      <c r="R212" s="156"/>
      <c r="S212" s="156"/>
      <c r="T212" s="156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:4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56"/>
      <c r="O213" s="156"/>
      <c r="P213" s="156"/>
      <c r="Q213" s="156"/>
      <c r="R213" s="156"/>
      <c r="S213" s="156"/>
      <c r="T213" s="156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:4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56"/>
      <c r="O214" s="156"/>
      <c r="P214" s="156"/>
      <c r="Q214" s="156"/>
      <c r="R214" s="156"/>
      <c r="S214" s="156"/>
      <c r="T214" s="156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:4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56"/>
      <c r="O215" s="156"/>
      <c r="P215" s="156"/>
      <c r="Q215" s="156"/>
      <c r="R215" s="156"/>
      <c r="S215" s="156"/>
      <c r="T215" s="156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:4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56"/>
      <c r="O216" s="156"/>
      <c r="P216" s="156"/>
      <c r="Q216" s="156"/>
      <c r="R216" s="156"/>
      <c r="S216" s="156"/>
      <c r="T216" s="156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:4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56"/>
      <c r="O217" s="156"/>
      <c r="P217" s="156"/>
      <c r="Q217" s="156"/>
      <c r="R217" s="156"/>
      <c r="S217" s="156"/>
      <c r="T217" s="156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:4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56"/>
      <c r="O218" s="156"/>
      <c r="P218" s="156"/>
      <c r="Q218" s="156"/>
      <c r="R218" s="156"/>
      <c r="S218" s="156"/>
      <c r="T218" s="156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:4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56"/>
      <c r="O219" s="156"/>
      <c r="P219" s="156"/>
      <c r="Q219" s="156"/>
      <c r="R219" s="156"/>
      <c r="S219" s="156"/>
      <c r="T219" s="156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:4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56"/>
      <c r="O220" s="156"/>
      <c r="P220" s="156"/>
      <c r="Q220" s="156"/>
      <c r="R220" s="156"/>
      <c r="S220" s="156"/>
      <c r="T220" s="156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:4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56"/>
      <c r="O221" s="156"/>
      <c r="P221" s="156"/>
      <c r="Q221" s="156"/>
      <c r="R221" s="156"/>
      <c r="S221" s="156"/>
      <c r="T221" s="156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:4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56"/>
      <c r="O222" s="156"/>
      <c r="P222" s="156"/>
      <c r="Q222" s="156"/>
      <c r="R222" s="156"/>
      <c r="S222" s="156"/>
      <c r="T222" s="156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:4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56"/>
      <c r="O223" s="156"/>
      <c r="P223" s="156"/>
      <c r="Q223" s="156"/>
      <c r="R223" s="156"/>
      <c r="S223" s="156"/>
      <c r="T223" s="156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:4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56"/>
      <c r="O224" s="156"/>
      <c r="P224" s="156"/>
      <c r="Q224" s="156"/>
      <c r="R224" s="156"/>
      <c r="S224" s="156"/>
      <c r="T224" s="156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:4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56"/>
      <c r="O225" s="156"/>
      <c r="P225" s="156"/>
      <c r="Q225" s="156"/>
      <c r="R225" s="156"/>
      <c r="S225" s="156"/>
      <c r="T225" s="156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:4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56"/>
      <c r="O226" s="156"/>
      <c r="P226" s="156"/>
      <c r="Q226" s="156"/>
      <c r="R226" s="156"/>
      <c r="S226" s="156"/>
      <c r="T226" s="156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:4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56"/>
      <c r="O227" s="156"/>
      <c r="P227" s="156"/>
      <c r="Q227" s="156"/>
      <c r="R227" s="156"/>
      <c r="S227" s="156"/>
      <c r="T227" s="156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:4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56"/>
      <c r="O228" s="156"/>
      <c r="P228" s="156"/>
      <c r="Q228" s="156"/>
      <c r="R228" s="156"/>
      <c r="S228" s="156"/>
      <c r="T228" s="156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:4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56"/>
      <c r="O229" s="156"/>
      <c r="P229" s="156"/>
      <c r="Q229" s="156"/>
      <c r="R229" s="156"/>
      <c r="S229" s="156"/>
      <c r="T229" s="156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:4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56"/>
      <c r="O230" s="156"/>
      <c r="P230" s="156"/>
      <c r="Q230" s="156"/>
      <c r="R230" s="156"/>
      <c r="S230" s="156"/>
      <c r="T230" s="156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:4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56"/>
      <c r="O231" s="156"/>
      <c r="P231" s="156"/>
      <c r="Q231" s="156"/>
      <c r="R231" s="156"/>
      <c r="S231" s="156"/>
      <c r="T231" s="156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:4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56"/>
      <c r="O232" s="156"/>
      <c r="P232" s="156"/>
      <c r="Q232" s="156"/>
      <c r="R232" s="156"/>
      <c r="S232" s="156"/>
      <c r="T232" s="156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:4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56"/>
      <c r="O233" s="156"/>
      <c r="P233" s="156"/>
      <c r="Q233" s="156"/>
      <c r="R233" s="156"/>
      <c r="S233" s="156"/>
      <c r="T233" s="156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:4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56"/>
      <c r="O234" s="156"/>
      <c r="P234" s="156"/>
      <c r="Q234" s="156"/>
      <c r="R234" s="156"/>
      <c r="S234" s="156"/>
      <c r="T234" s="156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:4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56"/>
      <c r="O235" s="156"/>
      <c r="P235" s="156"/>
      <c r="Q235" s="156"/>
      <c r="R235" s="156"/>
      <c r="S235" s="156"/>
      <c r="T235" s="156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:4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56"/>
      <c r="O236" s="156"/>
      <c r="P236" s="156"/>
      <c r="Q236" s="156"/>
      <c r="R236" s="156"/>
      <c r="S236" s="156"/>
      <c r="T236" s="156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:4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56"/>
      <c r="O237" s="156"/>
      <c r="P237" s="156"/>
      <c r="Q237" s="156"/>
      <c r="R237" s="156"/>
      <c r="S237" s="156"/>
      <c r="T237" s="156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:4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56"/>
      <c r="O238" s="156"/>
      <c r="P238" s="156"/>
      <c r="Q238" s="156"/>
      <c r="R238" s="156"/>
      <c r="S238" s="156"/>
      <c r="T238" s="156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:4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56"/>
      <c r="O239" s="156"/>
      <c r="P239" s="156"/>
      <c r="Q239" s="156"/>
      <c r="R239" s="156"/>
      <c r="S239" s="156"/>
      <c r="T239" s="156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:4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56"/>
      <c r="O240" s="156"/>
      <c r="P240" s="156"/>
      <c r="Q240" s="156"/>
      <c r="R240" s="156"/>
      <c r="S240" s="156"/>
      <c r="T240" s="156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:4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56"/>
      <c r="O241" s="156"/>
      <c r="P241" s="156"/>
      <c r="Q241" s="156"/>
      <c r="R241" s="156"/>
      <c r="S241" s="156"/>
      <c r="T241" s="156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:4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56"/>
      <c r="O242" s="156"/>
      <c r="P242" s="156"/>
      <c r="Q242" s="156"/>
      <c r="R242" s="156"/>
      <c r="S242" s="156"/>
      <c r="T242" s="156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:4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56"/>
      <c r="O243" s="156"/>
      <c r="P243" s="156"/>
      <c r="Q243" s="156"/>
      <c r="R243" s="156"/>
      <c r="S243" s="156"/>
      <c r="T243" s="156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:4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56"/>
      <c r="O244" s="156"/>
      <c r="P244" s="156"/>
      <c r="Q244" s="156"/>
      <c r="R244" s="156"/>
      <c r="S244" s="156"/>
      <c r="T244" s="156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: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56"/>
      <c r="O245" s="156"/>
      <c r="P245" s="156"/>
      <c r="Q245" s="156"/>
      <c r="R245" s="156"/>
      <c r="S245" s="156"/>
      <c r="T245" s="156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:4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56"/>
      <c r="O246" s="156"/>
      <c r="P246" s="156"/>
      <c r="Q246" s="156"/>
      <c r="R246" s="156"/>
      <c r="S246" s="156"/>
      <c r="T246" s="156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:4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56"/>
      <c r="O247" s="156"/>
      <c r="P247" s="156"/>
      <c r="Q247" s="156"/>
      <c r="R247" s="156"/>
      <c r="S247" s="156"/>
      <c r="T247" s="156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:4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56"/>
      <c r="O248" s="156"/>
      <c r="P248" s="156"/>
      <c r="Q248" s="156"/>
      <c r="R248" s="156"/>
      <c r="S248" s="156"/>
      <c r="T248" s="156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:4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56"/>
      <c r="O249" s="156"/>
      <c r="P249" s="156"/>
      <c r="Q249" s="156"/>
      <c r="R249" s="156"/>
      <c r="S249" s="156"/>
      <c r="T249" s="156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:4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56"/>
      <c r="O250" s="156"/>
      <c r="P250" s="156"/>
      <c r="Q250" s="156"/>
      <c r="R250" s="156"/>
      <c r="S250" s="156"/>
      <c r="T250" s="156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:4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56"/>
      <c r="O251" s="156"/>
      <c r="P251" s="156"/>
      <c r="Q251" s="156"/>
      <c r="R251" s="156"/>
      <c r="S251" s="156"/>
      <c r="T251" s="156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:4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56"/>
      <c r="O252" s="156"/>
      <c r="P252" s="156"/>
      <c r="Q252" s="156"/>
      <c r="R252" s="156"/>
      <c r="S252" s="156"/>
      <c r="T252" s="156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:4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56"/>
      <c r="O253" s="156"/>
      <c r="P253" s="156"/>
      <c r="Q253" s="156"/>
      <c r="R253" s="156"/>
      <c r="S253" s="156"/>
      <c r="T253" s="156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:4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56"/>
      <c r="O254" s="156"/>
      <c r="P254" s="156"/>
      <c r="Q254" s="156"/>
      <c r="R254" s="156"/>
      <c r="S254" s="156"/>
      <c r="T254" s="156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:4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56"/>
      <c r="O255" s="156"/>
      <c r="P255" s="156"/>
      <c r="Q255" s="156"/>
      <c r="R255" s="156"/>
      <c r="S255" s="156"/>
      <c r="T255" s="156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:4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56"/>
      <c r="O256" s="156"/>
      <c r="P256" s="156"/>
      <c r="Q256" s="156"/>
      <c r="R256" s="156"/>
      <c r="S256" s="156"/>
      <c r="T256" s="156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:4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56"/>
      <c r="O257" s="156"/>
      <c r="P257" s="156"/>
      <c r="Q257" s="156"/>
      <c r="R257" s="156"/>
      <c r="S257" s="156"/>
      <c r="T257" s="156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:4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56"/>
      <c r="O258" s="156"/>
      <c r="P258" s="156"/>
      <c r="Q258" s="156"/>
      <c r="R258" s="156"/>
      <c r="S258" s="156"/>
      <c r="T258" s="156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:4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56"/>
      <c r="O259" s="156"/>
      <c r="P259" s="156"/>
      <c r="Q259" s="156"/>
      <c r="R259" s="156"/>
      <c r="S259" s="156"/>
      <c r="T259" s="156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:4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56"/>
      <c r="O260" s="156"/>
      <c r="P260" s="156"/>
      <c r="Q260" s="156"/>
      <c r="R260" s="156"/>
      <c r="S260" s="156"/>
      <c r="T260" s="156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:4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56"/>
      <c r="O261" s="156"/>
      <c r="P261" s="156"/>
      <c r="Q261" s="156"/>
      <c r="R261" s="156"/>
      <c r="S261" s="156"/>
      <c r="T261" s="156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:4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56"/>
      <c r="O262" s="156"/>
      <c r="P262" s="156"/>
      <c r="Q262" s="156"/>
      <c r="R262" s="156"/>
      <c r="S262" s="156"/>
      <c r="T262" s="156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:4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56"/>
      <c r="O263" s="156"/>
      <c r="P263" s="156"/>
      <c r="Q263" s="156"/>
      <c r="R263" s="156"/>
      <c r="S263" s="156"/>
      <c r="T263" s="156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:4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56"/>
      <c r="O264" s="156"/>
      <c r="P264" s="156"/>
      <c r="Q264" s="156"/>
      <c r="R264" s="156"/>
      <c r="S264" s="156"/>
      <c r="T264" s="156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:4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56"/>
      <c r="O265" s="156"/>
      <c r="P265" s="156"/>
      <c r="Q265" s="156"/>
      <c r="R265" s="156"/>
      <c r="S265" s="156"/>
      <c r="T265" s="156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:4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56"/>
      <c r="O266" s="156"/>
      <c r="P266" s="156"/>
      <c r="Q266" s="156"/>
      <c r="R266" s="156"/>
      <c r="S266" s="156"/>
      <c r="T266" s="156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:4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56"/>
      <c r="O267" s="156"/>
      <c r="P267" s="156"/>
      <c r="Q267" s="156"/>
      <c r="R267" s="156"/>
      <c r="S267" s="156"/>
      <c r="T267" s="156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:4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56"/>
      <c r="O268" s="156"/>
      <c r="P268" s="156"/>
      <c r="Q268" s="156"/>
      <c r="R268" s="156"/>
      <c r="S268" s="156"/>
      <c r="T268" s="156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:4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56"/>
      <c r="O269" s="156"/>
      <c r="P269" s="156"/>
      <c r="Q269" s="156"/>
      <c r="R269" s="156"/>
      <c r="S269" s="156"/>
      <c r="T269" s="156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:4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56"/>
      <c r="O270" s="156"/>
      <c r="P270" s="156"/>
      <c r="Q270" s="156"/>
      <c r="R270" s="156"/>
      <c r="S270" s="156"/>
      <c r="T270" s="156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:4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56"/>
      <c r="O271" s="156"/>
      <c r="P271" s="156"/>
      <c r="Q271" s="156"/>
      <c r="R271" s="156"/>
      <c r="S271" s="156"/>
      <c r="T271" s="156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:4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56"/>
      <c r="O272" s="156"/>
      <c r="P272" s="156"/>
      <c r="Q272" s="156"/>
      <c r="R272" s="156"/>
      <c r="S272" s="156"/>
      <c r="T272" s="156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:4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56"/>
      <c r="O273" s="156"/>
      <c r="P273" s="156"/>
      <c r="Q273" s="156"/>
      <c r="R273" s="156"/>
      <c r="S273" s="156"/>
      <c r="T273" s="156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:4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56"/>
      <c r="O274" s="156"/>
      <c r="P274" s="156"/>
      <c r="Q274" s="156"/>
      <c r="R274" s="156"/>
      <c r="S274" s="156"/>
      <c r="T274" s="156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:4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56"/>
      <c r="O275" s="156"/>
      <c r="P275" s="156"/>
      <c r="Q275" s="156"/>
      <c r="R275" s="156"/>
      <c r="S275" s="156"/>
      <c r="T275" s="156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:4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56"/>
      <c r="O276" s="156"/>
      <c r="P276" s="156"/>
      <c r="Q276" s="156"/>
      <c r="R276" s="156"/>
      <c r="S276" s="156"/>
      <c r="T276" s="156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:4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56"/>
      <c r="O277" s="156"/>
      <c r="P277" s="156"/>
      <c r="Q277" s="156"/>
      <c r="R277" s="156"/>
      <c r="S277" s="156"/>
      <c r="T277" s="156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:4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56"/>
      <c r="O278" s="156"/>
      <c r="P278" s="156"/>
      <c r="Q278" s="156"/>
      <c r="R278" s="156"/>
      <c r="S278" s="156"/>
      <c r="T278" s="156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:4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56"/>
      <c r="O279" s="156"/>
      <c r="P279" s="156"/>
      <c r="Q279" s="156"/>
      <c r="R279" s="156"/>
      <c r="S279" s="156"/>
      <c r="T279" s="156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:4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56"/>
      <c r="O280" s="156"/>
      <c r="P280" s="156"/>
      <c r="Q280" s="156"/>
      <c r="R280" s="156"/>
      <c r="S280" s="156"/>
      <c r="T280" s="156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:4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56"/>
      <c r="O281" s="156"/>
      <c r="P281" s="156"/>
      <c r="Q281" s="156"/>
      <c r="R281" s="156"/>
      <c r="S281" s="156"/>
      <c r="T281" s="156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:4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56"/>
      <c r="O282" s="156"/>
      <c r="P282" s="156"/>
      <c r="Q282" s="156"/>
      <c r="R282" s="156"/>
      <c r="S282" s="156"/>
      <c r="T282" s="156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:4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56"/>
      <c r="O283" s="156"/>
      <c r="P283" s="156"/>
      <c r="Q283" s="156"/>
      <c r="R283" s="156"/>
      <c r="S283" s="156"/>
      <c r="T283" s="156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:4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56"/>
      <c r="O284" s="156"/>
      <c r="P284" s="156"/>
      <c r="Q284" s="156"/>
      <c r="R284" s="156"/>
      <c r="S284" s="156"/>
      <c r="T284" s="156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:4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56"/>
      <c r="O285" s="156"/>
      <c r="P285" s="156"/>
      <c r="Q285" s="156"/>
      <c r="R285" s="156"/>
      <c r="S285" s="156"/>
      <c r="T285" s="156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:4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56"/>
      <c r="O286" s="156"/>
      <c r="P286" s="156"/>
      <c r="Q286" s="156"/>
      <c r="R286" s="156"/>
      <c r="S286" s="156"/>
      <c r="T286" s="156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:4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56"/>
      <c r="O287" s="156"/>
      <c r="P287" s="156"/>
      <c r="Q287" s="156"/>
      <c r="R287" s="156"/>
      <c r="S287" s="156"/>
      <c r="T287" s="156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:4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56"/>
      <c r="O288" s="156"/>
      <c r="P288" s="156"/>
      <c r="Q288" s="156"/>
      <c r="R288" s="156"/>
      <c r="S288" s="156"/>
      <c r="T288" s="156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:4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56"/>
      <c r="O289" s="156"/>
      <c r="P289" s="156"/>
      <c r="Q289" s="156"/>
      <c r="R289" s="156"/>
      <c r="S289" s="156"/>
      <c r="T289" s="156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:4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56"/>
      <c r="O290" s="156"/>
      <c r="P290" s="156"/>
      <c r="Q290" s="156"/>
      <c r="R290" s="156"/>
      <c r="S290" s="156"/>
      <c r="T290" s="156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:4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56"/>
      <c r="O291" s="156"/>
      <c r="P291" s="156"/>
      <c r="Q291" s="156"/>
      <c r="R291" s="156"/>
      <c r="S291" s="156"/>
      <c r="T291" s="156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:4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56"/>
      <c r="O292" s="156"/>
      <c r="P292" s="156"/>
      <c r="Q292" s="156"/>
      <c r="R292" s="156"/>
      <c r="S292" s="156"/>
      <c r="T292" s="156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:4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56"/>
      <c r="O293" s="156"/>
      <c r="P293" s="156"/>
      <c r="Q293" s="156"/>
      <c r="R293" s="156"/>
      <c r="S293" s="156"/>
      <c r="T293" s="156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:4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56"/>
      <c r="O294" s="156"/>
      <c r="P294" s="156"/>
      <c r="Q294" s="156"/>
      <c r="R294" s="156"/>
      <c r="S294" s="156"/>
      <c r="T294" s="156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:4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56"/>
      <c r="O295" s="156"/>
      <c r="P295" s="156"/>
      <c r="Q295" s="156"/>
      <c r="R295" s="156"/>
      <c r="S295" s="156"/>
      <c r="T295" s="156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:4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56"/>
      <c r="O296" s="156"/>
      <c r="P296" s="156"/>
      <c r="Q296" s="156"/>
      <c r="R296" s="156"/>
      <c r="S296" s="156"/>
      <c r="T296" s="156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:4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56"/>
      <c r="O297" s="156"/>
      <c r="P297" s="156"/>
      <c r="Q297" s="156"/>
      <c r="R297" s="156"/>
      <c r="S297" s="156"/>
      <c r="T297" s="156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:4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56"/>
      <c r="O298" s="156"/>
      <c r="P298" s="156"/>
      <c r="Q298" s="156"/>
      <c r="R298" s="156"/>
      <c r="S298" s="156"/>
      <c r="T298" s="156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:4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56"/>
      <c r="O299" s="156"/>
      <c r="P299" s="156"/>
      <c r="Q299" s="156"/>
      <c r="R299" s="156"/>
      <c r="S299" s="156"/>
      <c r="T299" s="156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:4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56"/>
      <c r="O300" s="156"/>
      <c r="P300" s="156"/>
      <c r="Q300" s="156"/>
      <c r="R300" s="156"/>
      <c r="S300" s="156"/>
      <c r="T300" s="156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:4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56"/>
      <c r="O301" s="156"/>
      <c r="P301" s="156"/>
      <c r="Q301" s="156"/>
      <c r="R301" s="156"/>
      <c r="S301" s="156"/>
      <c r="T301" s="156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:4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56"/>
      <c r="O302" s="156"/>
      <c r="P302" s="156"/>
      <c r="Q302" s="156"/>
      <c r="R302" s="156"/>
      <c r="S302" s="156"/>
      <c r="T302" s="156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:4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56"/>
      <c r="O303" s="156"/>
      <c r="P303" s="156"/>
      <c r="Q303" s="156"/>
      <c r="R303" s="156"/>
      <c r="S303" s="156"/>
      <c r="T303" s="156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:4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56"/>
      <c r="O304" s="156"/>
      <c r="P304" s="156"/>
      <c r="Q304" s="156"/>
      <c r="R304" s="156"/>
      <c r="S304" s="156"/>
      <c r="T304" s="156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:4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56"/>
      <c r="O305" s="156"/>
      <c r="P305" s="156"/>
      <c r="Q305" s="156"/>
      <c r="R305" s="156"/>
      <c r="S305" s="156"/>
      <c r="T305" s="156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:4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56"/>
      <c r="O306" s="156"/>
      <c r="P306" s="156"/>
      <c r="Q306" s="156"/>
      <c r="R306" s="156"/>
      <c r="S306" s="156"/>
      <c r="T306" s="156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:4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56"/>
      <c r="O307" s="156"/>
      <c r="P307" s="156"/>
      <c r="Q307" s="156"/>
      <c r="R307" s="156"/>
      <c r="S307" s="156"/>
      <c r="T307" s="156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:4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56"/>
      <c r="O308" s="156"/>
      <c r="P308" s="156"/>
      <c r="Q308" s="156"/>
      <c r="R308" s="156"/>
      <c r="S308" s="156"/>
      <c r="T308" s="156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:4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56"/>
      <c r="O309" s="156"/>
      <c r="P309" s="156"/>
      <c r="Q309" s="156"/>
      <c r="R309" s="156"/>
      <c r="S309" s="156"/>
      <c r="T309" s="156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:4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56"/>
      <c r="O310" s="156"/>
      <c r="P310" s="156"/>
      <c r="Q310" s="156"/>
      <c r="R310" s="156"/>
      <c r="S310" s="156"/>
      <c r="T310" s="156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:4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56"/>
      <c r="O311" s="156"/>
      <c r="P311" s="156"/>
      <c r="Q311" s="156"/>
      <c r="R311" s="156"/>
      <c r="S311" s="156"/>
      <c r="T311" s="156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:4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56"/>
      <c r="O312" s="156"/>
      <c r="P312" s="156"/>
      <c r="Q312" s="156"/>
      <c r="R312" s="156"/>
      <c r="S312" s="156"/>
      <c r="T312" s="156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:4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56"/>
      <c r="O313" s="156"/>
      <c r="P313" s="156"/>
      <c r="Q313" s="156"/>
      <c r="R313" s="156"/>
      <c r="S313" s="156"/>
      <c r="T313" s="156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:4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56"/>
      <c r="O314" s="156"/>
      <c r="P314" s="156"/>
      <c r="Q314" s="156"/>
      <c r="R314" s="156"/>
      <c r="S314" s="156"/>
      <c r="T314" s="156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:4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56"/>
      <c r="O315" s="156"/>
      <c r="P315" s="156"/>
      <c r="Q315" s="156"/>
      <c r="R315" s="156"/>
      <c r="S315" s="156"/>
      <c r="T315" s="156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:4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56"/>
      <c r="O316" s="156"/>
      <c r="P316" s="156"/>
      <c r="Q316" s="156"/>
      <c r="R316" s="156"/>
      <c r="S316" s="156"/>
      <c r="T316" s="156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:4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56"/>
      <c r="O317" s="156"/>
      <c r="P317" s="156"/>
      <c r="Q317" s="156"/>
      <c r="R317" s="156"/>
      <c r="S317" s="156"/>
      <c r="T317" s="156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:4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56"/>
      <c r="O318" s="156"/>
      <c r="P318" s="156"/>
      <c r="Q318" s="156"/>
      <c r="R318" s="156"/>
      <c r="S318" s="156"/>
      <c r="T318" s="156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:4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56"/>
      <c r="O319" s="156"/>
      <c r="P319" s="156"/>
      <c r="Q319" s="156"/>
      <c r="R319" s="156"/>
      <c r="S319" s="156"/>
      <c r="T319" s="156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:4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56"/>
      <c r="O320" s="156"/>
      <c r="P320" s="156"/>
      <c r="Q320" s="156"/>
      <c r="R320" s="156"/>
      <c r="S320" s="156"/>
      <c r="T320" s="156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:4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56"/>
      <c r="O321" s="156"/>
      <c r="P321" s="156"/>
      <c r="Q321" s="156"/>
      <c r="R321" s="156"/>
      <c r="S321" s="156"/>
      <c r="T321" s="156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:4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56"/>
      <c r="O322" s="156"/>
      <c r="P322" s="156"/>
      <c r="Q322" s="156"/>
      <c r="R322" s="156"/>
      <c r="S322" s="156"/>
      <c r="T322" s="156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:4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56"/>
      <c r="O323" s="156"/>
      <c r="P323" s="156"/>
      <c r="Q323" s="156"/>
      <c r="R323" s="156"/>
      <c r="S323" s="156"/>
      <c r="T323" s="156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:4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56"/>
      <c r="O324" s="156"/>
      <c r="P324" s="156"/>
      <c r="Q324" s="156"/>
      <c r="R324" s="156"/>
      <c r="S324" s="156"/>
      <c r="T324" s="156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:4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56"/>
      <c r="O325" s="156"/>
      <c r="P325" s="156"/>
      <c r="Q325" s="156"/>
      <c r="R325" s="156"/>
      <c r="S325" s="156"/>
      <c r="T325" s="156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:4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56"/>
      <c r="O326" s="156"/>
      <c r="P326" s="156"/>
      <c r="Q326" s="156"/>
      <c r="R326" s="156"/>
      <c r="S326" s="156"/>
      <c r="T326" s="156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:4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56"/>
      <c r="O327" s="156"/>
      <c r="P327" s="156"/>
      <c r="Q327" s="156"/>
      <c r="R327" s="156"/>
      <c r="S327" s="156"/>
      <c r="T327" s="156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:4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56"/>
      <c r="O328" s="156"/>
      <c r="P328" s="156"/>
      <c r="Q328" s="156"/>
      <c r="R328" s="156"/>
      <c r="S328" s="156"/>
      <c r="T328" s="156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:4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56"/>
      <c r="O329" s="156"/>
      <c r="P329" s="156"/>
      <c r="Q329" s="156"/>
      <c r="R329" s="156"/>
      <c r="S329" s="156"/>
      <c r="T329" s="156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:4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56"/>
      <c r="O330" s="156"/>
      <c r="P330" s="156"/>
      <c r="Q330" s="156"/>
      <c r="R330" s="156"/>
      <c r="S330" s="156"/>
      <c r="T330" s="156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:4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56"/>
      <c r="O331" s="156"/>
      <c r="P331" s="156"/>
      <c r="Q331" s="156"/>
      <c r="R331" s="156"/>
      <c r="S331" s="156"/>
      <c r="T331" s="156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:4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56"/>
      <c r="O332" s="156"/>
      <c r="P332" s="156"/>
      <c r="Q332" s="156"/>
      <c r="R332" s="156"/>
      <c r="S332" s="156"/>
      <c r="T332" s="156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:4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56"/>
      <c r="O333" s="156"/>
      <c r="P333" s="156"/>
      <c r="Q333" s="156"/>
      <c r="R333" s="156"/>
      <c r="S333" s="156"/>
      <c r="T333" s="156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:4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56"/>
      <c r="O334" s="156"/>
      <c r="P334" s="156"/>
      <c r="Q334" s="156"/>
      <c r="R334" s="156"/>
      <c r="S334" s="156"/>
      <c r="T334" s="156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:4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56"/>
      <c r="O335" s="156"/>
      <c r="P335" s="156"/>
      <c r="Q335" s="156"/>
      <c r="R335" s="156"/>
      <c r="S335" s="156"/>
      <c r="T335" s="156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:4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56"/>
      <c r="O336" s="156"/>
      <c r="P336" s="156"/>
      <c r="Q336" s="156"/>
      <c r="R336" s="156"/>
      <c r="S336" s="156"/>
      <c r="T336" s="156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:4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56"/>
      <c r="O337" s="156"/>
      <c r="P337" s="156"/>
      <c r="Q337" s="156"/>
      <c r="R337" s="156"/>
      <c r="S337" s="156"/>
      <c r="T337" s="156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:4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56"/>
      <c r="O338" s="156"/>
      <c r="P338" s="156"/>
      <c r="Q338" s="156"/>
      <c r="R338" s="156"/>
      <c r="S338" s="156"/>
      <c r="T338" s="156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:4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56"/>
      <c r="O339" s="156"/>
      <c r="P339" s="156"/>
      <c r="Q339" s="156"/>
      <c r="R339" s="156"/>
      <c r="S339" s="156"/>
      <c r="T339" s="156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:4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56"/>
      <c r="O340" s="156"/>
      <c r="P340" s="156"/>
      <c r="Q340" s="156"/>
      <c r="R340" s="156"/>
      <c r="S340" s="156"/>
      <c r="T340" s="156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:4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56"/>
      <c r="O341" s="156"/>
      <c r="P341" s="156"/>
      <c r="Q341" s="156"/>
      <c r="R341" s="156"/>
      <c r="S341" s="156"/>
      <c r="T341" s="156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:4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56"/>
      <c r="O342" s="156"/>
      <c r="P342" s="156"/>
      <c r="Q342" s="156"/>
      <c r="R342" s="156"/>
      <c r="S342" s="156"/>
      <c r="T342" s="156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:4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56"/>
      <c r="O343" s="156"/>
      <c r="P343" s="156"/>
      <c r="Q343" s="156"/>
      <c r="R343" s="156"/>
      <c r="S343" s="156"/>
      <c r="T343" s="156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:4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56"/>
      <c r="O344" s="156"/>
      <c r="P344" s="156"/>
      <c r="Q344" s="156"/>
      <c r="R344" s="156"/>
      <c r="S344" s="156"/>
      <c r="T344" s="156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: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56"/>
      <c r="O345" s="156"/>
      <c r="P345" s="156"/>
      <c r="Q345" s="156"/>
      <c r="R345" s="156"/>
      <c r="S345" s="156"/>
      <c r="T345" s="156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:4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56"/>
      <c r="O346" s="156"/>
      <c r="P346" s="156"/>
      <c r="Q346" s="156"/>
      <c r="R346" s="156"/>
      <c r="S346" s="156"/>
      <c r="T346" s="156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:4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56"/>
      <c r="O347" s="156"/>
      <c r="P347" s="156"/>
      <c r="Q347" s="156"/>
      <c r="R347" s="156"/>
      <c r="S347" s="156"/>
      <c r="T347" s="156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:4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56"/>
      <c r="O348" s="156"/>
      <c r="P348" s="156"/>
      <c r="Q348" s="156"/>
      <c r="R348" s="156"/>
      <c r="S348" s="156"/>
      <c r="T348" s="156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:4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56"/>
      <c r="O349" s="156"/>
      <c r="P349" s="156"/>
      <c r="Q349" s="156"/>
      <c r="R349" s="156"/>
      <c r="S349" s="156"/>
      <c r="T349" s="156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:4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56"/>
      <c r="O350" s="156"/>
      <c r="P350" s="156"/>
      <c r="Q350" s="156"/>
      <c r="R350" s="156"/>
      <c r="S350" s="156"/>
      <c r="T350" s="156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:4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56"/>
      <c r="O351" s="156"/>
      <c r="P351" s="156"/>
      <c r="Q351" s="156"/>
      <c r="R351" s="156"/>
      <c r="S351" s="156"/>
      <c r="T351" s="156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:4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56"/>
      <c r="O352" s="156"/>
      <c r="P352" s="156"/>
      <c r="Q352" s="156"/>
      <c r="R352" s="156"/>
      <c r="S352" s="156"/>
      <c r="T352" s="156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:4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56"/>
      <c r="O353" s="156"/>
      <c r="P353" s="156"/>
      <c r="Q353" s="156"/>
      <c r="R353" s="156"/>
      <c r="S353" s="156"/>
      <c r="T353" s="156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:4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56"/>
      <c r="O354" s="156"/>
      <c r="P354" s="156"/>
      <c r="Q354" s="156"/>
      <c r="R354" s="156"/>
      <c r="S354" s="156"/>
      <c r="T354" s="156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:4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56"/>
      <c r="O355" s="156"/>
      <c r="P355" s="156"/>
      <c r="Q355" s="156"/>
      <c r="R355" s="156"/>
      <c r="S355" s="156"/>
      <c r="T355" s="156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:4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56"/>
      <c r="O356" s="156"/>
      <c r="P356" s="156"/>
      <c r="Q356" s="156"/>
      <c r="R356" s="156"/>
      <c r="S356" s="156"/>
      <c r="T356" s="156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:4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56"/>
      <c r="O357" s="156"/>
      <c r="P357" s="156"/>
      <c r="Q357" s="156"/>
      <c r="R357" s="156"/>
      <c r="S357" s="156"/>
      <c r="T357" s="156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:4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56"/>
      <c r="O358" s="156"/>
      <c r="P358" s="156"/>
      <c r="Q358" s="156"/>
      <c r="R358" s="156"/>
      <c r="S358" s="156"/>
      <c r="T358" s="156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:4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56"/>
      <c r="O359" s="156"/>
      <c r="P359" s="156"/>
      <c r="Q359" s="156"/>
      <c r="R359" s="156"/>
      <c r="S359" s="156"/>
      <c r="T359" s="156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:4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56"/>
      <c r="O360" s="156"/>
      <c r="P360" s="156"/>
      <c r="Q360" s="156"/>
      <c r="R360" s="156"/>
      <c r="S360" s="156"/>
      <c r="T360" s="156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:4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56"/>
      <c r="O361" s="156"/>
      <c r="P361" s="156"/>
      <c r="Q361" s="156"/>
      <c r="R361" s="156"/>
      <c r="S361" s="156"/>
      <c r="T361" s="156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:4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56"/>
      <c r="O362" s="156"/>
      <c r="P362" s="156"/>
      <c r="Q362" s="156"/>
      <c r="R362" s="156"/>
      <c r="S362" s="156"/>
      <c r="T362" s="156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:4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56"/>
      <c r="O363" s="156"/>
      <c r="P363" s="156"/>
      <c r="Q363" s="156"/>
      <c r="R363" s="156"/>
      <c r="S363" s="156"/>
      <c r="T363" s="156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:4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56"/>
      <c r="O364" s="156"/>
      <c r="P364" s="156"/>
      <c r="Q364" s="156"/>
      <c r="R364" s="156"/>
      <c r="S364" s="156"/>
      <c r="T364" s="156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:4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56"/>
      <c r="O365" s="156"/>
      <c r="P365" s="156"/>
      <c r="Q365" s="156"/>
      <c r="R365" s="156"/>
      <c r="S365" s="156"/>
      <c r="T365" s="156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:4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56"/>
      <c r="O366" s="156"/>
      <c r="P366" s="156"/>
      <c r="Q366" s="156"/>
      <c r="R366" s="156"/>
      <c r="S366" s="156"/>
      <c r="T366" s="156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:4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56"/>
      <c r="O367" s="156"/>
      <c r="P367" s="156"/>
      <c r="Q367" s="156"/>
      <c r="R367" s="156"/>
      <c r="S367" s="156"/>
      <c r="T367" s="156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:4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56"/>
      <c r="O368" s="156"/>
      <c r="P368" s="156"/>
      <c r="Q368" s="156"/>
      <c r="R368" s="156"/>
      <c r="S368" s="156"/>
      <c r="T368" s="156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:4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56"/>
      <c r="O369" s="156"/>
      <c r="P369" s="156"/>
      <c r="Q369" s="156"/>
      <c r="R369" s="156"/>
      <c r="S369" s="156"/>
      <c r="T369" s="156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:4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56"/>
      <c r="O370" s="156"/>
      <c r="P370" s="156"/>
      <c r="Q370" s="156"/>
      <c r="R370" s="156"/>
      <c r="S370" s="156"/>
      <c r="T370" s="156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:4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56"/>
      <c r="O371" s="156"/>
      <c r="P371" s="156"/>
      <c r="Q371" s="156"/>
      <c r="R371" s="156"/>
      <c r="S371" s="156"/>
      <c r="T371" s="156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:4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56"/>
      <c r="O372" s="156"/>
      <c r="P372" s="156"/>
      <c r="Q372" s="156"/>
      <c r="R372" s="156"/>
      <c r="S372" s="156"/>
      <c r="T372" s="156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:4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56"/>
      <c r="O373" s="156"/>
      <c r="P373" s="156"/>
      <c r="Q373" s="156"/>
      <c r="R373" s="156"/>
      <c r="S373" s="156"/>
      <c r="T373" s="156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:4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56"/>
      <c r="O374" s="156"/>
      <c r="P374" s="156"/>
      <c r="Q374" s="156"/>
      <c r="R374" s="156"/>
      <c r="S374" s="156"/>
      <c r="T374" s="156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:4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56"/>
      <c r="O375" s="156"/>
      <c r="P375" s="156"/>
      <c r="Q375" s="156"/>
      <c r="R375" s="156"/>
      <c r="S375" s="156"/>
      <c r="T375" s="156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:4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56"/>
      <c r="O376" s="156"/>
      <c r="P376" s="156"/>
      <c r="Q376" s="156"/>
      <c r="R376" s="156"/>
      <c r="S376" s="156"/>
      <c r="T376" s="156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:4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56"/>
      <c r="O377" s="156"/>
      <c r="P377" s="156"/>
      <c r="Q377" s="156"/>
      <c r="R377" s="156"/>
      <c r="S377" s="156"/>
      <c r="T377" s="156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:4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56"/>
      <c r="O378" s="156"/>
      <c r="P378" s="156"/>
      <c r="Q378" s="156"/>
      <c r="R378" s="156"/>
      <c r="S378" s="156"/>
      <c r="T378" s="156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:4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56"/>
      <c r="O379" s="156"/>
      <c r="P379" s="156"/>
      <c r="Q379" s="156"/>
      <c r="R379" s="156"/>
      <c r="S379" s="156"/>
      <c r="T379" s="156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:4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56"/>
      <c r="O380" s="156"/>
      <c r="P380" s="156"/>
      <c r="Q380" s="156"/>
      <c r="R380" s="156"/>
      <c r="S380" s="156"/>
      <c r="T380" s="156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:4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56"/>
      <c r="O381" s="156"/>
      <c r="P381" s="156"/>
      <c r="Q381" s="156"/>
      <c r="R381" s="156"/>
      <c r="S381" s="156"/>
      <c r="T381" s="156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:4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56"/>
      <c r="O382" s="156"/>
      <c r="P382" s="156"/>
      <c r="Q382" s="156"/>
      <c r="R382" s="156"/>
      <c r="S382" s="156"/>
      <c r="T382" s="156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:4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56"/>
      <c r="O383" s="156"/>
      <c r="P383" s="156"/>
      <c r="Q383" s="156"/>
      <c r="R383" s="156"/>
      <c r="S383" s="156"/>
      <c r="T383" s="156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:4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56"/>
      <c r="O384" s="156"/>
      <c r="P384" s="156"/>
      <c r="Q384" s="156"/>
      <c r="R384" s="156"/>
      <c r="S384" s="156"/>
      <c r="T384" s="156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:4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56"/>
      <c r="O385" s="156"/>
      <c r="P385" s="156"/>
      <c r="Q385" s="156"/>
      <c r="R385" s="156"/>
      <c r="S385" s="156"/>
      <c r="T385" s="156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:4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56"/>
      <c r="O386" s="156"/>
      <c r="P386" s="156"/>
      <c r="Q386" s="156"/>
      <c r="R386" s="156"/>
      <c r="S386" s="156"/>
      <c r="T386" s="156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:4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56"/>
      <c r="O387" s="156"/>
      <c r="P387" s="156"/>
      <c r="Q387" s="156"/>
      <c r="R387" s="156"/>
      <c r="S387" s="156"/>
      <c r="T387" s="156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:4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56"/>
      <c r="O388" s="156"/>
      <c r="P388" s="156"/>
      <c r="Q388" s="156"/>
      <c r="R388" s="156"/>
      <c r="S388" s="156"/>
      <c r="T388" s="156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:4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56"/>
      <c r="O389" s="156"/>
      <c r="P389" s="156"/>
      <c r="Q389" s="156"/>
      <c r="R389" s="156"/>
      <c r="S389" s="156"/>
      <c r="T389" s="156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:4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56"/>
      <c r="O390" s="156"/>
      <c r="P390" s="156"/>
      <c r="Q390" s="156"/>
      <c r="R390" s="156"/>
      <c r="S390" s="156"/>
      <c r="T390" s="156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:4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56"/>
      <c r="O391" s="156"/>
      <c r="P391" s="156"/>
      <c r="Q391" s="156"/>
      <c r="R391" s="156"/>
      <c r="S391" s="156"/>
      <c r="T391" s="156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:4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56"/>
      <c r="O392" s="156"/>
      <c r="P392" s="156"/>
      <c r="Q392" s="156"/>
      <c r="R392" s="156"/>
      <c r="S392" s="156"/>
      <c r="T392" s="156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:4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56"/>
      <c r="O393" s="156"/>
      <c r="P393" s="156"/>
      <c r="Q393" s="156"/>
      <c r="R393" s="156"/>
      <c r="S393" s="156"/>
      <c r="T393" s="156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:4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56"/>
      <c r="O394" s="156"/>
      <c r="P394" s="156"/>
      <c r="Q394" s="156"/>
      <c r="R394" s="156"/>
      <c r="S394" s="156"/>
      <c r="T394" s="156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:4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56"/>
      <c r="O395" s="156"/>
      <c r="P395" s="156"/>
      <c r="Q395" s="156"/>
      <c r="R395" s="156"/>
      <c r="S395" s="156"/>
      <c r="T395" s="156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:4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56"/>
      <c r="O396" s="156"/>
      <c r="P396" s="156"/>
      <c r="Q396" s="156"/>
      <c r="R396" s="156"/>
      <c r="S396" s="156"/>
      <c r="T396" s="156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:4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56"/>
      <c r="O397" s="156"/>
      <c r="P397" s="156"/>
      <c r="Q397" s="156"/>
      <c r="R397" s="156"/>
      <c r="S397" s="156"/>
      <c r="T397" s="156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:4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56"/>
      <c r="O398" s="156"/>
      <c r="P398" s="156"/>
      <c r="Q398" s="156"/>
      <c r="R398" s="156"/>
      <c r="S398" s="156"/>
      <c r="T398" s="156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:4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56"/>
      <c r="O399" s="156"/>
      <c r="P399" s="156"/>
      <c r="Q399" s="156"/>
      <c r="R399" s="156"/>
      <c r="S399" s="156"/>
      <c r="T399" s="156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:4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56"/>
      <c r="O400" s="156"/>
      <c r="P400" s="156"/>
      <c r="Q400" s="156"/>
      <c r="R400" s="156"/>
      <c r="S400" s="156"/>
      <c r="T400" s="156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:4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56"/>
      <c r="O401" s="156"/>
      <c r="P401" s="156"/>
      <c r="Q401" s="156"/>
      <c r="R401" s="156"/>
      <c r="S401" s="156"/>
      <c r="T401" s="156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:4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56"/>
      <c r="O402" s="156"/>
      <c r="P402" s="156"/>
      <c r="Q402" s="156"/>
      <c r="R402" s="156"/>
      <c r="S402" s="156"/>
      <c r="T402" s="156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:4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56"/>
      <c r="O403" s="156"/>
      <c r="P403" s="156"/>
      <c r="Q403" s="156"/>
      <c r="R403" s="156"/>
      <c r="S403" s="156"/>
      <c r="T403" s="156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:4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56"/>
      <c r="O404" s="156"/>
      <c r="P404" s="156"/>
      <c r="Q404" s="156"/>
      <c r="R404" s="156"/>
      <c r="S404" s="156"/>
      <c r="T404" s="156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:4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56"/>
      <c r="O405" s="156"/>
      <c r="P405" s="156"/>
      <c r="Q405" s="156"/>
      <c r="R405" s="156"/>
      <c r="S405" s="156"/>
      <c r="T405" s="156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:4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56"/>
      <c r="O406" s="156"/>
      <c r="P406" s="156"/>
      <c r="Q406" s="156"/>
      <c r="R406" s="156"/>
      <c r="S406" s="156"/>
      <c r="T406" s="156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:4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56"/>
      <c r="O407" s="156"/>
      <c r="P407" s="156"/>
      <c r="Q407" s="156"/>
      <c r="R407" s="156"/>
      <c r="S407" s="156"/>
      <c r="T407" s="156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:4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56"/>
      <c r="O408" s="156"/>
      <c r="P408" s="156"/>
      <c r="Q408" s="156"/>
      <c r="R408" s="156"/>
      <c r="S408" s="156"/>
      <c r="T408" s="156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:4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56"/>
      <c r="O409" s="156"/>
      <c r="P409" s="156"/>
      <c r="Q409" s="156"/>
      <c r="R409" s="156"/>
      <c r="S409" s="156"/>
      <c r="T409" s="156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:4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56"/>
      <c r="O410" s="156"/>
      <c r="P410" s="156"/>
      <c r="Q410" s="156"/>
      <c r="R410" s="156"/>
      <c r="S410" s="156"/>
      <c r="T410" s="156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:4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56"/>
      <c r="O411" s="156"/>
      <c r="P411" s="156"/>
      <c r="Q411" s="156"/>
      <c r="R411" s="156"/>
      <c r="S411" s="156"/>
      <c r="T411" s="156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:4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56"/>
      <c r="O412" s="156"/>
      <c r="P412" s="156"/>
      <c r="Q412" s="156"/>
      <c r="R412" s="156"/>
      <c r="S412" s="156"/>
      <c r="T412" s="156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:4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56"/>
      <c r="O413" s="156"/>
      <c r="P413" s="156"/>
      <c r="Q413" s="156"/>
      <c r="R413" s="156"/>
      <c r="S413" s="156"/>
      <c r="T413" s="156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:4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56"/>
      <c r="O414" s="156"/>
      <c r="P414" s="156"/>
      <c r="Q414" s="156"/>
      <c r="R414" s="156"/>
      <c r="S414" s="156"/>
      <c r="T414" s="156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:4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56"/>
      <c r="O415" s="156"/>
      <c r="P415" s="156"/>
      <c r="Q415" s="156"/>
      <c r="R415" s="156"/>
      <c r="S415" s="156"/>
      <c r="T415" s="156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:4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56"/>
      <c r="O416" s="156"/>
      <c r="P416" s="156"/>
      <c r="Q416" s="156"/>
      <c r="R416" s="156"/>
      <c r="S416" s="156"/>
      <c r="T416" s="156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:4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56"/>
      <c r="O417" s="156"/>
      <c r="P417" s="156"/>
      <c r="Q417" s="156"/>
      <c r="R417" s="156"/>
      <c r="S417" s="156"/>
      <c r="T417" s="156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:4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56"/>
      <c r="O418" s="156"/>
      <c r="P418" s="156"/>
      <c r="Q418" s="156"/>
      <c r="R418" s="156"/>
      <c r="S418" s="156"/>
      <c r="T418" s="156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:4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56"/>
      <c r="O419" s="156"/>
      <c r="P419" s="156"/>
      <c r="Q419" s="156"/>
      <c r="R419" s="156"/>
      <c r="S419" s="156"/>
      <c r="T419" s="156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:4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56"/>
      <c r="O420" s="156"/>
      <c r="P420" s="156"/>
      <c r="Q420" s="156"/>
      <c r="R420" s="156"/>
      <c r="S420" s="156"/>
      <c r="T420" s="156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:4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56"/>
      <c r="O421" s="156"/>
      <c r="P421" s="156"/>
      <c r="Q421" s="156"/>
      <c r="R421" s="156"/>
      <c r="S421" s="156"/>
      <c r="T421" s="156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:4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56"/>
      <c r="O422" s="156"/>
      <c r="P422" s="156"/>
      <c r="Q422" s="156"/>
      <c r="R422" s="156"/>
      <c r="S422" s="156"/>
      <c r="T422" s="156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:4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56"/>
      <c r="O423" s="156"/>
      <c r="P423" s="156"/>
      <c r="Q423" s="156"/>
      <c r="R423" s="156"/>
      <c r="S423" s="156"/>
      <c r="T423" s="156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:4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56"/>
      <c r="O424" s="156"/>
      <c r="P424" s="156"/>
      <c r="Q424" s="156"/>
      <c r="R424" s="156"/>
      <c r="S424" s="156"/>
      <c r="T424" s="156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:4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56"/>
      <c r="O425" s="156"/>
      <c r="P425" s="156"/>
      <c r="Q425" s="156"/>
      <c r="R425" s="156"/>
      <c r="S425" s="156"/>
      <c r="T425" s="156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:4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56"/>
      <c r="O426" s="156"/>
      <c r="P426" s="156"/>
      <c r="Q426" s="156"/>
      <c r="R426" s="156"/>
      <c r="S426" s="156"/>
      <c r="T426" s="156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:4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56"/>
      <c r="O427" s="156"/>
      <c r="P427" s="156"/>
      <c r="Q427" s="156"/>
      <c r="R427" s="156"/>
      <c r="S427" s="156"/>
      <c r="T427" s="156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:4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56"/>
      <c r="O428" s="156"/>
      <c r="P428" s="156"/>
      <c r="Q428" s="156"/>
      <c r="R428" s="156"/>
      <c r="S428" s="156"/>
      <c r="T428" s="156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:4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56"/>
      <c r="O429" s="156"/>
      <c r="P429" s="156"/>
      <c r="Q429" s="156"/>
      <c r="R429" s="156"/>
      <c r="S429" s="156"/>
      <c r="T429" s="156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:4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56"/>
      <c r="O430" s="156"/>
      <c r="P430" s="156"/>
      <c r="Q430" s="156"/>
      <c r="R430" s="156"/>
      <c r="S430" s="156"/>
      <c r="T430" s="156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:4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56"/>
      <c r="O431" s="156"/>
      <c r="P431" s="156"/>
      <c r="Q431" s="156"/>
      <c r="R431" s="156"/>
      <c r="S431" s="156"/>
      <c r="T431" s="156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:4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56"/>
      <c r="O432" s="156"/>
      <c r="P432" s="156"/>
      <c r="Q432" s="156"/>
      <c r="R432" s="156"/>
      <c r="S432" s="156"/>
      <c r="T432" s="156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:4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56"/>
      <c r="O433" s="156"/>
      <c r="P433" s="156"/>
      <c r="Q433" s="156"/>
      <c r="R433" s="156"/>
      <c r="S433" s="156"/>
      <c r="T433" s="156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:4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56"/>
      <c r="O434" s="156"/>
      <c r="P434" s="156"/>
      <c r="Q434" s="156"/>
      <c r="R434" s="156"/>
      <c r="S434" s="156"/>
      <c r="T434" s="156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:4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56"/>
      <c r="O435" s="156"/>
      <c r="P435" s="156"/>
      <c r="Q435" s="156"/>
      <c r="R435" s="156"/>
      <c r="S435" s="156"/>
      <c r="T435" s="156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:4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56"/>
      <c r="O436" s="156"/>
      <c r="P436" s="156"/>
      <c r="Q436" s="156"/>
      <c r="R436" s="156"/>
      <c r="S436" s="156"/>
      <c r="T436" s="156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:4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56"/>
      <c r="O437" s="156"/>
      <c r="P437" s="156"/>
      <c r="Q437" s="156"/>
      <c r="R437" s="156"/>
      <c r="S437" s="156"/>
      <c r="T437" s="156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:4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56"/>
      <c r="O438" s="156"/>
      <c r="P438" s="156"/>
      <c r="Q438" s="156"/>
      <c r="R438" s="156"/>
      <c r="S438" s="156"/>
      <c r="T438" s="156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:4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56"/>
      <c r="O439" s="156"/>
      <c r="P439" s="156"/>
      <c r="Q439" s="156"/>
      <c r="R439" s="156"/>
      <c r="S439" s="156"/>
      <c r="T439" s="156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:4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56"/>
      <c r="O440" s="156"/>
      <c r="P440" s="156"/>
      <c r="Q440" s="156"/>
      <c r="R440" s="156"/>
      <c r="S440" s="156"/>
      <c r="T440" s="156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:4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56"/>
      <c r="O441" s="156"/>
      <c r="P441" s="156"/>
      <c r="Q441" s="156"/>
      <c r="R441" s="156"/>
      <c r="S441" s="156"/>
      <c r="T441" s="156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:4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56"/>
      <c r="O442" s="156"/>
      <c r="P442" s="156"/>
      <c r="Q442" s="156"/>
      <c r="R442" s="156"/>
      <c r="S442" s="156"/>
      <c r="T442" s="156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:4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56"/>
      <c r="O443" s="156"/>
      <c r="P443" s="156"/>
      <c r="Q443" s="156"/>
      <c r="R443" s="156"/>
      <c r="S443" s="156"/>
      <c r="T443" s="156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:4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56"/>
      <c r="O444" s="156"/>
      <c r="P444" s="156"/>
      <c r="Q444" s="156"/>
      <c r="R444" s="156"/>
      <c r="S444" s="156"/>
      <c r="T444" s="156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: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56"/>
      <c r="O445" s="156"/>
      <c r="P445" s="156"/>
      <c r="Q445" s="156"/>
      <c r="R445" s="156"/>
      <c r="S445" s="156"/>
      <c r="T445" s="156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:4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56"/>
      <c r="O446" s="156"/>
      <c r="P446" s="156"/>
      <c r="Q446" s="156"/>
      <c r="R446" s="156"/>
      <c r="S446" s="156"/>
      <c r="T446" s="156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:4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56"/>
      <c r="O447" s="156"/>
      <c r="P447" s="156"/>
      <c r="Q447" s="156"/>
      <c r="R447" s="156"/>
      <c r="S447" s="156"/>
      <c r="T447" s="156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:4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56"/>
      <c r="O448" s="156"/>
      <c r="P448" s="156"/>
      <c r="Q448" s="156"/>
      <c r="R448" s="156"/>
      <c r="S448" s="156"/>
      <c r="T448" s="156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:4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56"/>
      <c r="O449" s="156"/>
      <c r="P449" s="156"/>
      <c r="Q449" s="156"/>
      <c r="R449" s="156"/>
      <c r="S449" s="156"/>
      <c r="T449" s="156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:4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56"/>
      <c r="O450" s="156"/>
      <c r="P450" s="156"/>
      <c r="Q450" s="156"/>
      <c r="R450" s="156"/>
      <c r="S450" s="156"/>
      <c r="T450" s="156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:4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56"/>
      <c r="O451" s="156"/>
      <c r="P451" s="156"/>
      <c r="Q451" s="156"/>
      <c r="R451" s="156"/>
      <c r="S451" s="156"/>
      <c r="T451" s="156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:4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56"/>
      <c r="O452" s="156"/>
      <c r="P452" s="156"/>
      <c r="Q452" s="156"/>
      <c r="R452" s="156"/>
      <c r="S452" s="156"/>
      <c r="T452" s="156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:4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56"/>
      <c r="O453" s="156"/>
      <c r="P453" s="156"/>
      <c r="Q453" s="156"/>
      <c r="R453" s="156"/>
      <c r="S453" s="156"/>
      <c r="T453" s="156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:4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56"/>
      <c r="O454" s="156"/>
      <c r="P454" s="156"/>
      <c r="Q454" s="156"/>
      <c r="R454" s="156"/>
      <c r="S454" s="156"/>
      <c r="T454" s="156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:4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56"/>
      <c r="O455" s="156"/>
      <c r="P455" s="156"/>
      <c r="Q455" s="156"/>
      <c r="R455" s="156"/>
      <c r="S455" s="156"/>
      <c r="T455" s="156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spans="1:4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56"/>
      <c r="O456" s="156"/>
      <c r="P456" s="156"/>
      <c r="Q456" s="156"/>
      <c r="R456" s="156"/>
      <c r="S456" s="156"/>
      <c r="T456" s="156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spans="1:4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56"/>
      <c r="O457" s="156"/>
      <c r="P457" s="156"/>
      <c r="Q457" s="156"/>
      <c r="R457" s="156"/>
      <c r="S457" s="156"/>
      <c r="T457" s="156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spans="1:4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56"/>
      <c r="O458" s="156"/>
      <c r="P458" s="156"/>
      <c r="Q458" s="156"/>
      <c r="R458" s="156"/>
      <c r="S458" s="156"/>
      <c r="T458" s="156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spans="1:4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56"/>
      <c r="O459" s="156"/>
      <c r="P459" s="156"/>
      <c r="Q459" s="156"/>
      <c r="R459" s="156"/>
      <c r="S459" s="156"/>
      <c r="T459" s="156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spans="1:4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56"/>
      <c r="O460" s="156"/>
      <c r="P460" s="156"/>
      <c r="Q460" s="156"/>
      <c r="R460" s="156"/>
      <c r="S460" s="156"/>
      <c r="T460" s="156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spans="1:4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56"/>
      <c r="O461" s="156"/>
      <c r="P461" s="156"/>
      <c r="Q461" s="156"/>
      <c r="R461" s="156"/>
      <c r="S461" s="156"/>
      <c r="T461" s="156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spans="1:4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56"/>
      <c r="O462" s="156"/>
      <c r="P462" s="156"/>
      <c r="Q462" s="156"/>
      <c r="R462" s="156"/>
      <c r="S462" s="156"/>
      <c r="T462" s="156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spans="1:4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56"/>
      <c r="O463" s="156"/>
      <c r="P463" s="156"/>
      <c r="Q463" s="156"/>
      <c r="R463" s="156"/>
      <c r="S463" s="156"/>
      <c r="T463" s="156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spans="1:4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56"/>
      <c r="O464" s="156"/>
      <c r="P464" s="156"/>
      <c r="Q464" s="156"/>
      <c r="R464" s="156"/>
      <c r="S464" s="156"/>
      <c r="T464" s="156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spans="1:4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56"/>
      <c r="O465" s="156"/>
      <c r="P465" s="156"/>
      <c r="Q465" s="156"/>
      <c r="R465" s="156"/>
      <c r="S465" s="156"/>
      <c r="T465" s="156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spans="1:4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56"/>
      <c r="O466" s="156"/>
      <c r="P466" s="156"/>
      <c r="Q466" s="156"/>
      <c r="R466" s="156"/>
      <c r="S466" s="156"/>
      <c r="T466" s="156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spans="1:4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56"/>
      <c r="O467" s="156"/>
      <c r="P467" s="156"/>
      <c r="Q467" s="156"/>
      <c r="R467" s="156"/>
      <c r="S467" s="156"/>
      <c r="T467" s="156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spans="1:4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56"/>
      <c r="O468" s="156"/>
      <c r="P468" s="156"/>
      <c r="Q468" s="156"/>
      <c r="R468" s="156"/>
      <c r="S468" s="156"/>
      <c r="T468" s="156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spans="1:4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56"/>
      <c r="O469" s="156"/>
      <c r="P469" s="156"/>
      <c r="Q469" s="156"/>
      <c r="R469" s="156"/>
      <c r="S469" s="156"/>
      <c r="T469" s="156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spans="1:4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56"/>
      <c r="O470" s="156"/>
      <c r="P470" s="156"/>
      <c r="Q470" s="156"/>
      <c r="R470" s="156"/>
      <c r="S470" s="156"/>
      <c r="T470" s="156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spans="1:4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56"/>
      <c r="O471" s="156"/>
      <c r="P471" s="156"/>
      <c r="Q471" s="156"/>
      <c r="R471" s="156"/>
      <c r="S471" s="156"/>
      <c r="T471" s="156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spans="1:4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56"/>
      <c r="O472" s="156"/>
      <c r="P472" s="156"/>
      <c r="Q472" s="156"/>
      <c r="R472" s="156"/>
      <c r="S472" s="156"/>
      <c r="T472" s="156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spans="1:4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56"/>
      <c r="O473" s="156"/>
      <c r="P473" s="156"/>
      <c r="Q473" s="156"/>
      <c r="R473" s="156"/>
      <c r="S473" s="156"/>
      <c r="T473" s="156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spans="1:4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56"/>
      <c r="O474" s="156"/>
      <c r="P474" s="156"/>
      <c r="Q474" s="156"/>
      <c r="R474" s="156"/>
      <c r="S474" s="156"/>
      <c r="T474" s="156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spans="1:4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56"/>
      <c r="O475" s="156"/>
      <c r="P475" s="156"/>
      <c r="Q475" s="156"/>
      <c r="R475" s="156"/>
      <c r="S475" s="156"/>
      <c r="T475" s="156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spans="1:4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56"/>
      <c r="O476" s="156"/>
      <c r="P476" s="156"/>
      <c r="Q476" s="156"/>
      <c r="R476" s="156"/>
      <c r="S476" s="156"/>
      <c r="T476" s="156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spans="1:4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56"/>
      <c r="O477" s="156"/>
      <c r="P477" s="156"/>
      <c r="Q477" s="156"/>
      <c r="R477" s="156"/>
      <c r="S477" s="156"/>
      <c r="T477" s="156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spans="1:4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56"/>
      <c r="O478" s="156"/>
      <c r="P478" s="156"/>
      <c r="Q478" s="156"/>
      <c r="R478" s="156"/>
      <c r="S478" s="156"/>
      <c r="T478" s="156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spans="1:4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56"/>
      <c r="O479" s="156"/>
      <c r="P479" s="156"/>
      <c r="Q479" s="156"/>
      <c r="R479" s="156"/>
      <c r="S479" s="156"/>
      <c r="T479" s="156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spans="1:4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56"/>
      <c r="O480" s="156"/>
      <c r="P480" s="156"/>
      <c r="Q480" s="156"/>
      <c r="R480" s="156"/>
      <c r="S480" s="156"/>
      <c r="T480" s="156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spans="1:4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56"/>
      <c r="O481" s="156"/>
      <c r="P481" s="156"/>
      <c r="Q481" s="156"/>
      <c r="R481" s="156"/>
      <c r="S481" s="156"/>
      <c r="T481" s="156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spans="1:4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56"/>
      <c r="O482" s="156"/>
      <c r="P482" s="156"/>
      <c r="Q482" s="156"/>
      <c r="R482" s="156"/>
      <c r="S482" s="156"/>
      <c r="T482" s="156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spans="1:4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56"/>
      <c r="O483" s="156"/>
      <c r="P483" s="156"/>
      <c r="Q483" s="156"/>
      <c r="R483" s="156"/>
      <c r="S483" s="156"/>
      <c r="T483" s="156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spans="1:4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56"/>
      <c r="O484" s="156"/>
      <c r="P484" s="156"/>
      <c r="Q484" s="156"/>
      <c r="R484" s="156"/>
      <c r="S484" s="156"/>
      <c r="T484" s="156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spans="1:4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56"/>
      <c r="O485" s="156"/>
      <c r="P485" s="156"/>
      <c r="Q485" s="156"/>
      <c r="R485" s="156"/>
      <c r="S485" s="156"/>
      <c r="T485" s="156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spans="1:4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56"/>
      <c r="O486" s="156"/>
      <c r="P486" s="156"/>
      <c r="Q486" s="156"/>
      <c r="R486" s="156"/>
      <c r="S486" s="156"/>
      <c r="T486" s="156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spans="1:4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56"/>
      <c r="O487" s="156"/>
      <c r="P487" s="156"/>
      <c r="Q487" s="156"/>
      <c r="R487" s="156"/>
      <c r="S487" s="156"/>
      <c r="T487" s="156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spans="1:4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56"/>
      <c r="O488" s="156"/>
      <c r="P488" s="156"/>
      <c r="Q488" s="156"/>
      <c r="R488" s="156"/>
      <c r="S488" s="156"/>
      <c r="T488" s="156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spans="1:4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56"/>
      <c r="O489" s="156"/>
      <c r="P489" s="156"/>
      <c r="Q489" s="156"/>
      <c r="R489" s="156"/>
      <c r="S489" s="156"/>
      <c r="T489" s="156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spans="1:4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56"/>
      <c r="O490" s="156"/>
      <c r="P490" s="156"/>
      <c r="Q490" s="156"/>
      <c r="R490" s="156"/>
      <c r="S490" s="156"/>
      <c r="T490" s="156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spans="1:4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56"/>
      <c r="O491" s="156"/>
      <c r="P491" s="156"/>
      <c r="Q491" s="156"/>
      <c r="R491" s="156"/>
      <c r="S491" s="156"/>
      <c r="T491" s="156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spans="1:4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56"/>
      <c r="O492" s="156"/>
      <c r="P492" s="156"/>
      <c r="Q492" s="156"/>
      <c r="R492" s="156"/>
      <c r="S492" s="156"/>
      <c r="T492" s="156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spans="1:4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56"/>
      <c r="O493" s="156"/>
      <c r="P493" s="156"/>
      <c r="Q493" s="156"/>
      <c r="R493" s="156"/>
      <c r="S493" s="156"/>
      <c r="T493" s="156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spans="1:4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56"/>
      <c r="O494" s="156"/>
      <c r="P494" s="156"/>
      <c r="Q494" s="156"/>
      <c r="R494" s="156"/>
      <c r="S494" s="156"/>
      <c r="T494" s="156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spans="1:4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56"/>
      <c r="O495" s="156"/>
      <c r="P495" s="156"/>
      <c r="Q495" s="156"/>
      <c r="R495" s="156"/>
      <c r="S495" s="156"/>
      <c r="T495" s="156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spans="1:4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56"/>
      <c r="O496" s="156"/>
      <c r="P496" s="156"/>
      <c r="Q496" s="156"/>
      <c r="R496" s="156"/>
      <c r="S496" s="156"/>
      <c r="T496" s="156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spans="1:4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56"/>
      <c r="O497" s="156"/>
      <c r="P497" s="156"/>
      <c r="Q497" s="156"/>
      <c r="R497" s="156"/>
      <c r="S497" s="156"/>
      <c r="T497" s="156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spans="1:4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56"/>
      <c r="O498" s="156"/>
      <c r="P498" s="156"/>
      <c r="Q498" s="156"/>
      <c r="R498" s="156"/>
      <c r="S498" s="156"/>
      <c r="T498" s="156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spans="1:4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56"/>
      <c r="O499" s="156"/>
      <c r="P499" s="156"/>
      <c r="Q499" s="156"/>
      <c r="R499" s="156"/>
      <c r="S499" s="156"/>
      <c r="T499" s="156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spans="1:4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56"/>
      <c r="O500" s="156"/>
      <c r="P500" s="156"/>
      <c r="Q500" s="156"/>
      <c r="R500" s="156"/>
      <c r="S500" s="156"/>
      <c r="T500" s="156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spans="1:4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56"/>
      <c r="O501" s="156"/>
      <c r="P501" s="156"/>
      <c r="Q501" s="156"/>
      <c r="R501" s="156"/>
      <c r="S501" s="156"/>
      <c r="T501" s="156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spans="1:4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56"/>
      <c r="O502" s="156"/>
      <c r="P502" s="156"/>
      <c r="Q502" s="156"/>
      <c r="R502" s="156"/>
      <c r="S502" s="156"/>
      <c r="T502" s="156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spans="1:4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56"/>
      <c r="O503" s="156"/>
      <c r="P503" s="156"/>
      <c r="Q503" s="156"/>
      <c r="R503" s="156"/>
      <c r="S503" s="156"/>
      <c r="T503" s="156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spans="1:4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56"/>
      <c r="O504" s="156"/>
      <c r="P504" s="156"/>
      <c r="Q504" s="156"/>
      <c r="R504" s="156"/>
      <c r="S504" s="156"/>
      <c r="T504" s="156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spans="1:4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56"/>
      <c r="O505" s="156"/>
      <c r="P505" s="156"/>
      <c r="Q505" s="156"/>
      <c r="R505" s="156"/>
      <c r="S505" s="156"/>
      <c r="T505" s="156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spans="1:4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56"/>
      <c r="O506" s="156"/>
      <c r="P506" s="156"/>
      <c r="Q506" s="156"/>
      <c r="R506" s="156"/>
      <c r="S506" s="156"/>
      <c r="T506" s="156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spans="1:4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56"/>
      <c r="O507" s="156"/>
      <c r="P507" s="156"/>
      <c r="Q507" s="156"/>
      <c r="R507" s="156"/>
      <c r="S507" s="156"/>
      <c r="T507" s="156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spans="1:4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56"/>
      <c r="O508" s="156"/>
      <c r="P508" s="156"/>
      <c r="Q508" s="156"/>
      <c r="R508" s="156"/>
      <c r="S508" s="156"/>
      <c r="T508" s="156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spans="1:4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56"/>
      <c r="O509" s="156"/>
      <c r="P509" s="156"/>
      <c r="Q509" s="156"/>
      <c r="R509" s="156"/>
      <c r="S509" s="156"/>
      <c r="T509" s="156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spans="1:4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56"/>
      <c r="O510" s="156"/>
      <c r="P510" s="156"/>
      <c r="Q510" s="156"/>
      <c r="R510" s="156"/>
      <c r="S510" s="156"/>
      <c r="T510" s="156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spans="1:4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56"/>
      <c r="O511" s="156"/>
      <c r="P511" s="156"/>
      <c r="Q511" s="156"/>
      <c r="R511" s="156"/>
      <c r="S511" s="156"/>
      <c r="T511" s="156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spans="1:4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56"/>
      <c r="O512" s="156"/>
      <c r="P512" s="156"/>
      <c r="Q512" s="156"/>
      <c r="R512" s="156"/>
      <c r="S512" s="156"/>
      <c r="T512" s="156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spans="1:4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56"/>
      <c r="O513" s="156"/>
      <c r="P513" s="156"/>
      <c r="Q513" s="156"/>
      <c r="R513" s="156"/>
      <c r="S513" s="156"/>
      <c r="T513" s="156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spans="1:4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56"/>
      <c r="O514" s="156"/>
      <c r="P514" s="156"/>
      <c r="Q514" s="156"/>
      <c r="R514" s="156"/>
      <c r="S514" s="156"/>
      <c r="T514" s="156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spans="1:4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56"/>
      <c r="O515" s="156"/>
      <c r="P515" s="156"/>
      <c r="Q515" s="156"/>
      <c r="R515" s="156"/>
      <c r="S515" s="156"/>
      <c r="T515" s="156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spans="1:4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56"/>
      <c r="O516" s="156"/>
      <c r="P516" s="156"/>
      <c r="Q516" s="156"/>
      <c r="R516" s="156"/>
      <c r="S516" s="156"/>
      <c r="T516" s="156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spans="1:4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56"/>
      <c r="O517" s="156"/>
      <c r="P517" s="156"/>
      <c r="Q517" s="156"/>
      <c r="R517" s="156"/>
      <c r="S517" s="156"/>
      <c r="T517" s="156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spans="1:4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56"/>
      <c r="O518" s="156"/>
      <c r="P518" s="156"/>
      <c r="Q518" s="156"/>
      <c r="R518" s="156"/>
      <c r="S518" s="156"/>
      <c r="T518" s="156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spans="1:4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56"/>
      <c r="O519" s="156"/>
      <c r="P519" s="156"/>
      <c r="Q519" s="156"/>
      <c r="R519" s="156"/>
      <c r="S519" s="156"/>
      <c r="T519" s="156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spans="1:4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56"/>
      <c r="O520" s="156"/>
      <c r="P520" s="156"/>
      <c r="Q520" s="156"/>
      <c r="R520" s="156"/>
      <c r="S520" s="156"/>
      <c r="T520" s="156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spans="1:4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56"/>
      <c r="O521" s="156"/>
      <c r="P521" s="156"/>
      <c r="Q521" s="156"/>
      <c r="R521" s="156"/>
      <c r="S521" s="156"/>
      <c r="T521" s="156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spans="1:4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56"/>
      <c r="O522" s="156"/>
      <c r="P522" s="156"/>
      <c r="Q522" s="156"/>
      <c r="R522" s="156"/>
      <c r="S522" s="156"/>
      <c r="T522" s="156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spans="1:4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56"/>
      <c r="O523" s="156"/>
      <c r="P523" s="156"/>
      <c r="Q523" s="156"/>
      <c r="R523" s="156"/>
      <c r="S523" s="156"/>
      <c r="T523" s="156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spans="1:4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56"/>
      <c r="O524" s="156"/>
      <c r="P524" s="156"/>
      <c r="Q524" s="156"/>
      <c r="R524" s="156"/>
      <c r="S524" s="156"/>
      <c r="T524" s="156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spans="1:4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56"/>
      <c r="O525" s="156"/>
      <c r="P525" s="156"/>
      <c r="Q525" s="156"/>
      <c r="R525" s="156"/>
      <c r="S525" s="156"/>
      <c r="T525" s="156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spans="1:4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56"/>
      <c r="O526" s="156"/>
      <c r="P526" s="156"/>
      <c r="Q526" s="156"/>
      <c r="R526" s="156"/>
      <c r="S526" s="156"/>
      <c r="T526" s="156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spans="1:4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56"/>
      <c r="O527" s="156"/>
      <c r="P527" s="156"/>
      <c r="Q527" s="156"/>
      <c r="R527" s="156"/>
      <c r="S527" s="156"/>
      <c r="T527" s="156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spans="1:4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56"/>
      <c r="O528" s="156"/>
      <c r="P528" s="156"/>
      <c r="Q528" s="156"/>
      <c r="R528" s="156"/>
      <c r="S528" s="156"/>
      <c r="T528" s="156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spans="1:4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56"/>
      <c r="O529" s="156"/>
      <c r="P529" s="156"/>
      <c r="Q529" s="156"/>
      <c r="R529" s="156"/>
      <c r="S529" s="156"/>
      <c r="T529" s="156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spans="1:4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56"/>
      <c r="O530" s="156"/>
      <c r="P530" s="156"/>
      <c r="Q530" s="156"/>
      <c r="R530" s="156"/>
      <c r="S530" s="156"/>
      <c r="T530" s="156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spans="1:4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56"/>
      <c r="O531" s="156"/>
      <c r="P531" s="156"/>
      <c r="Q531" s="156"/>
      <c r="R531" s="156"/>
      <c r="S531" s="156"/>
      <c r="T531" s="156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spans="1:4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56"/>
      <c r="O532" s="156"/>
      <c r="P532" s="156"/>
      <c r="Q532" s="156"/>
      <c r="R532" s="156"/>
      <c r="S532" s="156"/>
      <c r="T532" s="156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spans="1:4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56"/>
      <c r="O533" s="156"/>
      <c r="P533" s="156"/>
      <c r="Q533" s="156"/>
      <c r="R533" s="156"/>
      <c r="S533" s="156"/>
      <c r="T533" s="156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spans="1:4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56"/>
      <c r="O534" s="156"/>
      <c r="P534" s="156"/>
      <c r="Q534" s="156"/>
      <c r="R534" s="156"/>
      <c r="S534" s="156"/>
      <c r="T534" s="156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spans="1:4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56"/>
      <c r="O535" s="156"/>
      <c r="P535" s="156"/>
      <c r="Q535" s="156"/>
      <c r="R535" s="156"/>
      <c r="S535" s="156"/>
      <c r="T535" s="156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spans="1:4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56"/>
      <c r="O536" s="156"/>
      <c r="P536" s="156"/>
      <c r="Q536" s="156"/>
      <c r="R536" s="156"/>
      <c r="S536" s="156"/>
      <c r="T536" s="156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spans="1:4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56"/>
      <c r="O537" s="156"/>
      <c r="P537" s="156"/>
      <c r="Q537" s="156"/>
      <c r="R537" s="156"/>
      <c r="S537" s="156"/>
      <c r="T537" s="156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spans="1:4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56"/>
      <c r="O538" s="156"/>
      <c r="P538" s="156"/>
      <c r="Q538" s="156"/>
      <c r="R538" s="156"/>
      <c r="S538" s="156"/>
      <c r="T538" s="156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spans="1:4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56"/>
      <c r="O539" s="156"/>
      <c r="P539" s="156"/>
      <c r="Q539" s="156"/>
      <c r="R539" s="156"/>
      <c r="S539" s="156"/>
      <c r="T539" s="156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spans="1:4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56"/>
      <c r="O540" s="156"/>
      <c r="P540" s="156"/>
      <c r="Q540" s="156"/>
      <c r="R540" s="156"/>
      <c r="S540" s="156"/>
      <c r="T540" s="156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spans="1:4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56"/>
      <c r="O541" s="156"/>
      <c r="P541" s="156"/>
      <c r="Q541" s="156"/>
      <c r="R541" s="156"/>
      <c r="S541" s="156"/>
      <c r="T541" s="156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spans="1:4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56"/>
      <c r="O542" s="156"/>
      <c r="P542" s="156"/>
      <c r="Q542" s="156"/>
      <c r="R542" s="156"/>
      <c r="S542" s="156"/>
      <c r="T542" s="156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spans="1:4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56"/>
      <c r="O543" s="156"/>
      <c r="P543" s="156"/>
      <c r="Q543" s="156"/>
      <c r="R543" s="156"/>
      <c r="S543" s="156"/>
      <c r="T543" s="156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spans="1:4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56"/>
      <c r="O544" s="156"/>
      <c r="P544" s="156"/>
      <c r="Q544" s="156"/>
      <c r="R544" s="156"/>
      <c r="S544" s="156"/>
      <c r="T544" s="156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spans="1: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56"/>
      <c r="O545" s="156"/>
      <c r="P545" s="156"/>
      <c r="Q545" s="156"/>
      <c r="R545" s="156"/>
      <c r="S545" s="156"/>
      <c r="T545" s="156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spans="1:4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56"/>
      <c r="O546" s="156"/>
      <c r="P546" s="156"/>
      <c r="Q546" s="156"/>
      <c r="R546" s="156"/>
      <c r="S546" s="156"/>
      <c r="T546" s="156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spans="1:4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56"/>
      <c r="O547" s="156"/>
      <c r="P547" s="156"/>
      <c r="Q547" s="156"/>
      <c r="R547" s="156"/>
      <c r="S547" s="156"/>
      <c r="T547" s="156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spans="1:4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56"/>
      <c r="O548" s="156"/>
      <c r="P548" s="156"/>
      <c r="Q548" s="156"/>
      <c r="R548" s="156"/>
      <c r="S548" s="156"/>
      <c r="T548" s="156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spans="1:4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56"/>
      <c r="O549" s="156"/>
      <c r="P549" s="156"/>
      <c r="Q549" s="156"/>
      <c r="R549" s="156"/>
      <c r="S549" s="156"/>
      <c r="T549" s="156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spans="1:4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56"/>
      <c r="O550" s="156"/>
      <c r="P550" s="156"/>
      <c r="Q550" s="156"/>
      <c r="R550" s="156"/>
      <c r="S550" s="156"/>
      <c r="T550" s="156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spans="1:4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56"/>
      <c r="O551" s="156"/>
      <c r="P551" s="156"/>
      <c r="Q551" s="156"/>
      <c r="R551" s="156"/>
      <c r="S551" s="156"/>
      <c r="T551" s="156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spans="1:4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56"/>
      <c r="O552" s="156"/>
      <c r="P552" s="156"/>
      <c r="Q552" s="156"/>
      <c r="R552" s="156"/>
      <c r="S552" s="156"/>
      <c r="T552" s="156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spans="1:4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56"/>
      <c r="O553" s="156"/>
      <c r="P553" s="156"/>
      <c r="Q553" s="156"/>
      <c r="R553" s="156"/>
      <c r="S553" s="156"/>
      <c r="T553" s="156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spans="1:4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56"/>
      <c r="O554" s="156"/>
      <c r="P554" s="156"/>
      <c r="Q554" s="156"/>
      <c r="R554" s="156"/>
      <c r="S554" s="156"/>
      <c r="T554" s="156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spans="1:4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56"/>
      <c r="O555" s="156"/>
      <c r="P555" s="156"/>
      <c r="Q555" s="156"/>
      <c r="R555" s="156"/>
      <c r="S555" s="156"/>
      <c r="T555" s="156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spans="1:4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56"/>
      <c r="O556" s="156"/>
      <c r="P556" s="156"/>
      <c r="Q556" s="156"/>
      <c r="R556" s="156"/>
      <c r="S556" s="156"/>
      <c r="T556" s="156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spans="1:4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56"/>
      <c r="O557" s="156"/>
      <c r="P557" s="156"/>
      <c r="Q557" s="156"/>
      <c r="R557" s="156"/>
      <c r="S557" s="156"/>
      <c r="T557" s="156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spans="1:4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56"/>
      <c r="O558" s="156"/>
      <c r="P558" s="156"/>
      <c r="Q558" s="156"/>
      <c r="R558" s="156"/>
      <c r="S558" s="156"/>
      <c r="T558" s="156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spans="1:4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56"/>
      <c r="O559" s="156"/>
      <c r="P559" s="156"/>
      <c r="Q559" s="156"/>
      <c r="R559" s="156"/>
      <c r="S559" s="156"/>
      <c r="T559" s="156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spans="1:4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56"/>
      <c r="O560" s="156"/>
      <c r="P560" s="156"/>
      <c r="Q560" s="156"/>
      <c r="R560" s="156"/>
      <c r="S560" s="156"/>
      <c r="T560" s="156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spans="1:4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56"/>
      <c r="O561" s="156"/>
      <c r="P561" s="156"/>
      <c r="Q561" s="156"/>
      <c r="R561" s="156"/>
      <c r="S561" s="156"/>
      <c r="T561" s="156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spans="1:4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56"/>
      <c r="O562" s="156"/>
      <c r="P562" s="156"/>
      <c r="Q562" s="156"/>
      <c r="R562" s="156"/>
      <c r="S562" s="156"/>
      <c r="T562" s="156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spans="1:4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56"/>
      <c r="O563" s="156"/>
      <c r="P563" s="156"/>
      <c r="Q563" s="156"/>
      <c r="R563" s="156"/>
      <c r="S563" s="156"/>
      <c r="T563" s="156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spans="1:4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56"/>
      <c r="O564" s="156"/>
      <c r="P564" s="156"/>
      <c r="Q564" s="156"/>
      <c r="R564" s="156"/>
      <c r="S564" s="156"/>
      <c r="T564" s="156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spans="1:4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56"/>
      <c r="O565" s="156"/>
      <c r="P565" s="156"/>
      <c r="Q565" s="156"/>
      <c r="R565" s="156"/>
      <c r="S565" s="156"/>
      <c r="T565" s="156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spans="1:4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56"/>
      <c r="O566" s="156"/>
      <c r="P566" s="156"/>
      <c r="Q566" s="156"/>
      <c r="R566" s="156"/>
      <c r="S566" s="156"/>
      <c r="T566" s="156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spans="1:4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56"/>
      <c r="O567" s="156"/>
      <c r="P567" s="156"/>
      <c r="Q567" s="156"/>
      <c r="R567" s="156"/>
      <c r="S567" s="156"/>
      <c r="T567" s="156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spans="1:4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56"/>
      <c r="O568" s="156"/>
      <c r="P568" s="156"/>
      <c r="Q568" s="156"/>
      <c r="R568" s="156"/>
      <c r="S568" s="156"/>
      <c r="T568" s="156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spans="1:4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56"/>
      <c r="O569" s="156"/>
      <c r="P569" s="156"/>
      <c r="Q569" s="156"/>
      <c r="R569" s="156"/>
      <c r="S569" s="156"/>
      <c r="T569" s="156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spans="1:4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56"/>
      <c r="O570" s="156"/>
      <c r="P570" s="156"/>
      <c r="Q570" s="156"/>
      <c r="R570" s="156"/>
      <c r="S570" s="156"/>
      <c r="T570" s="156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spans="1:4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56"/>
      <c r="O571" s="156"/>
      <c r="P571" s="156"/>
      <c r="Q571" s="156"/>
      <c r="R571" s="156"/>
      <c r="S571" s="156"/>
      <c r="T571" s="156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spans="1:4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56"/>
      <c r="O572" s="156"/>
      <c r="P572" s="156"/>
      <c r="Q572" s="156"/>
      <c r="R572" s="156"/>
      <c r="S572" s="156"/>
      <c r="T572" s="156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spans="1:4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56"/>
      <c r="O573" s="156"/>
      <c r="P573" s="156"/>
      <c r="Q573" s="156"/>
      <c r="R573" s="156"/>
      <c r="S573" s="156"/>
      <c r="T573" s="156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spans="1:4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56"/>
      <c r="O574" s="156"/>
      <c r="P574" s="156"/>
      <c r="Q574" s="156"/>
      <c r="R574" s="156"/>
      <c r="S574" s="156"/>
      <c r="T574" s="156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spans="1:4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56"/>
      <c r="O575" s="156"/>
      <c r="P575" s="156"/>
      <c r="Q575" s="156"/>
      <c r="R575" s="156"/>
      <c r="S575" s="156"/>
      <c r="T575" s="156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spans="1:4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56"/>
      <c r="O576" s="156"/>
      <c r="P576" s="156"/>
      <c r="Q576" s="156"/>
      <c r="R576" s="156"/>
      <c r="S576" s="156"/>
      <c r="T576" s="156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spans="1:4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56"/>
      <c r="O577" s="156"/>
      <c r="P577" s="156"/>
      <c r="Q577" s="156"/>
      <c r="R577" s="156"/>
      <c r="S577" s="156"/>
      <c r="T577" s="156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spans="1:4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56"/>
      <c r="O578" s="156"/>
      <c r="P578" s="156"/>
      <c r="Q578" s="156"/>
      <c r="R578" s="156"/>
      <c r="S578" s="156"/>
      <c r="T578" s="156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spans="1:4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56"/>
      <c r="O579" s="156"/>
      <c r="P579" s="156"/>
      <c r="Q579" s="156"/>
      <c r="R579" s="156"/>
      <c r="S579" s="156"/>
      <c r="T579" s="156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spans="1:4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56"/>
      <c r="O580" s="156"/>
      <c r="P580" s="156"/>
      <c r="Q580" s="156"/>
      <c r="R580" s="156"/>
      <c r="S580" s="156"/>
      <c r="T580" s="156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spans="1:4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56"/>
      <c r="O581" s="156"/>
      <c r="P581" s="156"/>
      <c r="Q581" s="156"/>
      <c r="R581" s="156"/>
      <c r="S581" s="156"/>
      <c r="T581" s="156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spans="1:4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56"/>
      <c r="O582" s="156"/>
      <c r="P582" s="156"/>
      <c r="Q582" s="156"/>
      <c r="R582" s="156"/>
      <c r="S582" s="156"/>
      <c r="T582" s="156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spans="1:4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56"/>
      <c r="O583" s="156"/>
      <c r="P583" s="156"/>
      <c r="Q583" s="156"/>
      <c r="R583" s="156"/>
      <c r="S583" s="156"/>
      <c r="T583" s="156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spans="1:4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56"/>
      <c r="O584" s="156"/>
      <c r="P584" s="156"/>
      <c r="Q584" s="156"/>
      <c r="R584" s="156"/>
      <c r="S584" s="156"/>
      <c r="T584" s="156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spans="1:4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56"/>
      <c r="O585" s="156"/>
      <c r="P585" s="156"/>
      <c r="Q585" s="156"/>
      <c r="R585" s="156"/>
      <c r="S585" s="156"/>
      <c r="T585" s="156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spans="1:4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56"/>
      <c r="O586" s="156"/>
      <c r="P586" s="156"/>
      <c r="Q586" s="156"/>
      <c r="R586" s="156"/>
      <c r="S586" s="156"/>
      <c r="T586" s="156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spans="1:4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56"/>
      <c r="O587" s="156"/>
      <c r="P587" s="156"/>
      <c r="Q587" s="156"/>
      <c r="R587" s="156"/>
      <c r="S587" s="156"/>
      <c r="T587" s="156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spans="1:4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56"/>
      <c r="O588" s="156"/>
      <c r="P588" s="156"/>
      <c r="Q588" s="156"/>
      <c r="R588" s="156"/>
      <c r="S588" s="156"/>
      <c r="T588" s="156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spans="1:4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56"/>
      <c r="O589" s="156"/>
      <c r="P589" s="156"/>
      <c r="Q589" s="156"/>
      <c r="R589" s="156"/>
      <c r="S589" s="156"/>
      <c r="T589" s="156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spans="1:4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56"/>
      <c r="O590" s="156"/>
      <c r="P590" s="156"/>
      <c r="Q590" s="156"/>
      <c r="R590" s="156"/>
      <c r="S590" s="156"/>
      <c r="T590" s="156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spans="1:4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56"/>
      <c r="O591" s="156"/>
      <c r="P591" s="156"/>
      <c r="Q591" s="156"/>
      <c r="R591" s="156"/>
      <c r="S591" s="156"/>
      <c r="T591" s="156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spans="1:4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56"/>
      <c r="O592" s="156"/>
      <c r="P592" s="156"/>
      <c r="Q592" s="156"/>
      <c r="R592" s="156"/>
      <c r="S592" s="156"/>
      <c r="T592" s="156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spans="1:4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56"/>
      <c r="O593" s="156"/>
      <c r="P593" s="156"/>
      <c r="Q593" s="156"/>
      <c r="R593" s="156"/>
      <c r="S593" s="156"/>
      <c r="T593" s="156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spans="1:4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56"/>
      <c r="O594" s="156"/>
      <c r="P594" s="156"/>
      <c r="Q594" s="156"/>
      <c r="R594" s="156"/>
      <c r="S594" s="156"/>
      <c r="T594" s="156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spans="1:4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56"/>
      <c r="O595" s="156"/>
      <c r="P595" s="156"/>
      <c r="Q595" s="156"/>
      <c r="R595" s="156"/>
      <c r="S595" s="156"/>
      <c r="T595" s="156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spans="1:4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56"/>
      <c r="O596" s="156"/>
      <c r="P596" s="156"/>
      <c r="Q596" s="156"/>
      <c r="R596" s="156"/>
      <c r="S596" s="156"/>
      <c r="T596" s="156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spans="1:4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56"/>
      <c r="O597" s="156"/>
      <c r="P597" s="156"/>
      <c r="Q597" s="156"/>
      <c r="R597" s="156"/>
      <c r="S597" s="156"/>
      <c r="T597" s="156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spans="1:4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56"/>
      <c r="O598" s="156"/>
      <c r="P598" s="156"/>
      <c r="Q598" s="156"/>
      <c r="R598" s="156"/>
      <c r="S598" s="156"/>
      <c r="T598" s="156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spans="1:4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56"/>
      <c r="O599" s="156"/>
      <c r="P599" s="156"/>
      <c r="Q599" s="156"/>
      <c r="R599" s="156"/>
      <c r="S599" s="156"/>
      <c r="T599" s="156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spans="1:4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56"/>
      <c r="O600" s="156"/>
      <c r="P600" s="156"/>
      <c r="Q600" s="156"/>
      <c r="R600" s="156"/>
      <c r="S600" s="156"/>
      <c r="T600" s="156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spans="1:4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56"/>
      <c r="O601" s="156"/>
      <c r="P601" s="156"/>
      <c r="Q601" s="156"/>
      <c r="R601" s="156"/>
      <c r="S601" s="156"/>
      <c r="T601" s="156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spans="1:4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56"/>
      <c r="O602" s="156"/>
      <c r="P602" s="156"/>
      <c r="Q602" s="156"/>
      <c r="R602" s="156"/>
      <c r="S602" s="156"/>
      <c r="T602" s="156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spans="1:4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56"/>
      <c r="O603" s="156"/>
      <c r="P603" s="156"/>
      <c r="Q603" s="156"/>
      <c r="R603" s="156"/>
      <c r="S603" s="156"/>
      <c r="T603" s="156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spans="1:4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56"/>
      <c r="O604" s="156"/>
      <c r="P604" s="156"/>
      <c r="Q604" s="156"/>
      <c r="R604" s="156"/>
      <c r="S604" s="156"/>
      <c r="T604" s="156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spans="1:4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56"/>
      <c r="O605" s="156"/>
      <c r="P605" s="156"/>
      <c r="Q605" s="156"/>
      <c r="R605" s="156"/>
      <c r="S605" s="156"/>
      <c r="T605" s="156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spans="1:4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56"/>
      <c r="O606" s="156"/>
      <c r="P606" s="156"/>
      <c r="Q606" s="156"/>
      <c r="R606" s="156"/>
      <c r="S606" s="156"/>
      <c r="T606" s="156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spans="1:4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56"/>
      <c r="O607" s="156"/>
      <c r="P607" s="156"/>
      <c r="Q607" s="156"/>
      <c r="R607" s="156"/>
      <c r="S607" s="156"/>
      <c r="T607" s="156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spans="1:4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56"/>
      <c r="O608" s="156"/>
      <c r="P608" s="156"/>
      <c r="Q608" s="156"/>
      <c r="R608" s="156"/>
      <c r="S608" s="156"/>
      <c r="T608" s="156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spans="1:4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56"/>
      <c r="O609" s="156"/>
      <c r="P609" s="156"/>
      <c r="Q609" s="156"/>
      <c r="R609" s="156"/>
      <c r="S609" s="156"/>
      <c r="T609" s="156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spans="1:4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56"/>
      <c r="O610" s="156"/>
      <c r="P610" s="156"/>
      <c r="Q610" s="156"/>
      <c r="R610" s="156"/>
      <c r="S610" s="156"/>
      <c r="T610" s="156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spans="1:4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56"/>
      <c r="O611" s="156"/>
      <c r="P611" s="156"/>
      <c r="Q611" s="156"/>
      <c r="R611" s="156"/>
      <c r="S611" s="156"/>
      <c r="T611" s="156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spans="1:4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56"/>
      <c r="O612" s="156"/>
      <c r="P612" s="156"/>
      <c r="Q612" s="156"/>
      <c r="R612" s="156"/>
      <c r="S612" s="156"/>
      <c r="T612" s="156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spans="1:4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56"/>
      <c r="O613" s="156"/>
      <c r="P613" s="156"/>
      <c r="Q613" s="156"/>
      <c r="R613" s="156"/>
      <c r="S613" s="156"/>
      <c r="T613" s="156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spans="1:4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56"/>
      <c r="O614" s="156"/>
      <c r="P614" s="156"/>
      <c r="Q614" s="156"/>
      <c r="R614" s="156"/>
      <c r="S614" s="156"/>
      <c r="T614" s="156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spans="1:4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56"/>
      <c r="O615" s="156"/>
      <c r="P615" s="156"/>
      <c r="Q615" s="156"/>
      <c r="R615" s="156"/>
      <c r="S615" s="156"/>
      <c r="T615" s="156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spans="1:4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56"/>
      <c r="O616" s="156"/>
      <c r="P616" s="156"/>
      <c r="Q616" s="156"/>
      <c r="R616" s="156"/>
      <c r="S616" s="156"/>
      <c r="T616" s="156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spans="1:4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56"/>
      <c r="O617" s="156"/>
      <c r="P617" s="156"/>
      <c r="Q617" s="156"/>
      <c r="R617" s="156"/>
      <c r="S617" s="156"/>
      <c r="T617" s="156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spans="1:4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56"/>
      <c r="O618" s="156"/>
      <c r="P618" s="156"/>
      <c r="Q618" s="156"/>
      <c r="R618" s="156"/>
      <c r="S618" s="156"/>
      <c r="T618" s="156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spans="1:4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56"/>
      <c r="O619" s="156"/>
      <c r="P619" s="156"/>
      <c r="Q619" s="156"/>
      <c r="R619" s="156"/>
      <c r="S619" s="156"/>
      <c r="T619" s="156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spans="1:4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56"/>
      <c r="O620" s="156"/>
      <c r="P620" s="156"/>
      <c r="Q620" s="156"/>
      <c r="R620" s="156"/>
      <c r="S620" s="156"/>
      <c r="T620" s="156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spans="1:4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56"/>
      <c r="O621" s="156"/>
      <c r="P621" s="156"/>
      <c r="Q621" s="156"/>
      <c r="R621" s="156"/>
      <c r="S621" s="156"/>
      <c r="T621" s="156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spans="1:4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56"/>
      <c r="O622" s="156"/>
      <c r="P622" s="156"/>
      <c r="Q622" s="156"/>
      <c r="R622" s="156"/>
      <c r="S622" s="156"/>
      <c r="T622" s="156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spans="1:4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56"/>
      <c r="O623" s="156"/>
      <c r="P623" s="156"/>
      <c r="Q623" s="156"/>
      <c r="R623" s="156"/>
      <c r="S623" s="156"/>
      <c r="T623" s="156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spans="1:4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56"/>
      <c r="O624" s="156"/>
      <c r="P624" s="156"/>
      <c r="Q624" s="156"/>
      <c r="R624" s="156"/>
      <c r="S624" s="156"/>
      <c r="T624" s="156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spans="1:4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56"/>
      <c r="O625" s="156"/>
      <c r="P625" s="156"/>
      <c r="Q625" s="156"/>
      <c r="R625" s="156"/>
      <c r="S625" s="156"/>
      <c r="T625" s="156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spans="1:4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56"/>
      <c r="O626" s="156"/>
      <c r="P626" s="156"/>
      <c r="Q626" s="156"/>
      <c r="R626" s="156"/>
      <c r="S626" s="156"/>
      <c r="T626" s="156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spans="1:4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56"/>
      <c r="O627" s="156"/>
      <c r="P627" s="156"/>
      <c r="Q627" s="156"/>
      <c r="R627" s="156"/>
      <c r="S627" s="156"/>
      <c r="T627" s="156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spans="1:4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56"/>
      <c r="O628" s="156"/>
      <c r="P628" s="156"/>
      <c r="Q628" s="156"/>
      <c r="R628" s="156"/>
      <c r="S628" s="156"/>
      <c r="T628" s="156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spans="1:4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56"/>
      <c r="O629" s="156"/>
      <c r="P629" s="156"/>
      <c r="Q629" s="156"/>
      <c r="R629" s="156"/>
      <c r="S629" s="156"/>
      <c r="T629" s="156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spans="1:4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56"/>
      <c r="O630" s="156"/>
      <c r="P630" s="156"/>
      <c r="Q630" s="156"/>
      <c r="R630" s="156"/>
      <c r="S630" s="156"/>
      <c r="T630" s="156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spans="1:4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56"/>
      <c r="O631" s="156"/>
      <c r="P631" s="156"/>
      <c r="Q631" s="156"/>
      <c r="R631" s="156"/>
      <c r="S631" s="156"/>
      <c r="T631" s="156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spans="1:4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56"/>
      <c r="O632" s="156"/>
      <c r="P632" s="156"/>
      <c r="Q632" s="156"/>
      <c r="R632" s="156"/>
      <c r="S632" s="156"/>
      <c r="T632" s="156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spans="1:4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56"/>
      <c r="O633" s="156"/>
      <c r="P633" s="156"/>
      <c r="Q633" s="156"/>
      <c r="R633" s="156"/>
      <c r="S633" s="156"/>
      <c r="T633" s="156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spans="1:4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56"/>
      <c r="O634" s="156"/>
      <c r="P634" s="156"/>
      <c r="Q634" s="156"/>
      <c r="R634" s="156"/>
      <c r="S634" s="156"/>
      <c r="T634" s="156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spans="1:4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56"/>
      <c r="O635" s="156"/>
      <c r="P635" s="156"/>
      <c r="Q635" s="156"/>
      <c r="R635" s="156"/>
      <c r="S635" s="156"/>
      <c r="T635" s="156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spans="1:4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56"/>
      <c r="O636" s="156"/>
      <c r="P636" s="156"/>
      <c r="Q636" s="156"/>
      <c r="R636" s="156"/>
      <c r="S636" s="156"/>
      <c r="T636" s="156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spans="1:4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56"/>
      <c r="O637" s="156"/>
      <c r="P637" s="156"/>
      <c r="Q637" s="156"/>
      <c r="R637" s="156"/>
      <c r="S637" s="156"/>
      <c r="T637" s="156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spans="1:4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56"/>
      <c r="O638" s="156"/>
      <c r="P638" s="156"/>
      <c r="Q638" s="156"/>
      <c r="R638" s="156"/>
      <c r="S638" s="156"/>
      <c r="T638" s="156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spans="1:4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56"/>
      <c r="O639" s="156"/>
      <c r="P639" s="156"/>
      <c r="Q639" s="156"/>
      <c r="R639" s="156"/>
      <c r="S639" s="156"/>
      <c r="T639" s="156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spans="1:4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56"/>
      <c r="O640" s="156"/>
      <c r="P640" s="156"/>
      <c r="Q640" s="156"/>
      <c r="R640" s="156"/>
      <c r="S640" s="156"/>
      <c r="T640" s="156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spans="1:4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56"/>
      <c r="O641" s="156"/>
      <c r="P641" s="156"/>
      <c r="Q641" s="156"/>
      <c r="R641" s="156"/>
      <c r="S641" s="156"/>
      <c r="T641" s="156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spans="1:4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56"/>
      <c r="O642" s="156"/>
      <c r="P642" s="156"/>
      <c r="Q642" s="156"/>
      <c r="R642" s="156"/>
      <c r="S642" s="156"/>
      <c r="T642" s="156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spans="1:4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56"/>
      <c r="O643" s="156"/>
      <c r="P643" s="156"/>
      <c r="Q643" s="156"/>
      <c r="R643" s="156"/>
      <c r="S643" s="156"/>
      <c r="T643" s="156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spans="1:4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56"/>
      <c r="O644" s="156"/>
      <c r="P644" s="156"/>
      <c r="Q644" s="156"/>
      <c r="R644" s="156"/>
      <c r="S644" s="156"/>
      <c r="T644" s="156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spans="1: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56"/>
      <c r="O645" s="156"/>
      <c r="P645" s="156"/>
      <c r="Q645" s="156"/>
      <c r="R645" s="156"/>
      <c r="S645" s="156"/>
      <c r="T645" s="156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spans="1:4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56"/>
      <c r="O646" s="156"/>
      <c r="P646" s="156"/>
      <c r="Q646" s="156"/>
      <c r="R646" s="156"/>
      <c r="S646" s="156"/>
      <c r="T646" s="156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spans="1:4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56"/>
      <c r="O647" s="156"/>
      <c r="P647" s="156"/>
      <c r="Q647" s="156"/>
      <c r="R647" s="156"/>
      <c r="S647" s="156"/>
      <c r="T647" s="156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spans="1:4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56"/>
      <c r="O648" s="156"/>
      <c r="P648" s="156"/>
      <c r="Q648" s="156"/>
      <c r="R648" s="156"/>
      <c r="S648" s="156"/>
      <c r="T648" s="156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spans="1:4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56"/>
      <c r="O649" s="156"/>
      <c r="P649" s="156"/>
      <c r="Q649" s="156"/>
      <c r="R649" s="156"/>
      <c r="S649" s="156"/>
      <c r="T649" s="156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spans="1:4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56"/>
      <c r="O650" s="156"/>
      <c r="P650" s="156"/>
      <c r="Q650" s="156"/>
      <c r="R650" s="156"/>
      <c r="S650" s="156"/>
      <c r="T650" s="156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spans="1:4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56"/>
      <c r="O651" s="156"/>
      <c r="P651" s="156"/>
      <c r="Q651" s="156"/>
      <c r="R651" s="156"/>
      <c r="S651" s="156"/>
      <c r="T651" s="156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spans="1:4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56"/>
      <c r="O652" s="156"/>
      <c r="P652" s="156"/>
      <c r="Q652" s="156"/>
      <c r="R652" s="156"/>
      <c r="S652" s="156"/>
      <c r="T652" s="156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spans="1:4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56"/>
      <c r="O653" s="156"/>
      <c r="P653" s="156"/>
      <c r="Q653" s="156"/>
      <c r="R653" s="156"/>
      <c r="S653" s="156"/>
      <c r="T653" s="156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spans="1:4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56"/>
      <c r="O654" s="156"/>
      <c r="P654" s="156"/>
      <c r="Q654" s="156"/>
      <c r="R654" s="156"/>
      <c r="S654" s="156"/>
      <c r="T654" s="156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spans="1:4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56"/>
      <c r="O655" s="156"/>
      <c r="P655" s="156"/>
      <c r="Q655" s="156"/>
      <c r="R655" s="156"/>
      <c r="S655" s="156"/>
      <c r="T655" s="156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spans="1:4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56"/>
      <c r="O656" s="156"/>
      <c r="P656" s="156"/>
      <c r="Q656" s="156"/>
      <c r="R656" s="156"/>
      <c r="S656" s="156"/>
      <c r="T656" s="156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spans="1:4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56"/>
      <c r="O657" s="156"/>
      <c r="P657" s="156"/>
      <c r="Q657" s="156"/>
      <c r="R657" s="156"/>
      <c r="S657" s="156"/>
      <c r="T657" s="156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spans="1:4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56"/>
      <c r="O658" s="156"/>
      <c r="P658" s="156"/>
      <c r="Q658" s="156"/>
      <c r="R658" s="156"/>
      <c r="S658" s="156"/>
      <c r="T658" s="156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spans="1:4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56"/>
      <c r="O659" s="156"/>
      <c r="P659" s="156"/>
      <c r="Q659" s="156"/>
      <c r="R659" s="156"/>
      <c r="S659" s="156"/>
      <c r="T659" s="156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spans="1:4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56"/>
      <c r="O660" s="156"/>
      <c r="P660" s="156"/>
      <c r="Q660" s="156"/>
      <c r="R660" s="156"/>
      <c r="S660" s="156"/>
      <c r="T660" s="156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spans="1:4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56"/>
      <c r="O661" s="156"/>
      <c r="P661" s="156"/>
      <c r="Q661" s="156"/>
      <c r="R661" s="156"/>
      <c r="S661" s="156"/>
      <c r="T661" s="156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spans="1:4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56"/>
      <c r="O662" s="156"/>
      <c r="P662" s="156"/>
      <c r="Q662" s="156"/>
      <c r="R662" s="156"/>
      <c r="S662" s="156"/>
      <c r="T662" s="156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spans="1:4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56"/>
      <c r="O663" s="156"/>
      <c r="P663" s="156"/>
      <c r="Q663" s="156"/>
      <c r="R663" s="156"/>
      <c r="S663" s="156"/>
      <c r="T663" s="156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spans="1:4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56"/>
      <c r="O664" s="156"/>
      <c r="P664" s="156"/>
      <c r="Q664" s="156"/>
      <c r="R664" s="156"/>
      <c r="S664" s="156"/>
      <c r="T664" s="156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spans="1:4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56"/>
      <c r="O665" s="156"/>
      <c r="P665" s="156"/>
      <c r="Q665" s="156"/>
      <c r="R665" s="156"/>
      <c r="S665" s="156"/>
      <c r="T665" s="156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spans="1:4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56"/>
      <c r="O666" s="156"/>
      <c r="P666" s="156"/>
      <c r="Q666" s="156"/>
      <c r="R666" s="156"/>
      <c r="S666" s="156"/>
      <c r="T666" s="156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spans="1:4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56"/>
      <c r="O667" s="156"/>
      <c r="P667" s="156"/>
      <c r="Q667" s="156"/>
      <c r="R667" s="156"/>
      <c r="S667" s="156"/>
      <c r="T667" s="156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spans="1:4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56"/>
      <c r="O668" s="156"/>
      <c r="P668" s="156"/>
      <c r="Q668" s="156"/>
      <c r="R668" s="156"/>
      <c r="S668" s="156"/>
      <c r="T668" s="156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spans="1:4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56"/>
      <c r="O669" s="156"/>
      <c r="P669" s="156"/>
      <c r="Q669" s="156"/>
      <c r="R669" s="156"/>
      <c r="S669" s="156"/>
      <c r="T669" s="156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spans="1:4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56"/>
      <c r="O670" s="156"/>
      <c r="P670" s="156"/>
      <c r="Q670" s="156"/>
      <c r="R670" s="156"/>
      <c r="S670" s="156"/>
      <c r="T670" s="156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spans="1:4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56"/>
      <c r="O671" s="156"/>
      <c r="P671" s="156"/>
      <c r="Q671" s="156"/>
      <c r="R671" s="156"/>
      <c r="S671" s="156"/>
      <c r="T671" s="156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spans="1:4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56"/>
      <c r="O672" s="156"/>
      <c r="P672" s="156"/>
      <c r="Q672" s="156"/>
      <c r="R672" s="156"/>
      <c r="S672" s="156"/>
      <c r="T672" s="156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spans="1:4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56"/>
      <c r="O673" s="156"/>
      <c r="P673" s="156"/>
      <c r="Q673" s="156"/>
      <c r="R673" s="156"/>
      <c r="S673" s="156"/>
      <c r="T673" s="156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spans="1:4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56"/>
      <c r="O674" s="156"/>
      <c r="P674" s="156"/>
      <c r="Q674" s="156"/>
      <c r="R674" s="156"/>
      <c r="S674" s="156"/>
      <c r="T674" s="156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spans="1:4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56"/>
      <c r="O675" s="156"/>
      <c r="P675" s="156"/>
      <c r="Q675" s="156"/>
      <c r="R675" s="156"/>
      <c r="S675" s="156"/>
      <c r="T675" s="156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spans="1:4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56"/>
      <c r="O676" s="156"/>
      <c r="P676" s="156"/>
      <c r="Q676" s="156"/>
      <c r="R676" s="156"/>
      <c r="S676" s="156"/>
      <c r="T676" s="156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spans="1:4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56"/>
      <c r="O677" s="156"/>
      <c r="P677" s="156"/>
      <c r="Q677" s="156"/>
      <c r="R677" s="156"/>
      <c r="S677" s="156"/>
      <c r="T677" s="156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spans="1:4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56"/>
      <c r="O678" s="156"/>
      <c r="P678" s="156"/>
      <c r="Q678" s="156"/>
      <c r="R678" s="156"/>
      <c r="S678" s="156"/>
      <c r="T678" s="156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spans="1:4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56"/>
      <c r="O679" s="156"/>
      <c r="P679" s="156"/>
      <c r="Q679" s="156"/>
      <c r="R679" s="156"/>
      <c r="S679" s="156"/>
      <c r="T679" s="156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spans="1:4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56"/>
      <c r="O680" s="156"/>
      <c r="P680" s="156"/>
      <c r="Q680" s="156"/>
      <c r="R680" s="156"/>
      <c r="S680" s="156"/>
      <c r="T680" s="156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spans="1:4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56"/>
      <c r="O681" s="156"/>
      <c r="P681" s="156"/>
      <c r="Q681" s="156"/>
      <c r="R681" s="156"/>
      <c r="S681" s="156"/>
      <c r="T681" s="156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spans="1:4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56"/>
      <c r="O682" s="156"/>
      <c r="P682" s="156"/>
      <c r="Q682" s="156"/>
      <c r="R682" s="156"/>
      <c r="S682" s="156"/>
      <c r="T682" s="156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spans="1:4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56"/>
      <c r="O683" s="156"/>
      <c r="P683" s="156"/>
      <c r="Q683" s="156"/>
      <c r="R683" s="156"/>
      <c r="S683" s="156"/>
      <c r="T683" s="156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spans="1:4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56"/>
      <c r="O684" s="156"/>
      <c r="P684" s="156"/>
      <c r="Q684" s="156"/>
      <c r="R684" s="156"/>
      <c r="S684" s="156"/>
      <c r="T684" s="156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spans="1:4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56"/>
      <c r="O685" s="156"/>
      <c r="P685" s="156"/>
      <c r="Q685" s="156"/>
      <c r="R685" s="156"/>
      <c r="S685" s="156"/>
      <c r="T685" s="156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spans="1:4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56"/>
      <c r="O686" s="156"/>
      <c r="P686" s="156"/>
      <c r="Q686" s="156"/>
      <c r="R686" s="156"/>
      <c r="S686" s="156"/>
      <c r="T686" s="156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spans="1:4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56"/>
      <c r="O687" s="156"/>
      <c r="P687" s="156"/>
      <c r="Q687" s="156"/>
      <c r="R687" s="156"/>
      <c r="S687" s="156"/>
      <c r="T687" s="156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spans="1:4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56"/>
      <c r="O688" s="156"/>
      <c r="P688" s="156"/>
      <c r="Q688" s="156"/>
      <c r="R688" s="156"/>
      <c r="S688" s="156"/>
      <c r="T688" s="156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spans="1:4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56"/>
      <c r="O689" s="156"/>
      <c r="P689" s="156"/>
      <c r="Q689" s="156"/>
      <c r="R689" s="156"/>
      <c r="S689" s="156"/>
      <c r="T689" s="156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spans="1:4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56"/>
      <c r="O690" s="156"/>
      <c r="P690" s="156"/>
      <c r="Q690" s="156"/>
      <c r="R690" s="156"/>
      <c r="S690" s="156"/>
      <c r="T690" s="156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spans="1:4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56"/>
      <c r="O691" s="156"/>
      <c r="P691" s="156"/>
      <c r="Q691" s="156"/>
      <c r="R691" s="156"/>
      <c r="S691" s="156"/>
      <c r="T691" s="156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spans="1:4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56"/>
      <c r="O692" s="156"/>
      <c r="P692" s="156"/>
      <c r="Q692" s="156"/>
      <c r="R692" s="156"/>
      <c r="S692" s="156"/>
      <c r="T692" s="156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spans="1:4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56"/>
      <c r="O693" s="156"/>
      <c r="P693" s="156"/>
      <c r="Q693" s="156"/>
      <c r="R693" s="156"/>
      <c r="S693" s="156"/>
      <c r="T693" s="156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spans="1:4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56"/>
      <c r="O694" s="156"/>
      <c r="P694" s="156"/>
      <c r="Q694" s="156"/>
      <c r="R694" s="156"/>
      <c r="S694" s="156"/>
      <c r="T694" s="156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spans="1:4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56"/>
      <c r="O695" s="156"/>
      <c r="P695" s="156"/>
      <c r="Q695" s="156"/>
      <c r="R695" s="156"/>
      <c r="S695" s="156"/>
      <c r="T695" s="156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spans="1:4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56"/>
      <c r="O696" s="156"/>
      <c r="P696" s="156"/>
      <c r="Q696" s="156"/>
      <c r="R696" s="156"/>
      <c r="S696" s="156"/>
      <c r="T696" s="156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spans="1:4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56"/>
      <c r="O697" s="156"/>
      <c r="P697" s="156"/>
      <c r="Q697" s="156"/>
      <c r="R697" s="156"/>
      <c r="S697" s="156"/>
      <c r="T697" s="156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spans="1:4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56"/>
      <c r="O698" s="156"/>
      <c r="P698" s="156"/>
      <c r="Q698" s="156"/>
      <c r="R698" s="156"/>
      <c r="S698" s="156"/>
      <c r="T698" s="156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spans="1:4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56"/>
      <c r="O699" s="156"/>
      <c r="P699" s="156"/>
      <c r="Q699" s="156"/>
      <c r="R699" s="156"/>
      <c r="S699" s="156"/>
      <c r="T699" s="156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spans="1:4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56"/>
      <c r="O700" s="156"/>
      <c r="P700" s="156"/>
      <c r="Q700" s="156"/>
      <c r="R700" s="156"/>
      <c r="S700" s="156"/>
      <c r="T700" s="156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spans="1:4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56"/>
      <c r="O701" s="156"/>
      <c r="P701" s="156"/>
      <c r="Q701" s="156"/>
      <c r="R701" s="156"/>
      <c r="S701" s="156"/>
      <c r="T701" s="156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spans="1:4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56"/>
      <c r="O702" s="156"/>
      <c r="P702" s="156"/>
      <c r="Q702" s="156"/>
      <c r="R702" s="156"/>
      <c r="S702" s="156"/>
      <c r="T702" s="156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spans="1:4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56"/>
      <c r="O703" s="156"/>
      <c r="P703" s="156"/>
      <c r="Q703" s="156"/>
      <c r="R703" s="156"/>
      <c r="S703" s="156"/>
      <c r="T703" s="156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spans="1:4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56"/>
      <c r="O704" s="156"/>
      <c r="P704" s="156"/>
      <c r="Q704" s="156"/>
      <c r="R704" s="156"/>
      <c r="S704" s="156"/>
      <c r="T704" s="156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spans="1:4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56"/>
      <c r="O705" s="156"/>
      <c r="P705" s="156"/>
      <c r="Q705" s="156"/>
      <c r="R705" s="156"/>
      <c r="S705" s="156"/>
      <c r="T705" s="156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spans="1:4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56"/>
      <c r="O706" s="156"/>
      <c r="P706" s="156"/>
      <c r="Q706" s="156"/>
      <c r="R706" s="156"/>
      <c r="S706" s="156"/>
      <c r="T706" s="156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spans="1:4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56"/>
      <c r="O707" s="156"/>
      <c r="P707" s="156"/>
      <c r="Q707" s="156"/>
      <c r="R707" s="156"/>
      <c r="S707" s="156"/>
      <c r="T707" s="156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spans="1:4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56"/>
      <c r="O708" s="156"/>
      <c r="P708" s="156"/>
      <c r="Q708" s="156"/>
      <c r="R708" s="156"/>
      <c r="S708" s="156"/>
      <c r="T708" s="156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spans="1:4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56"/>
      <c r="O709" s="156"/>
      <c r="P709" s="156"/>
      <c r="Q709" s="156"/>
      <c r="R709" s="156"/>
      <c r="S709" s="156"/>
      <c r="T709" s="156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spans="1:4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56"/>
      <c r="O710" s="156"/>
      <c r="P710" s="156"/>
      <c r="Q710" s="156"/>
      <c r="R710" s="156"/>
      <c r="S710" s="156"/>
      <c r="T710" s="156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spans="1:4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56"/>
      <c r="O711" s="156"/>
      <c r="P711" s="156"/>
      <c r="Q711" s="156"/>
      <c r="R711" s="156"/>
      <c r="S711" s="156"/>
      <c r="T711" s="156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spans="1:4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56"/>
      <c r="O712" s="156"/>
      <c r="P712" s="156"/>
      <c r="Q712" s="156"/>
      <c r="R712" s="156"/>
      <c r="S712" s="156"/>
      <c r="T712" s="156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spans="1:4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56"/>
      <c r="O713" s="156"/>
      <c r="P713" s="156"/>
      <c r="Q713" s="156"/>
      <c r="R713" s="156"/>
      <c r="S713" s="156"/>
      <c r="T713" s="156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spans="1:4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56"/>
      <c r="O714" s="156"/>
      <c r="P714" s="156"/>
      <c r="Q714" s="156"/>
      <c r="R714" s="156"/>
      <c r="S714" s="156"/>
      <c r="T714" s="156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spans="1:4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56"/>
      <c r="O715" s="156"/>
      <c r="P715" s="156"/>
      <c r="Q715" s="156"/>
      <c r="R715" s="156"/>
      <c r="S715" s="156"/>
      <c r="T715" s="156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spans="1:4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56"/>
      <c r="O716" s="156"/>
      <c r="P716" s="156"/>
      <c r="Q716" s="156"/>
      <c r="R716" s="156"/>
      <c r="S716" s="156"/>
      <c r="T716" s="156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spans="1:4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56"/>
      <c r="O717" s="156"/>
      <c r="P717" s="156"/>
      <c r="Q717" s="156"/>
      <c r="R717" s="156"/>
      <c r="S717" s="156"/>
      <c r="T717" s="156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spans="1:4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56"/>
      <c r="O718" s="156"/>
      <c r="P718" s="156"/>
      <c r="Q718" s="156"/>
      <c r="R718" s="156"/>
      <c r="S718" s="156"/>
      <c r="T718" s="156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spans="1:4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56"/>
      <c r="O719" s="156"/>
      <c r="P719" s="156"/>
      <c r="Q719" s="156"/>
      <c r="R719" s="156"/>
      <c r="S719" s="156"/>
      <c r="T719" s="156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spans="1:4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56"/>
      <c r="O720" s="156"/>
      <c r="P720" s="156"/>
      <c r="Q720" s="156"/>
      <c r="R720" s="156"/>
      <c r="S720" s="156"/>
      <c r="T720" s="156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spans="1:4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56"/>
      <c r="O721" s="156"/>
      <c r="P721" s="156"/>
      <c r="Q721" s="156"/>
      <c r="R721" s="156"/>
      <c r="S721" s="156"/>
      <c r="T721" s="156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spans="1:4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56"/>
      <c r="O722" s="156"/>
      <c r="P722" s="156"/>
      <c r="Q722" s="156"/>
      <c r="R722" s="156"/>
      <c r="S722" s="156"/>
      <c r="T722" s="156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spans="1:4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56"/>
      <c r="O723" s="156"/>
      <c r="P723" s="156"/>
      <c r="Q723" s="156"/>
      <c r="R723" s="156"/>
      <c r="S723" s="156"/>
      <c r="T723" s="156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spans="1:4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56"/>
      <c r="O724" s="156"/>
      <c r="P724" s="156"/>
      <c r="Q724" s="156"/>
      <c r="R724" s="156"/>
      <c r="S724" s="156"/>
      <c r="T724" s="156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spans="1:4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56"/>
      <c r="O725" s="156"/>
      <c r="P725" s="156"/>
      <c r="Q725" s="156"/>
      <c r="R725" s="156"/>
      <c r="S725" s="156"/>
      <c r="T725" s="156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spans="1:4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56"/>
      <c r="O726" s="156"/>
      <c r="P726" s="156"/>
      <c r="Q726" s="156"/>
      <c r="R726" s="156"/>
      <c r="S726" s="156"/>
      <c r="T726" s="156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spans="1:4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56"/>
      <c r="O727" s="156"/>
      <c r="P727" s="156"/>
      <c r="Q727" s="156"/>
      <c r="R727" s="156"/>
      <c r="S727" s="156"/>
      <c r="T727" s="156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spans="1:4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56"/>
      <c r="O728" s="156"/>
      <c r="P728" s="156"/>
      <c r="Q728" s="156"/>
      <c r="R728" s="156"/>
      <c r="S728" s="156"/>
      <c r="T728" s="156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spans="1:4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56"/>
      <c r="O729" s="156"/>
      <c r="P729" s="156"/>
      <c r="Q729" s="156"/>
      <c r="R729" s="156"/>
      <c r="S729" s="156"/>
      <c r="T729" s="156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spans="1:4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56"/>
      <c r="O730" s="156"/>
      <c r="P730" s="156"/>
      <c r="Q730" s="156"/>
      <c r="R730" s="156"/>
      <c r="S730" s="156"/>
      <c r="T730" s="156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spans="1:4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56"/>
      <c r="O731" s="156"/>
      <c r="P731" s="156"/>
      <c r="Q731" s="156"/>
      <c r="R731" s="156"/>
      <c r="S731" s="156"/>
      <c r="T731" s="156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spans="1:4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56"/>
      <c r="O732" s="156"/>
      <c r="P732" s="156"/>
      <c r="Q732" s="156"/>
      <c r="R732" s="156"/>
      <c r="S732" s="156"/>
      <c r="T732" s="156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spans="1:4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56"/>
      <c r="O733" s="156"/>
      <c r="P733" s="156"/>
      <c r="Q733" s="156"/>
      <c r="R733" s="156"/>
      <c r="S733" s="156"/>
      <c r="T733" s="156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spans="1:4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56"/>
      <c r="O734" s="156"/>
      <c r="P734" s="156"/>
      <c r="Q734" s="156"/>
      <c r="R734" s="156"/>
      <c r="S734" s="156"/>
      <c r="T734" s="156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spans="1:4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56"/>
      <c r="O735" s="156"/>
      <c r="P735" s="156"/>
      <c r="Q735" s="156"/>
      <c r="R735" s="156"/>
      <c r="S735" s="156"/>
      <c r="T735" s="156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spans="1:4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56"/>
      <c r="O736" s="156"/>
      <c r="P736" s="156"/>
      <c r="Q736" s="156"/>
      <c r="R736" s="156"/>
      <c r="S736" s="156"/>
      <c r="T736" s="156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spans="1:4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56"/>
      <c r="O737" s="156"/>
      <c r="P737" s="156"/>
      <c r="Q737" s="156"/>
      <c r="R737" s="156"/>
      <c r="S737" s="156"/>
      <c r="T737" s="156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spans="1:4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56"/>
      <c r="O738" s="156"/>
      <c r="P738" s="156"/>
      <c r="Q738" s="156"/>
      <c r="R738" s="156"/>
      <c r="S738" s="156"/>
      <c r="T738" s="156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spans="1:4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56"/>
      <c r="O739" s="156"/>
      <c r="P739" s="156"/>
      <c r="Q739" s="156"/>
      <c r="R739" s="156"/>
      <c r="S739" s="156"/>
      <c r="T739" s="156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spans="1:4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56"/>
      <c r="O740" s="156"/>
      <c r="P740" s="156"/>
      <c r="Q740" s="156"/>
      <c r="R740" s="156"/>
      <c r="S740" s="156"/>
      <c r="T740" s="156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spans="1:4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56"/>
      <c r="O741" s="156"/>
      <c r="P741" s="156"/>
      <c r="Q741" s="156"/>
      <c r="R741" s="156"/>
      <c r="S741" s="156"/>
      <c r="T741" s="156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spans="1:4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56"/>
      <c r="O742" s="156"/>
      <c r="P742" s="156"/>
      <c r="Q742" s="156"/>
      <c r="R742" s="156"/>
      <c r="S742" s="156"/>
      <c r="T742" s="156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spans="1:4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56"/>
      <c r="O743" s="156"/>
      <c r="P743" s="156"/>
      <c r="Q743" s="156"/>
      <c r="R743" s="156"/>
      <c r="S743" s="156"/>
      <c r="T743" s="156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spans="1:4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56"/>
      <c r="O744" s="156"/>
      <c r="P744" s="156"/>
      <c r="Q744" s="156"/>
      <c r="R744" s="156"/>
      <c r="S744" s="156"/>
      <c r="T744" s="156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spans="1: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56"/>
      <c r="O745" s="156"/>
      <c r="P745" s="156"/>
      <c r="Q745" s="156"/>
      <c r="R745" s="156"/>
      <c r="S745" s="156"/>
      <c r="T745" s="156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spans="1:4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56"/>
      <c r="O746" s="156"/>
      <c r="P746" s="156"/>
      <c r="Q746" s="156"/>
      <c r="R746" s="156"/>
      <c r="S746" s="156"/>
      <c r="T746" s="156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spans="1:4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56"/>
      <c r="O747" s="156"/>
      <c r="P747" s="156"/>
      <c r="Q747" s="156"/>
      <c r="R747" s="156"/>
      <c r="S747" s="156"/>
      <c r="T747" s="156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spans="1:4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56"/>
      <c r="O748" s="156"/>
      <c r="P748" s="156"/>
      <c r="Q748" s="156"/>
      <c r="R748" s="156"/>
      <c r="S748" s="156"/>
      <c r="T748" s="156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spans="1:4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56"/>
      <c r="O749" s="156"/>
      <c r="P749" s="156"/>
      <c r="Q749" s="156"/>
      <c r="R749" s="156"/>
      <c r="S749" s="156"/>
      <c r="T749" s="156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spans="1:4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56"/>
      <c r="O750" s="156"/>
      <c r="P750" s="156"/>
      <c r="Q750" s="156"/>
      <c r="R750" s="156"/>
      <c r="S750" s="156"/>
      <c r="T750" s="156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spans="1:4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56"/>
      <c r="O751" s="156"/>
      <c r="P751" s="156"/>
      <c r="Q751" s="156"/>
      <c r="R751" s="156"/>
      <c r="S751" s="156"/>
      <c r="T751" s="156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4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56"/>
      <c r="O752" s="156"/>
      <c r="P752" s="156"/>
      <c r="Q752" s="156"/>
      <c r="R752" s="156"/>
      <c r="S752" s="156"/>
      <c r="T752" s="156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spans="1:4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56"/>
      <c r="O753" s="156"/>
      <c r="P753" s="156"/>
      <c r="Q753" s="156"/>
      <c r="R753" s="156"/>
      <c r="S753" s="156"/>
      <c r="T753" s="156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spans="1:4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56"/>
      <c r="O754" s="156"/>
      <c r="P754" s="156"/>
      <c r="Q754" s="156"/>
      <c r="R754" s="156"/>
      <c r="S754" s="156"/>
      <c r="T754" s="156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spans="1:4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56"/>
      <c r="O755" s="156"/>
      <c r="P755" s="156"/>
      <c r="Q755" s="156"/>
      <c r="R755" s="156"/>
      <c r="S755" s="156"/>
      <c r="T755" s="156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spans="1:4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56"/>
      <c r="O756" s="156"/>
      <c r="P756" s="156"/>
      <c r="Q756" s="156"/>
      <c r="R756" s="156"/>
      <c r="S756" s="156"/>
      <c r="T756" s="156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spans="1:4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56"/>
      <c r="O757" s="156"/>
      <c r="P757" s="156"/>
      <c r="Q757" s="156"/>
      <c r="R757" s="156"/>
      <c r="S757" s="156"/>
      <c r="T757" s="156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spans="1:4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56"/>
      <c r="O758" s="156"/>
      <c r="P758" s="156"/>
      <c r="Q758" s="156"/>
      <c r="R758" s="156"/>
      <c r="S758" s="156"/>
      <c r="T758" s="156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spans="1:4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56"/>
      <c r="O759" s="156"/>
      <c r="P759" s="156"/>
      <c r="Q759" s="156"/>
      <c r="R759" s="156"/>
      <c r="S759" s="156"/>
      <c r="T759" s="156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spans="1:4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56"/>
      <c r="O760" s="156"/>
      <c r="P760" s="156"/>
      <c r="Q760" s="156"/>
      <c r="R760" s="156"/>
      <c r="S760" s="156"/>
      <c r="T760" s="156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spans="1:4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56"/>
      <c r="O761" s="156"/>
      <c r="P761" s="156"/>
      <c r="Q761" s="156"/>
      <c r="R761" s="156"/>
      <c r="S761" s="156"/>
      <c r="T761" s="156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spans="1:4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56"/>
      <c r="O762" s="156"/>
      <c r="P762" s="156"/>
      <c r="Q762" s="156"/>
      <c r="R762" s="156"/>
      <c r="S762" s="156"/>
      <c r="T762" s="156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spans="1:4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56"/>
      <c r="O763" s="156"/>
      <c r="P763" s="156"/>
      <c r="Q763" s="156"/>
      <c r="R763" s="156"/>
      <c r="S763" s="156"/>
      <c r="T763" s="156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spans="1:4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56"/>
      <c r="O764" s="156"/>
      <c r="P764" s="156"/>
      <c r="Q764" s="156"/>
      <c r="R764" s="156"/>
      <c r="S764" s="156"/>
      <c r="T764" s="156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spans="1:4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56"/>
      <c r="O765" s="156"/>
      <c r="P765" s="156"/>
      <c r="Q765" s="156"/>
      <c r="R765" s="156"/>
      <c r="S765" s="156"/>
      <c r="T765" s="156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spans="1:4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56"/>
      <c r="O766" s="156"/>
      <c r="P766" s="156"/>
      <c r="Q766" s="156"/>
      <c r="R766" s="156"/>
      <c r="S766" s="156"/>
      <c r="T766" s="156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spans="1:4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56"/>
      <c r="O767" s="156"/>
      <c r="P767" s="156"/>
      <c r="Q767" s="156"/>
      <c r="R767" s="156"/>
      <c r="S767" s="156"/>
      <c r="T767" s="156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spans="1:4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56"/>
      <c r="O768" s="156"/>
      <c r="P768" s="156"/>
      <c r="Q768" s="156"/>
      <c r="R768" s="156"/>
      <c r="S768" s="156"/>
      <c r="T768" s="156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spans="1:4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56"/>
      <c r="O769" s="156"/>
      <c r="P769" s="156"/>
      <c r="Q769" s="156"/>
      <c r="R769" s="156"/>
      <c r="S769" s="156"/>
      <c r="T769" s="156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spans="1:4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56"/>
      <c r="O770" s="156"/>
      <c r="P770" s="156"/>
      <c r="Q770" s="156"/>
      <c r="R770" s="156"/>
      <c r="S770" s="156"/>
      <c r="T770" s="156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spans="1:4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56"/>
      <c r="O771" s="156"/>
      <c r="P771" s="156"/>
      <c r="Q771" s="156"/>
      <c r="R771" s="156"/>
      <c r="S771" s="156"/>
      <c r="T771" s="156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spans="1:4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56"/>
      <c r="O772" s="156"/>
      <c r="P772" s="156"/>
      <c r="Q772" s="156"/>
      <c r="R772" s="156"/>
      <c r="S772" s="156"/>
      <c r="T772" s="156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spans="1:4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56"/>
      <c r="O773" s="156"/>
      <c r="P773" s="156"/>
      <c r="Q773" s="156"/>
      <c r="R773" s="156"/>
      <c r="S773" s="156"/>
      <c r="T773" s="156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spans="1:4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56"/>
      <c r="O774" s="156"/>
      <c r="P774" s="156"/>
      <c r="Q774" s="156"/>
      <c r="R774" s="156"/>
      <c r="S774" s="156"/>
      <c r="T774" s="156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spans="1:4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56"/>
      <c r="O775" s="156"/>
      <c r="P775" s="156"/>
      <c r="Q775" s="156"/>
      <c r="R775" s="156"/>
      <c r="S775" s="156"/>
      <c r="T775" s="156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spans="1:4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56"/>
      <c r="O776" s="156"/>
      <c r="P776" s="156"/>
      <c r="Q776" s="156"/>
      <c r="R776" s="156"/>
      <c r="S776" s="156"/>
      <c r="T776" s="156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spans="1:4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56"/>
      <c r="O777" s="156"/>
      <c r="P777" s="156"/>
      <c r="Q777" s="156"/>
      <c r="R777" s="156"/>
      <c r="S777" s="156"/>
      <c r="T777" s="156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spans="1:4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56"/>
      <c r="O778" s="156"/>
      <c r="P778" s="156"/>
      <c r="Q778" s="156"/>
      <c r="R778" s="156"/>
      <c r="S778" s="156"/>
      <c r="T778" s="156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spans="1:4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56"/>
      <c r="O779" s="156"/>
      <c r="P779" s="156"/>
      <c r="Q779" s="156"/>
      <c r="R779" s="156"/>
      <c r="S779" s="156"/>
      <c r="T779" s="156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spans="1:4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56"/>
      <c r="O780" s="156"/>
      <c r="P780" s="156"/>
      <c r="Q780" s="156"/>
      <c r="R780" s="156"/>
      <c r="S780" s="156"/>
      <c r="T780" s="156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spans="1:4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56"/>
      <c r="O781" s="156"/>
      <c r="P781" s="156"/>
      <c r="Q781" s="156"/>
      <c r="R781" s="156"/>
      <c r="S781" s="156"/>
      <c r="T781" s="156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spans="1:4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56"/>
      <c r="O782" s="156"/>
      <c r="P782" s="156"/>
      <c r="Q782" s="156"/>
      <c r="R782" s="156"/>
      <c r="S782" s="156"/>
      <c r="T782" s="156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spans="1:4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56"/>
      <c r="O783" s="156"/>
      <c r="P783" s="156"/>
      <c r="Q783" s="156"/>
      <c r="R783" s="156"/>
      <c r="S783" s="156"/>
      <c r="T783" s="156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spans="1:4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56"/>
      <c r="O784" s="156"/>
      <c r="P784" s="156"/>
      <c r="Q784" s="156"/>
      <c r="R784" s="156"/>
      <c r="S784" s="156"/>
      <c r="T784" s="156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spans="1:4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56"/>
      <c r="O785" s="156"/>
      <c r="P785" s="156"/>
      <c r="Q785" s="156"/>
      <c r="R785" s="156"/>
      <c r="S785" s="156"/>
      <c r="T785" s="156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spans="1:4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56"/>
      <c r="O786" s="156"/>
      <c r="P786" s="156"/>
      <c r="Q786" s="156"/>
      <c r="R786" s="156"/>
      <c r="S786" s="156"/>
      <c r="T786" s="156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spans="1:4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56"/>
      <c r="O787" s="156"/>
      <c r="P787" s="156"/>
      <c r="Q787" s="156"/>
      <c r="R787" s="156"/>
      <c r="S787" s="156"/>
      <c r="T787" s="156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spans="1:4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56"/>
      <c r="O788" s="156"/>
      <c r="P788" s="156"/>
      <c r="Q788" s="156"/>
      <c r="R788" s="156"/>
      <c r="S788" s="156"/>
      <c r="T788" s="156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spans="1:4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56"/>
      <c r="O789" s="156"/>
      <c r="P789" s="156"/>
      <c r="Q789" s="156"/>
      <c r="R789" s="156"/>
      <c r="S789" s="156"/>
      <c r="T789" s="156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spans="1:4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56"/>
      <c r="O790" s="156"/>
      <c r="P790" s="156"/>
      <c r="Q790" s="156"/>
      <c r="R790" s="156"/>
      <c r="S790" s="156"/>
      <c r="T790" s="156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spans="1:4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56"/>
      <c r="O791" s="156"/>
      <c r="P791" s="156"/>
      <c r="Q791" s="156"/>
      <c r="R791" s="156"/>
      <c r="S791" s="156"/>
      <c r="T791" s="156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spans="1:4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56"/>
      <c r="O792" s="156"/>
      <c r="P792" s="156"/>
      <c r="Q792" s="156"/>
      <c r="R792" s="156"/>
      <c r="S792" s="156"/>
      <c r="T792" s="156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spans="1:4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56"/>
      <c r="O793" s="156"/>
      <c r="P793" s="156"/>
      <c r="Q793" s="156"/>
      <c r="R793" s="156"/>
      <c r="S793" s="156"/>
      <c r="T793" s="156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spans="1:4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56"/>
      <c r="O794" s="156"/>
      <c r="P794" s="156"/>
      <c r="Q794" s="156"/>
      <c r="R794" s="156"/>
      <c r="S794" s="156"/>
      <c r="T794" s="156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spans="1:4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56"/>
      <c r="O795" s="156"/>
      <c r="P795" s="156"/>
      <c r="Q795" s="156"/>
      <c r="R795" s="156"/>
      <c r="S795" s="156"/>
      <c r="T795" s="156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spans="1:4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56"/>
      <c r="O796" s="156"/>
      <c r="P796" s="156"/>
      <c r="Q796" s="156"/>
      <c r="R796" s="156"/>
      <c r="S796" s="156"/>
      <c r="T796" s="156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spans="1:4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56"/>
      <c r="O797" s="156"/>
      <c r="P797" s="156"/>
      <c r="Q797" s="156"/>
      <c r="R797" s="156"/>
      <c r="S797" s="156"/>
      <c r="T797" s="156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spans="1:4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56"/>
      <c r="O798" s="156"/>
      <c r="P798" s="156"/>
      <c r="Q798" s="156"/>
      <c r="R798" s="156"/>
      <c r="S798" s="156"/>
      <c r="T798" s="156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spans="1:4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56"/>
      <c r="O799" s="156"/>
      <c r="P799" s="156"/>
      <c r="Q799" s="156"/>
      <c r="R799" s="156"/>
      <c r="S799" s="156"/>
      <c r="T799" s="156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spans="1:4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56"/>
      <c r="O800" s="156"/>
      <c r="P800" s="156"/>
      <c r="Q800" s="156"/>
      <c r="R800" s="156"/>
      <c r="S800" s="156"/>
      <c r="T800" s="156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spans="1:4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56"/>
      <c r="O801" s="156"/>
      <c r="P801" s="156"/>
      <c r="Q801" s="156"/>
      <c r="R801" s="156"/>
      <c r="S801" s="156"/>
      <c r="T801" s="156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spans="1:4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56"/>
      <c r="O802" s="156"/>
      <c r="P802" s="156"/>
      <c r="Q802" s="156"/>
      <c r="R802" s="156"/>
      <c r="S802" s="156"/>
      <c r="T802" s="156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spans="1:4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56"/>
      <c r="O803" s="156"/>
      <c r="P803" s="156"/>
      <c r="Q803" s="156"/>
      <c r="R803" s="156"/>
      <c r="S803" s="156"/>
      <c r="T803" s="156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spans="1:4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56"/>
      <c r="O804" s="156"/>
      <c r="P804" s="156"/>
      <c r="Q804" s="156"/>
      <c r="R804" s="156"/>
      <c r="S804" s="156"/>
      <c r="T804" s="156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spans="1:4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56"/>
      <c r="O805" s="156"/>
      <c r="P805" s="156"/>
      <c r="Q805" s="156"/>
      <c r="R805" s="156"/>
      <c r="S805" s="156"/>
      <c r="T805" s="156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spans="1:4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56"/>
      <c r="O806" s="156"/>
      <c r="P806" s="156"/>
      <c r="Q806" s="156"/>
      <c r="R806" s="156"/>
      <c r="S806" s="156"/>
      <c r="T806" s="156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spans="1:4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56"/>
      <c r="O807" s="156"/>
      <c r="P807" s="156"/>
      <c r="Q807" s="156"/>
      <c r="R807" s="156"/>
      <c r="S807" s="156"/>
      <c r="T807" s="156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spans="1:4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56"/>
      <c r="O808" s="156"/>
      <c r="P808" s="156"/>
      <c r="Q808" s="156"/>
      <c r="R808" s="156"/>
      <c r="S808" s="156"/>
      <c r="T808" s="156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spans="1:4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56"/>
      <c r="O809" s="156"/>
      <c r="P809" s="156"/>
      <c r="Q809" s="156"/>
      <c r="R809" s="156"/>
      <c r="S809" s="156"/>
      <c r="T809" s="156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spans="1:4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56"/>
      <c r="O810" s="156"/>
      <c r="P810" s="156"/>
      <c r="Q810" s="156"/>
      <c r="R810" s="156"/>
      <c r="S810" s="156"/>
      <c r="T810" s="156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spans="1:4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56"/>
      <c r="O811" s="156"/>
      <c r="P811" s="156"/>
      <c r="Q811" s="156"/>
      <c r="R811" s="156"/>
      <c r="S811" s="156"/>
      <c r="T811" s="156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4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56"/>
      <c r="O812" s="156"/>
      <c r="P812" s="156"/>
      <c r="Q812" s="156"/>
      <c r="R812" s="156"/>
      <c r="S812" s="156"/>
      <c r="T812" s="156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spans="1:4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56"/>
      <c r="O813" s="156"/>
      <c r="P813" s="156"/>
      <c r="Q813" s="156"/>
      <c r="R813" s="156"/>
      <c r="S813" s="156"/>
      <c r="T813" s="156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spans="1:4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56"/>
      <c r="O814" s="156"/>
      <c r="P814" s="156"/>
      <c r="Q814" s="156"/>
      <c r="R814" s="156"/>
      <c r="S814" s="156"/>
      <c r="T814" s="156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spans="1:4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56"/>
      <c r="O815" s="156"/>
      <c r="P815" s="156"/>
      <c r="Q815" s="156"/>
      <c r="R815" s="156"/>
      <c r="S815" s="156"/>
      <c r="T815" s="156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spans="1:4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56"/>
      <c r="O816" s="156"/>
      <c r="P816" s="156"/>
      <c r="Q816" s="156"/>
      <c r="R816" s="156"/>
      <c r="S816" s="156"/>
      <c r="T816" s="156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spans="1:4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56"/>
      <c r="O817" s="156"/>
      <c r="P817" s="156"/>
      <c r="Q817" s="156"/>
      <c r="R817" s="156"/>
      <c r="S817" s="156"/>
      <c r="T817" s="156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spans="1:4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56"/>
      <c r="O818" s="156"/>
      <c r="P818" s="156"/>
      <c r="Q818" s="156"/>
      <c r="R818" s="156"/>
      <c r="S818" s="156"/>
      <c r="T818" s="156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spans="1:4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56"/>
      <c r="O819" s="156"/>
      <c r="P819" s="156"/>
      <c r="Q819" s="156"/>
      <c r="R819" s="156"/>
      <c r="S819" s="156"/>
      <c r="T819" s="156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spans="1:4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56"/>
      <c r="O820" s="156"/>
      <c r="P820" s="156"/>
      <c r="Q820" s="156"/>
      <c r="R820" s="156"/>
      <c r="S820" s="156"/>
      <c r="T820" s="156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spans="1:4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56"/>
      <c r="O821" s="156"/>
      <c r="P821" s="156"/>
      <c r="Q821" s="156"/>
      <c r="R821" s="156"/>
      <c r="S821" s="156"/>
      <c r="T821" s="156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spans="1:4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56"/>
      <c r="O822" s="156"/>
      <c r="P822" s="156"/>
      <c r="Q822" s="156"/>
      <c r="R822" s="156"/>
      <c r="S822" s="156"/>
      <c r="T822" s="156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spans="1:4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56"/>
      <c r="O823" s="156"/>
      <c r="P823" s="156"/>
      <c r="Q823" s="156"/>
      <c r="R823" s="156"/>
      <c r="S823" s="156"/>
      <c r="T823" s="156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spans="1:4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56"/>
      <c r="O824" s="156"/>
      <c r="P824" s="156"/>
      <c r="Q824" s="156"/>
      <c r="R824" s="156"/>
      <c r="S824" s="156"/>
      <c r="T824" s="156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spans="1:4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56"/>
      <c r="O825" s="156"/>
      <c r="P825" s="156"/>
      <c r="Q825" s="156"/>
      <c r="R825" s="156"/>
      <c r="S825" s="156"/>
      <c r="T825" s="156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spans="1:4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56"/>
      <c r="O826" s="156"/>
      <c r="P826" s="156"/>
      <c r="Q826" s="156"/>
      <c r="R826" s="156"/>
      <c r="S826" s="156"/>
      <c r="T826" s="156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spans="1:4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56"/>
      <c r="O827" s="156"/>
      <c r="P827" s="156"/>
      <c r="Q827" s="156"/>
      <c r="R827" s="156"/>
      <c r="S827" s="156"/>
      <c r="T827" s="156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spans="1:4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56"/>
      <c r="O828" s="156"/>
      <c r="P828" s="156"/>
      <c r="Q828" s="156"/>
      <c r="R828" s="156"/>
      <c r="S828" s="156"/>
      <c r="T828" s="156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spans="1:4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56"/>
      <c r="O829" s="156"/>
      <c r="P829" s="156"/>
      <c r="Q829" s="156"/>
      <c r="R829" s="156"/>
      <c r="S829" s="156"/>
      <c r="T829" s="156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spans="1:4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56"/>
      <c r="O830" s="156"/>
      <c r="P830" s="156"/>
      <c r="Q830" s="156"/>
      <c r="R830" s="156"/>
      <c r="S830" s="156"/>
      <c r="T830" s="156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spans="1:4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56"/>
      <c r="O831" s="156"/>
      <c r="P831" s="156"/>
      <c r="Q831" s="156"/>
      <c r="R831" s="156"/>
      <c r="S831" s="156"/>
      <c r="T831" s="156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spans="1:4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56"/>
      <c r="O832" s="156"/>
      <c r="P832" s="156"/>
      <c r="Q832" s="156"/>
      <c r="R832" s="156"/>
      <c r="S832" s="156"/>
      <c r="T832" s="156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spans="1:4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56"/>
      <c r="O833" s="156"/>
      <c r="P833" s="156"/>
      <c r="Q833" s="156"/>
      <c r="R833" s="156"/>
      <c r="S833" s="156"/>
      <c r="T833" s="156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spans="1:4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56"/>
      <c r="O834" s="156"/>
      <c r="P834" s="156"/>
      <c r="Q834" s="156"/>
      <c r="R834" s="156"/>
      <c r="S834" s="156"/>
      <c r="T834" s="156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spans="1:4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56"/>
      <c r="O835" s="156"/>
      <c r="P835" s="156"/>
      <c r="Q835" s="156"/>
      <c r="R835" s="156"/>
      <c r="S835" s="156"/>
      <c r="T835" s="156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spans="1:4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56"/>
      <c r="O836" s="156"/>
      <c r="P836" s="156"/>
      <c r="Q836" s="156"/>
      <c r="R836" s="156"/>
      <c r="S836" s="156"/>
      <c r="T836" s="156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spans="1:4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56"/>
      <c r="O837" s="156"/>
      <c r="P837" s="156"/>
      <c r="Q837" s="156"/>
      <c r="R837" s="156"/>
      <c r="S837" s="156"/>
      <c r="T837" s="156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spans="1:4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56"/>
      <c r="O838" s="156"/>
      <c r="P838" s="156"/>
      <c r="Q838" s="156"/>
      <c r="R838" s="156"/>
      <c r="S838" s="156"/>
      <c r="T838" s="156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spans="1:4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56"/>
      <c r="O839" s="156"/>
      <c r="P839" s="156"/>
      <c r="Q839" s="156"/>
      <c r="R839" s="156"/>
      <c r="S839" s="156"/>
      <c r="T839" s="156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spans="1:4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56"/>
      <c r="O840" s="156"/>
      <c r="P840" s="156"/>
      <c r="Q840" s="156"/>
      <c r="R840" s="156"/>
      <c r="S840" s="156"/>
      <c r="T840" s="156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spans="1:4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56"/>
      <c r="O841" s="156"/>
      <c r="P841" s="156"/>
      <c r="Q841" s="156"/>
      <c r="R841" s="156"/>
      <c r="S841" s="156"/>
      <c r="T841" s="156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spans="1:4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56"/>
      <c r="O842" s="156"/>
      <c r="P842" s="156"/>
      <c r="Q842" s="156"/>
      <c r="R842" s="156"/>
      <c r="S842" s="156"/>
      <c r="T842" s="156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spans="1:4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56"/>
      <c r="O843" s="156"/>
      <c r="P843" s="156"/>
      <c r="Q843" s="156"/>
      <c r="R843" s="156"/>
      <c r="S843" s="156"/>
      <c r="T843" s="156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spans="1:4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56"/>
      <c r="O844" s="156"/>
      <c r="P844" s="156"/>
      <c r="Q844" s="156"/>
      <c r="R844" s="156"/>
      <c r="S844" s="156"/>
      <c r="T844" s="156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spans="1: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56"/>
      <c r="O845" s="156"/>
      <c r="P845" s="156"/>
      <c r="Q845" s="156"/>
      <c r="R845" s="156"/>
      <c r="S845" s="156"/>
      <c r="T845" s="156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spans="1:4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56"/>
      <c r="O846" s="156"/>
      <c r="P846" s="156"/>
      <c r="Q846" s="156"/>
      <c r="R846" s="156"/>
      <c r="S846" s="156"/>
      <c r="T846" s="156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spans="1:4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56"/>
      <c r="O847" s="156"/>
      <c r="P847" s="156"/>
      <c r="Q847" s="156"/>
      <c r="R847" s="156"/>
      <c r="S847" s="156"/>
      <c r="T847" s="156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spans="1:4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56"/>
      <c r="O848" s="156"/>
      <c r="P848" s="156"/>
      <c r="Q848" s="156"/>
      <c r="R848" s="156"/>
      <c r="S848" s="156"/>
      <c r="T848" s="156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spans="1:4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56"/>
      <c r="O849" s="156"/>
      <c r="P849" s="156"/>
      <c r="Q849" s="156"/>
      <c r="R849" s="156"/>
      <c r="S849" s="156"/>
      <c r="T849" s="156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spans="1:4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56"/>
      <c r="O850" s="156"/>
      <c r="P850" s="156"/>
      <c r="Q850" s="156"/>
      <c r="R850" s="156"/>
      <c r="S850" s="156"/>
      <c r="T850" s="156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spans="1:4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56"/>
      <c r="O851" s="156"/>
      <c r="P851" s="156"/>
      <c r="Q851" s="156"/>
      <c r="R851" s="156"/>
      <c r="S851" s="156"/>
      <c r="T851" s="156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spans="1:4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56"/>
      <c r="O852" s="156"/>
      <c r="P852" s="156"/>
      <c r="Q852" s="156"/>
      <c r="R852" s="156"/>
      <c r="S852" s="156"/>
      <c r="T852" s="156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4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56"/>
      <c r="O853" s="156"/>
      <c r="P853" s="156"/>
      <c r="Q853" s="156"/>
      <c r="R853" s="156"/>
      <c r="S853" s="156"/>
      <c r="T853" s="156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spans="1:4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56"/>
      <c r="O854" s="156"/>
      <c r="P854" s="156"/>
      <c r="Q854" s="156"/>
      <c r="R854" s="156"/>
      <c r="S854" s="156"/>
      <c r="T854" s="156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56"/>
      <c r="O855" s="156"/>
      <c r="P855" s="156"/>
      <c r="Q855" s="156"/>
      <c r="R855" s="156"/>
      <c r="S855" s="156"/>
      <c r="T855" s="156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56"/>
      <c r="O856" s="156"/>
      <c r="P856" s="156"/>
      <c r="Q856" s="156"/>
      <c r="R856" s="156"/>
      <c r="S856" s="156"/>
      <c r="T856" s="156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56"/>
      <c r="O857" s="156"/>
      <c r="P857" s="156"/>
      <c r="Q857" s="156"/>
      <c r="R857" s="156"/>
      <c r="S857" s="156"/>
      <c r="T857" s="156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56"/>
      <c r="O858" s="156"/>
      <c r="P858" s="156"/>
      <c r="Q858" s="156"/>
      <c r="R858" s="156"/>
      <c r="S858" s="156"/>
      <c r="T858" s="156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56"/>
      <c r="O859" s="156"/>
      <c r="P859" s="156"/>
      <c r="Q859" s="156"/>
      <c r="R859" s="156"/>
      <c r="S859" s="156"/>
      <c r="T859" s="156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56"/>
      <c r="O860" s="156"/>
      <c r="P860" s="156"/>
      <c r="Q860" s="156"/>
      <c r="R860" s="156"/>
      <c r="S860" s="156"/>
      <c r="T860" s="156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56"/>
      <c r="O861" s="156"/>
      <c r="P861" s="156"/>
      <c r="Q861" s="156"/>
      <c r="R861" s="156"/>
      <c r="S861" s="156"/>
      <c r="T861" s="156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56"/>
      <c r="O862" s="156"/>
      <c r="P862" s="156"/>
      <c r="Q862" s="156"/>
      <c r="R862" s="156"/>
      <c r="S862" s="156"/>
      <c r="T862" s="156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spans="1:4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56"/>
      <c r="O863" s="156"/>
      <c r="P863" s="156"/>
      <c r="Q863" s="156"/>
      <c r="R863" s="156"/>
      <c r="S863" s="156"/>
      <c r="T863" s="156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spans="1:4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56"/>
      <c r="O864" s="156"/>
      <c r="P864" s="156"/>
      <c r="Q864" s="156"/>
      <c r="R864" s="156"/>
      <c r="S864" s="156"/>
      <c r="T864" s="156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spans="1:4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56"/>
      <c r="O865" s="156"/>
      <c r="P865" s="156"/>
      <c r="Q865" s="156"/>
      <c r="R865" s="156"/>
      <c r="S865" s="156"/>
      <c r="T865" s="156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spans="1:4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56"/>
      <c r="O866" s="156"/>
      <c r="P866" s="156"/>
      <c r="Q866" s="156"/>
      <c r="R866" s="156"/>
      <c r="S866" s="156"/>
      <c r="T866" s="156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spans="1:4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56"/>
      <c r="O867" s="156"/>
      <c r="P867" s="156"/>
      <c r="Q867" s="156"/>
      <c r="R867" s="156"/>
      <c r="S867" s="156"/>
      <c r="T867" s="156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spans="1:4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56"/>
      <c r="O868" s="156"/>
      <c r="P868" s="156"/>
      <c r="Q868" s="156"/>
      <c r="R868" s="156"/>
      <c r="S868" s="156"/>
      <c r="T868" s="156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spans="1:4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56"/>
      <c r="O869" s="156"/>
      <c r="P869" s="156"/>
      <c r="Q869" s="156"/>
      <c r="R869" s="156"/>
      <c r="S869" s="156"/>
      <c r="T869" s="156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spans="1:4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56"/>
      <c r="O870" s="156"/>
      <c r="P870" s="156"/>
      <c r="Q870" s="156"/>
      <c r="R870" s="156"/>
      <c r="S870" s="156"/>
      <c r="T870" s="156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spans="1:4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56"/>
      <c r="O871" s="156"/>
      <c r="P871" s="156"/>
      <c r="Q871" s="156"/>
      <c r="R871" s="156"/>
      <c r="S871" s="156"/>
      <c r="T871" s="156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spans="1:4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56"/>
      <c r="O872" s="156"/>
      <c r="P872" s="156"/>
      <c r="Q872" s="156"/>
      <c r="R872" s="156"/>
      <c r="S872" s="156"/>
      <c r="T872" s="156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spans="1:4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56"/>
      <c r="O873" s="156"/>
      <c r="P873" s="156"/>
      <c r="Q873" s="156"/>
      <c r="R873" s="156"/>
      <c r="S873" s="156"/>
      <c r="T873" s="156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spans="1:4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56"/>
      <c r="O874" s="156"/>
      <c r="P874" s="156"/>
      <c r="Q874" s="156"/>
      <c r="R874" s="156"/>
      <c r="S874" s="156"/>
      <c r="T874" s="156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spans="1:4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56"/>
      <c r="O875" s="156"/>
      <c r="P875" s="156"/>
      <c r="Q875" s="156"/>
      <c r="R875" s="156"/>
      <c r="S875" s="156"/>
      <c r="T875" s="156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spans="1:4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56"/>
      <c r="O876" s="156"/>
      <c r="P876" s="156"/>
      <c r="Q876" s="156"/>
      <c r="R876" s="156"/>
      <c r="S876" s="156"/>
      <c r="T876" s="156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spans="1:4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56"/>
      <c r="O877" s="156"/>
      <c r="P877" s="156"/>
      <c r="Q877" s="156"/>
      <c r="R877" s="156"/>
      <c r="S877" s="156"/>
      <c r="T877" s="156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spans="1:4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56"/>
      <c r="O878" s="156"/>
      <c r="P878" s="156"/>
      <c r="Q878" s="156"/>
      <c r="R878" s="156"/>
      <c r="S878" s="156"/>
      <c r="T878" s="156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spans="1:4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56"/>
      <c r="O879" s="156"/>
      <c r="P879" s="156"/>
      <c r="Q879" s="156"/>
      <c r="R879" s="156"/>
      <c r="S879" s="156"/>
      <c r="T879" s="156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spans="1:4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56"/>
      <c r="O880" s="156"/>
      <c r="P880" s="156"/>
      <c r="Q880" s="156"/>
      <c r="R880" s="156"/>
      <c r="S880" s="156"/>
      <c r="T880" s="156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56"/>
      <c r="O881" s="156"/>
      <c r="P881" s="156"/>
      <c r="Q881" s="156"/>
      <c r="R881" s="156"/>
      <c r="S881" s="156"/>
      <c r="T881" s="156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56"/>
      <c r="O882" s="156"/>
      <c r="P882" s="156"/>
      <c r="Q882" s="156"/>
      <c r="R882" s="156"/>
      <c r="S882" s="156"/>
      <c r="T882" s="156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56"/>
      <c r="O883" s="156"/>
      <c r="P883" s="156"/>
      <c r="Q883" s="156"/>
      <c r="R883" s="156"/>
      <c r="S883" s="156"/>
      <c r="T883" s="156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56"/>
      <c r="O884" s="156"/>
      <c r="P884" s="156"/>
      <c r="Q884" s="156"/>
      <c r="R884" s="156"/>
      <c r="S884" s="156"/>
      <c r="T884" s="156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56"/>
      <c r="O885" s="156"/>
      <c r="P885" s="156"/>
      <c r="Q885" s="156"/>
      <c r="R885" s="156"/>
      <c r="S885" s="156"/>
      <c r="T885" s="156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56"/>
      <c r="O886" s="156"/>
      <c r="P886" s="156"/>
      <c r="Q886" s="156"/>
      <c r="R886" s="156"/>
      <c r="S886" s="156"/>
      <c r="T886" s="156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56"/>
      <c r="O887" s="156"/>
      <c r="P887" s="156"/>
      <c r="Q887" s="156"/>
      <c r="R887" s="156"/>
      <c r="S887" s="156"/>
      <c r="T887" s="156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56"/>
      <c r="O888" s="156"/>
      <c r="P888" s="156"/>
      <c r="Q888" s="156"/>
      <c r="R888" s="156"/>
      <c r="S888" s="156"/>
      <c r="T888" s="156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spans="1:4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56"/>
      <c r="O889" s="156"/>
      <c r="P889" s="156"/>
      <c r="Q889" s="156"/>
      <c r="R889" s="156"/>
      <c r="S889" s="156"/>
      <c r="T889" s="156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spans="1:4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56"/>
      <c r="O890" s="156"/>
      <c r="P890" s="156"/>
      <c r="Q890" s="156"/>
      <c r="R890" s="156"/>
      <c r="S890" s="156"/>
      <c r="T890" s="156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spans="1:4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56"/>
      <c r="O891" s="156"/>
      <c r="P891" s="156"/>
      <c r="Q891" s="156"/>
      <c r="R891" s="156"/>
      <c r="S891" s="156"/>
      <c r="T891" s="156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spans="1:4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56"/>
      <c r="O892" s="156"/>
      <c r="P892" s="156"/>
      <c r="Q892" s="156"/>
      <c r="R892" s="156"/>
      <c r="S892" s="156"/>
      <c r="T892" s="156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spans="1:4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56"/>
      <c r="O893" s="156"/>
      <c r="P893" s="156"/>
      <c r="Q893" s="156"/>
      <c r="R893" s="156"/>
      <c r="S893" s="156"/>
      <c r="T893" s="156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spans="1:4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56"/>
      <c r="O894" s="156"/>
      <c r="P894" s="156"/>
      <c r="Q894" s="156"/>
      <c r="R894" s="156"/>
      <c r="S894" s="156"/>
      <c r="T894" s="156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spans="1:4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56"/>
      <c r="O895" s="156"/>
      <c r="P895" s="156"/>
      <c r="Q895" s="156"/>
      <c r="R895" s="156"/>
      <c r="S895" s="156"/>
      <c r="T895" s="156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spans="1:4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56"/>
      <c r="O896" s="156"/>
      <c r="P896" s="156"/>
      <c r="Q896" s="156"/>
      <c r="R896" s="156"/>
      <c r="S896" s="156"/>
      <c r="T896" s="156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spans="1:4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56"/>
      <c r="O897" s="156"/>
      <c r="P897" s="156"/>
      <c r="Q897" s="156"/>
      <c r="R897" s="156"/>
      <c r="S897" s="156"/>
      <c r="T897" s="156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spans="1:4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56"/>
      <c r="O898" s="156"/>
      <c r="P898" s="156"/>
      <c r="Q898" s="156"/>
      <c r="R898" s="156"/>
      <c r="S898" s="156"/>
      <c r="T898" s="156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spans="1:4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56"/>
      <c r="O899" s="156"/>
      <c r="P899" s="156"/>
      <c r="Q899" s="156"/>
      <c r="R899" s="156"/>
      <c r="S899" s="156"/>
      <c r="T899" s="156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spans="1:4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56"/>
      <c r="O900" s="156"/>
      <c r="P900" s="156"/>
      <c r="Q900" s="156"/>
      <c r="R900" s="156"/>
      <c r="S900" s="156"/>
      <c r="T900" s="156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spans="1:4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56"/>
      <c r="O901" s="156"/>
      <c r="P901" s="156"/>
      <c r="Q901" s="156"/>
      <c r="R901" s="156"/>
      <c r="S901" s="156"/>
      <c r="T901" s="156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spans="1:4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56"/>
      <c r="O902" s="156"/>
      <c r="P902" s="156"/>
      <c r="Q902" s="156"/>
      <c r="R902" s="156"/>
      <c r="S902" s="156"/>
      <c r="T902" s="156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spans="1:4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56"/>
      <c r="O903" s="156"/>
      <c r="P903" s="156"/>
      <c r="Q903" s="156"/>
      <c r="R903" s="156"/>
      <c r="S903" s="156"/>
      <c r="T903" s="156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spans="1:4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56"/>
      <c r="O904" s="156"/>
      <c r="P904" s="156"/>
      <c r="Q904" s="156"/>
      <c r="R904" s="156"/>
      <c r="S904" s="156"/>
      <c r="T904" s="156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spans="1:4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56"/>
      <c r="O905" s="156"/>
      <c r="P905" s="156"/>
      <c r="Q905" s="156"/>
      <c r="R905" s="156"/>
      <c r="S905" s="156"/>
      <c r="T905" s="156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spans="1:4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56"/>
      <c r="O906" s="156"/>
      <c r="P906" s="156"/>
      <c r="Q906" s="156"/>
      <c r="R906" s="156"/>
      <c r="S906" s="156"/>
      <c r="T906" s="156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spans="1:4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56"/>
      <c r="O907" s="156"/>
      <c r="P907" s="156"/>
      <c r="Q907" s="156"/>
      <c r="R907" s="156"/>
      <c r="S907" s="156"/>
      <c r="T907" s="156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56"/>
      <c r="O908" s="156"/>
      <c r="P908" s="156"/>
      <c r="Q908" s="156"/>
      <c r="R908" s="156"/>
      <c r="S908" s="156"/>
      <c r="T908" s="156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56"/>
      <c r="O909" s="156"/>
      <c r="P909" s="156"/>
      <c r="Q909" s="156"/>
      <c r="R909" s="156"/>
      <c r="S909" s="156"/>
      <c r="T909" s="156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56"/>
      <c r="O910" s="156"/>
      <c r="P910" s="156"/>
      <c r="Q910" s="156"/>
      <c r="R910" s="156"/>
      <c r="S910" s="156"/>
      <c r="T910" s="156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56"/>
      <c r="O911" s="156"/>
      <c r="P911" s="156"/>
      <c r="Q911" s="156"/>
      <c r="R911" s="156"/>
      <c r="S911" s="156"/>
      <c r="T911" s="156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56"/>
      <c r="O912" s="156"/>
      <c r="P912" s="156"/>
      <c r="Q912" s="156"/>
      <c r="R912" s="156"/>
      <c r="S912" s="156"/>
      <c r="T912" s="156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56"/>
      <c r="O913" s="156"/>
      <c r="P913" s="156"/>
      <c r="Q913" s="156"/>
      <c r="R913" s="156"/>
      <c r="S913" s="156"/>
      <c r="T913" s="156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56"/>
      <c r="O914" s="156"/>
      <c r="P914" s="156"/>
      <c r="Q914" s="156"/>
      <c r="R914" s="156"/>
      <c r="S914" s="156"/>
      <c r="T914" s="156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56"/>
      <c r="O915" s="156"/>
      <c r="P915" s="156"/>
      <c r="Q915" s="156"/>
      <c r="R915" s="156"/>
      <c r="S915" s="156"/>
      <c r="T915" s="156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spans="1:4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56"/>
      <c r="O916" s="156"/>
      <c r="P916" s="156"/>
      <c r="Q916" s="156"/>
      <c r="R916" s="156"/>
      <c r="S916" s="156"/>
      <c r="T916" s="156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spans="1:4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56"/>
      <c r="O917" s="156"/>
      <c r="P917" s="156"/>
      <c r="Q917" s="156"/>
      <c r="R917" s="156"/>
      <c r="S917" s="156"/>
      <c r="T917" s="156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spans="1:4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56"/>
      <c r="O918" s="156"/>
      <c r="P918" s="156"/>
      <c r="Q918" s="156"/>
      <c r="R918" s="156"/>
      <c r="S918" s="156"/>
      <c r="T918" s="156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spans="1:4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56"/>
      <c r="O919" s="156"/>
      <c r="P919" s="156"/>
      <c r="Q919" s="156"/>
      <c r="R919" s="156"/>
      <c r="S919" s="156"/>
      <c r="T919" s="156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spans="1:4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56"/>
      <c r="O920" s="156"/>
      <c r="P920" s="156"/>
      <c r="Q920" s="156"/>
      <c r="R920" s="156"/>
      <c r="S920" s="156"/>
      <c r="T920" s="156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spans="1:4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56"/>
      <c r="O921" s="156"/>
      <c r="P921" s="156"/>
      <c r="Q921" s="156"/>
      <c r="R921" s="156"/>
      <c r="S921" s="156"/>
      <c r="T921" s="156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spans="1:4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56"/>
      <c r="O922" s="156"/>
      <c r="P922" s="156"/>
      <c r="Q922" s="156"/>
      <c r="R922" s="156"/>
      <c r="S922" s="156"/>
      <c r="T922" s="156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spans="1:4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56"/>
      <c r="O923" s="156"/>
      <c r="P923" s="156"/>
      <c r="Q923" s="156"/>
      <c r="R923" s="156"/>
      <c r="S923" s="156"/>
      <c r="T923" s="156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spans="1:4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56"/>
      <c r="O924" s="156"/>
      <c r="P924" s="156"/>
      <c r="Q924" s="156"/>
      <c r="R924" s="156"/>
      <c r="S924" s="156"/>
      <c r="T924" s="156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spans="1:4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56"/>
      <c r="O925" s="156"/>
      <c r="P925" s="156"/>
      <c r="Q925" s="156"/>
      <c r="R925" s="156"/>
      <c r="S925" s="156"/>
      <c r="T925" s="156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spans="1:4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56"/>
      <c r="O926" s="156"/>
      <c r="P926" s="156"/>
      <c r="Q926" s="156"/>
      <c r="R926" s="156"/>
      <c r="S926" s="156"/>
      <c r="T926" s="156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spans="1:4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56"/>
      <c r="O927" s="156"/>
      <c r="P927" s="156"/>
      <c r="Q927" s="156"/>
      <c r="R927" s="156"/>
      <c r="S927" s="156"/>
      <c r="T927" s="156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spans="1:4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56"/>
      <c r="O928" s="156"/>
      <c r="P928" s="156"/>
      <c r="Q928" s="156"/>
      <c r="R928" s="156"/>
      <c r="S928" s="156"/>
      <c r="T928" s="156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spans="1:4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56"/>
      <c r="O929" s="156"/>
      <c r="P929" s="156"/>
      <c r="Q929" s="156"/>
      <c r="R929" s="156"/>
      <c r="S929" s="156"/>
      <c r="T929" s="156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spans="1:4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56"/>
      <c r="O930" s="156"/>
      <c r="P930" s="156"/>
      <c r="Q930" s="156"/>
      <c r="R930" s="156"/>
      <c r="S930" s="156"/>
      <c r="T930" s="156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spans="1:4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56"/>
      <c r="O931" s="156"/>
      <c r="P931" s="156"/>
      <c r="Q931" s="156"/>
      <c r="R931" s="156"/>
      <c r="S931" s="156"/>
      <c r="T931" s="156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spans="1:4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56"/>
      <c r="O932" s="156"/>
      <c r="P932" s="156"/>
      <c r="Q932" s="156"/>
      <c r="R932" s="156"/>
      <c r="S932" s="156"/>
      <c r="T932" s="156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spans="1:4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56"/>
      <c r="O933" s="156"/>
      <c r="P933" s="156"/>
      <c r="Q933" s="156"/>
      <c r="R933" s="156"/>
      <c r="S933" s="156"/>
      <c r="T933" s="156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spans="1:4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56"/>
      <c r="O934" s="156"/>
      <c r="P934" s="156"/>
      <c r="Q934" s="156"/>
      <c r="R934" s="156"/>
      <c r="S934" s="156"/>
      <c r="T934" s="156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spans="1:4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56"/>
      <c r="O935" s="156"/>
      <c r="P935" s="156"/>
      <c r="Q935" s="156"/>
      <c r="R935" s="156"/>
      <c r="S935" s="156"/>
      <c r="T935" s="156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  <row r="936" spans="1:4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56"/>
      <c r="O936" s="156"/>
      <c r="P936" s="156"/>
      <c r="Q936" s="156"/>
      <c r="R936" s="156"/>
      <c r="S936" s="156"/>
      <c r="T936" s="156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</row>
    <row r="937" spans="1:4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56"/>
      <c r="O937" s="156"/>
      <c r="P937" s="156"/>
      <c r="Q937" s="156"/>
      <c r="R937" s="156"/>
      <c r="S937" s="156"/>
      <c r="T937" s="156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</row>
    <row r="938" spans="1:4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56"/>
      <c r="O938" s="156"/>
      <c r="P938" s="156"/>
      <c r="Q938" s="156"/>
      <c r="R938" s="156"/>
      <c r="S938" s="156"/>
      <c r="T938" s="156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</row>
    <row r="939" spans="1:4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56"/>
      <c r="O939" s="156"/>
      <c r="P939" s="156"/>
      <c r="Q939" s="156"/>
      <c r="R939" s="156"/>
      <c r="S939" s="156"/>
      <c r="T939" s="156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</row>
    <row r="940" spans="1:4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56"/>
      <c r="O940" s="156"/>
      <c r="P940" s="156"/>
      <c r="Q940" s="156"/>
      <c r="R940" s="156"/>
      <c r="S940" s="156"/>
      <c r="T940" s="156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</row>
    <row r="941" spans="1:4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56"/>
      <c r="O941" s="156"/>
      <c r="P941" s="156"/>
      <c r="Q941" s="156"/>
      <c r="R941" s="156"/>
      <c r="S941" s="156"/>
      <c r="T941" s="156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</row>
    <row r="942" spans="1:4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56"/>
      <c r="O942" s="156"/>
      <c r="P942" s="156"/>
      <c r="Q942" s="156"/>
      <c r="R942" s="156"/>
      <c r="S942" s="156"/>
      <c r="T942" s="156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</row>
    <row r="943" spans="1:4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56"/>
      <c r="O943" s="156"/>
      <c r="P943" s="156"/>
      <c r="Q943" s="156"/>
      <c r="R943" s="156"/>
      <c r="S943" s="156"/>
      <c r="T943" s="156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</row>
    <row r="944" spans="1:4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56"/>
      <c r="O944" s="156"/>
      <c r="P944" s="156"/>
      <c r="Q944" s="156"/>
      <c r="R944" s="156"/>
      <c r="S944" s="156"/>
      <c r="T944" s="156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</row>
    <row r="945" spans="1: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56"/>
      <c r="O945" s="156"/>
      <c r="P945" s="156"/>
      <c r="Q945" s="156"/>
      <c r="R945" s="156"/>
      <c r="S945" s="156"/>
      <c r="T945" s="156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</row>
    <row r="946" spans="1:4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56"/>
      <c r="O946" s="156"/>
      <c r="P946" s="156"/>
      <c r="Q946" s="156"/>
      <c r="R946" s="156"/>
      <c r="S946" s="156"/>
      <c r="T946" s="156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</row>
    <row r="947" spans="1:4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56"/>
      <c r="O947" s="156"/>
      <c r="P947" s="156"/>
      <c r="Q947" s="156"/>
      <c r="R947" s="156"/>
      <c r="S947" s="156"/>
      <c r="T947" s="156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</row>
    <row r="948" spans="1:4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56"/>
      <c r="O948" s="156"/>
      <c r="P948" s="156"/>
      <c r="Q948" s="156"/>
      <c r="R948" s="156"/>
      <c r="S948" s="156"/>
      <c r="T948" s="156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</row>
    <row r="949" spans="1:4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56"/>
      <c r="O949" s="156"/>
      <c r="P949" s="156"/>
      <c r="Q949" s="156"/>
      <c r="R949" s="156"/>
      <c r="S949" s="156"/>
      <c r="T949" s="156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</row>
    <row r="950" spans="1:4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56"/>
      <c r="O950" s="156"/>
      <c r="P950" s="156"/>
      <c r="Q950" s="156"/>
      <c r="R950" s="156"/>
      <c r="S950" s="156"/>
      <c r="T950" s="156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</row>
    <row r="951" spans="1:4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56"/>
      <c r="O951" s="156"/>
      <c r="P951" s="156"/>
      <c r="Q951" s="156"/>
      <c r="R951" s="156"/>
      <c r="S951" s="156"/>
      <c r="T951" s="156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</row>
    <row r="952" spans="1:4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56"/>
      <c r="O952" s="156"/>
      <c r="P952" s="156"/>
      <c r="Q952" s="156"/>
      <c r="R952" s="156"/>
      <c r="S952" s="156"/>
      <c r="T952" s="156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</row>
    <row r="953" spans="1:4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56"/>
      <c r="O953" s="156"/>
      <c r="P953" s="156"/>
      <c r="Q953" s="156"/>
      <c r="R953" s="156"/>
      <c r="S953" s="156"/>
      <c r="T953" s="156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</row>
    <row r="954" spans="1:4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56"/>
      <c r="O954" s="156"/>
      <c r="P954" s="156"/>
      <c r="Q954" s="156"/>
      <c r="R954" s="156"/>
      <c r="S954" s="156"/>
      <c r="T954" s="156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</row>
    <row r="955" spans="1:4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56"/>
      <c r="O955" s="156"/>
      <c r="P955" s="156"/>
      <c r="Q955" s="156"/>
      <c r="R955" s="156"/>
      <c r="S955" s="156"/>
      <c r="T955" s="156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</row>
    <row r="956" spans="1:4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56"/>
      <c r="O956" s="156"/>
      <c r="P956" s="156"/>
      <c r="Q956" s="156"/>
      <c r="R956" s="156"/>
      <c r="S956" s="156"/>
      <c r="T956" s="156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</row>
    <row r="957" spans="1:4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56"/>
      <c r="O957" s="156"/>
      <c r="P957" s="156"/>
      <c r="Q957" s="156"/>
      <c r="R957" s="156"/>
      <c r="S957" s="156"/>
      <c r="T957" s="156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</row>
    <row r="958" spans="1:4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56"/>
      <c r="O958" s="156"/>
      <c r="P958" s="156"/>
      <c r="Q958" s="156"/>
      <c r="R958" s="156"/>
      <c r="S958" s="156"/>
      <c r="T958" s="156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</row>
    <row r="959" spans="1:4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56"/>
      <c r="O959" s="156"/>
      <c r="P959" s="156"/>
      <c r="Q959" s="156"/>
      <c r="R959" s="156"/>
      <c r="S959" s="156"/>
      <c r="T959" s="156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</row>
    <row r="960" spans="1:4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56"/>
      <c r="O960" s="156"/>
      <c r="P960" s="156"/>
      <c r="Q960" s="156"/>
      <c r="R960" s="156"/>
      <c r="S960" s="156"/>
      <c r="T960" s="156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spans="1:4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56"/>
      <c r="O961" s="156"/>
      <c r="P961" s="156"/>
      <c r="Q961" s="156"/>
      <c r="R961" s="156"/>
      <c r="S961" s="156"/>
      <c r="T961" s="156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56"/>
      <c r="O962" s="156"/>
      <c r="P962" s="156"/>
      <c r="Q962" s="156"/>
      <c r="R962" s="156"/>
      <c r="S962" s="156"/>
      <c r="T962" s="156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56"/>
      <c r="O963" s="156"/>
      <c r="P963" s="156"/>
      <c r="Q963" s="156"/>
      <c r="R963" s="156"/>
      <c r="S963" s="156"/>
      <c r="T963" s="156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56"/>
      <c r="O964" s="156"/>
      <c r="P964" s="156"/>
      <c r="Q964" s="156"/>
      <c r="R964" s="156"/>
      <c r="S964" s="156"/>
      <c r="T964" s="156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56"/>
      <c r="O965" s="156"/>
      <c r="P965" s="156"/>
      <c r="Q965" s="156"/>
      <c r="R965" s="156"/>
      <c r="S965" s="156"/>
      <c r="T965" s="156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56"/>
      <c r="O966" s="156"/>
      <c r="P966" s="156"/>
      <c r="Q966" s="156"/>
      <c r="R966" s="156"/>
      <c r="S966" s="156"/>
      <c r="T966" s="156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56"/>
      <c r="O967" s="156"/>
      <c r="P967" s="156"/>
      <c r="Q967" s="156"/>
      <c r="R967" s="156"/>
      <c r="S967" s="156"/>
      <c r="T967" s="156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56"/>
      <c r="O968" s="156"/>
      <c r="P968" s="156"/>
      <c r="Q968" s="156"/>
      <c r="R968" s="156"/>
      <c r="S968" s="156"/>
      <c r="T968" s="156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spans="1:4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56"/>
      <c r="O969" s="156"/>
      <c r="P969" s="156"/>
      <c r="Q969" s="156"/>
      <c r="R969" s="156"/>
      <c r="S969" s="156"/>
      <c r="T969" s="156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</row>
    <row r="970" spans="1:4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56"/>
      <c r="O970" s="156"/>
      <c r="P970" s="156"/>
      <c r="Q970" s="156"/>
      <c r="R970" s="156"/>
      <c r="S970" s="156"/>
      <c r="T970" s="156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</row>
    <row r="971" spans="1:4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56"/>
      <c r="O971" s="156"/>
      <c r="P971" s="156"/>
      <c r="Q971" s="156"/>
      <c r="R971" s="156"/>
      <c r="S971" s="156"/>
      <c r="T971" s="156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</row>
    <row r="972" spans="1:4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56"/>
      <c r="O972" s="156"/>
      <c r="P972" s="156"/>
      <c r="Q972" s="156"/>
      <c r="R972" s="156"/>
      <c r="S972" s="156"/>
      <c r="T972" s="156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</row>
    <row r="973" spans="1:4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56"/>
      <c r="O973" s="156"/>
      <c r="P973" s="156"/>
      <c r="Q973" s="156"/>
      <c r="R973" s="156"/>
      <c r="S973" s="156"/>
      <c r="T973" s="156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</row>
    <row r="974" spans="1:4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56"/>
      <c r="O974" s="156"/>
      <c r="P974" s="156"/>
      <c r="Q974" s="156"/>
      <c r="R974" s="156"/>
      <c r="S974" s="156"/>
      <c r="T974" s="156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</row>
    <row r="975" spans="1:4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56"/>
      <c r="O975" s="156"/>
      <c r="P975" s="156"/>
      <c r="Q975" s="156"/>
      <c r="R975" s="156"/>
      <c r="S975" s="156"/>
      <c r="T975" s="156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</row>
    <row r="976" spans="1:4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56"/>
      <c r="O976" s="156"/>
      <c r="P976" s="156"/>
      <c r="Q976" s="156"/>
      <c r="R976" s="156"/>
      <c r="S976" s="156"/>
      <c r="T976" s="156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</row>
    <row r="977" spans="1:4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56"/>
      <c r="O977" s="156"/>
      <c r="P977" s="156"/>
      <c r="Q977" s="156"/>
      <c r="R977" s="156"/>
      <c r="S977" s="156"/>
      <c r="T977" s="156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</row>
    <row r="978" spans="1:4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56"/>
      <c r="O978" s="156"/>
      <c r="P978" s="156"/>
      <c r="Q978" s="156"/>
      <c r="R978" s="156"/>
      <c r="S978" s="156"/>
      <c r="T978" s="156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</row>
    <row r="979" spans="1:4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56"/>
      <c r="O979" s="156"/>
      <c r="P979" s="156"/>
      <c r="Q979" s="156"/>
      <c r="R979" s="156"/>
      <c r="S979" s="156"/>
      <c r="T979" s="156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</row>
    <row r="980" spans="1:4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56"/>
      <c r="O980" s="156"/>
      <c r="P980" s="156"/>
      <c r="Q980" s="156"/>
      <c r="R980" s="156"/>
      <c r="S980" s="156"/>
      <c r="T980" s="156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</row>
    <row r="981" spans="1:4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56"/>
      <c r="O981" s="156"/>
      <c r="P981" s="156"/>
      <c r="Q981" s="156"/>
      <c r="R981" s="156"/>
      <c r="S981" s="156"/>
      <c r="T981" s="156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</row>
    <row r="982" spans="1:4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56"/>
      <c r="O982" s="156"/>
      <c r="P982" s="156"/>
      <c r="Q982" s="156"/>
      <c r="R982" s="156"/>
      <c r="S982" s="156"/>
      <c r="T982" s="156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</row>
    <row r="983" spans="1:4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56"/>
      <c r="O983" s="156"/>
      <c r="P983" s="156"/>
      <c r="Q983" s="156"/>
      <c r="R983" s="156"/>
      <c r="S983" s="156"/>
      <c r="T983" s="156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</row>
    <row r="984" spans="1:4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56"/>
      <c r="O984" s="156"/>
      <c r="P984" s="156"/>
      <c r="Q984" s="156"/>
      <c r="R984" s="156"/>
      <c r="S984" s="156"/>
      <c r="T984" s="156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</row>
    <row r="985" spans="1:4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56"/>
      <c r="O985" s="156"/>
      <c r="P985" s="156"/>
      <c r="Q985" s="156"/>
      <c r="R985" s="156"/>
      <c r="S985" s="156"/>
      <c r="T985" s="156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</row>
    <row r="986" spans="1:4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56"/>
      <c r="O986" s="156"/>
      <c r="P986" s="156"/>
      <c r="Q986" s="156"/>
      <c r="R986" s="156"/>
      <c r="S986" s="156"/>
      <c r="T986" s="156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</row>
    <row r="987" spans="1:4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56"/>
      <c r="O987" s="156"/>
      <c r="P987" s="156"/>
      <c r="Q987" s="156"/>
      <c r="R987" s="156"/>
      <c r="S987" s="156"/>
      <c r="T987" s="156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</row>
    <row r="988" spans="1:4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56"/>
      <c r="O988" s="156"/>
      <c r="P988" s="156"/>
      <c r="Q988" s="156"/>
      <c r="R988" s="156"/>
      <c r="S988" s="156"/>
      <c r="T988" s="156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</row>
    <row r="989" spans="1:4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56"/>
      <c r="O989" s="156"/>
      <c r="P989" s="156"/>
      <c r="Q989" s="156"/>
      <c r="R989" s="156"/>
      <c r="S989" s="156"/>
      <c r="T989" s="156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</row>
    <row r="990" spans="1:4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56"/>
      <c r="O990" s="156"/>
      <c r="P990" s="156"/>
      <c r="Q990" s="156"/>
      <c r="R990" s="156"/>
      <c r="S990" s="156"/>
      <c r="T990" s="156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</row>
    <row r="991" spans="1:4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56"/>
      <c r="O991" s="156"/>
      <c r="P991" s="156"/>
      <c r="Q991" s="156"/>
      <c r="R991" s="156"/>
      <c r="S991" s="156"/>
      <c r="T991" s="156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</row>
    <row r="992" spans="1:4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56"/>
      <c r="O992" s="156"/>
      <c r="P992" s="156"/>
      <c r="Q992" s="156"/>
      <c r="R992" s="156"/>
      <c r="S992" s="156"/>
      <c r="T992" s="156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</row>
    <row r="993" spans="1:4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56"/>
      <c r="O993" s="156"/>
      <c r="P993" s="156"/>
      <c r="Q993" s="156"/>
      <c r="R993" s="156"/>
      <c r="S993" s="156"/>
      <c r="T993" s="156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</row>
    <row r="994" spans="1:4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56"/>
      <c r="O994" s="156"/>
      <c r="P994" s="156"/>
      <c r="Q994" s="156"/>
      <c r="R994" s="156"/>
      <c r="S994" s="156"/>
      <c r="T994" s="156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</row>
    <row r="995" spans="1:4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56"/>
      <c r="O995" s="156"/>
      <c r="P995" s="156"/>
      <c r="Q995" s="156"/>
      <c r="R995" s="156"/>
      <c r="S995" s="156"/>
      <c r="T995" s="156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</row>
    <row r="996" spans="1:4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56"/>
      <c r="O996" s="156"/>
      <c r="P996" s="156"/>
      <c r="Q996" s="156"/>
      <c r="R996" s="156"/>
      <c r="S996" s="156"/>
      <c r="T996" s="156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</row>
    <row r="997" spans="1:4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56"/>
      <c r="O997" s="156"/>
      <c r="P997" s="156"/>
      <c r="Q997" s="156"/>
      <c r="R997" s="156"/>
      <c r="S997" s="156"/>
      <c r="T997" s="156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</row>
    <row r="998" spans="1:4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56"/>
      <c r="O998" s="156"/>
      <c r="P998" s="156"/>
      <c r="Q998" s="156"/>
      <c r="R998" s="156"/>
      <c r="S998" s="156"/>
      <c r="T998" s="156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</row>
    <row r="999" spans="1:4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56"/>
      <c r="O999" s="156"/>
      <c r="P999" s="156"/>
      <c r="Q999" s="156"/>
      <c r="R999" s="156"/>
      <c r="S999" s="156"/>
      <c r="T999" s="156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</row>
    <row r="1000" spans="1:4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56"/>
      <c r="O1000" s="156"/>
      <c r="P1000" s="156"/>
      <c r="Q1000" s="156"/>
      <c r="R1000" s="156"/>
      <c r="S1000" s="156"/>
      <c r="T1000" s="156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</row>
  </sheetData>
  <mergeCells count="17">
    <mergeCell ref="F8:G8"/>
    <mergeCell ref="C9:D9"/>
    <mergeCell ref="F9:G9"/>
    <mergeCell ref="C10:D10"/>
    <mergeCell ref="F10:G10"/>
    <mergeCell ref="C8:D8"/>
    <mergeCell ref="C2:G2"/>
    <mergeCell ref="C3:D3"/>
    <mergeCell ref="F3:G3"/>
    <mergeCell ref="C4:D4"/>
    <mergeCell ref="F4:G4"/>
    <mergeCell ref="C5:D5"/>
    <mergeCell ref="C6:D6"/>
    <mergeCell ref="F5:G5"/>
    <mergeCell ref="F6:G6"/>
    <mergeCell ref="C7:D7"/>
    <mergeCell ref="F7:G7"/>
  </mergeCells>
  <pageMargins left="0.7" right="0.7" top="0.75" bottom="0.75" header="0" footer="0"/>
  <pageSetup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276F8B"/>
  </sheetPr>
  <dimension ref="A1:Z1000"/>
  <sheetViews>
    <sheetView showGridLines="0" workbookViewId="0">
      <selection activeCell="D51" sqref="D51"/>
    </sheetView>
  </sheetViews>
  <sheetFormatPr baseColWidth="10" defaultColWidth="12.625" defaultRowHeight="15" customHeight="1"/>
  <cols>
    <col min="1" max="1" width="3.125" customWidth="1"/>
    <col min="2" max="2" width="10" customWidth="1"/>
    <col min="3" max="3" width="33.25" customWidth="1"/>
    <col min="4" max="4" width="16.375" customWidth="1"/>
    <col min="5" max="5" width="19.375" customWidth="1"/>
    <col min="6" max="8" width="16.375" customWidth="1"/>
    <col min="9" max="9" width="10" customWidth="1"/>
    <col min="10" max="10" width="14" customWidth="1"/>
    <col min="11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1"/>
      <c r="C2" s="165" t="s">
        <v>777</v>
      </c>
      <c r="D2" s="40">
        <f>'Flujo_Deuda Frances 1'!E3</f>
        <v>18000</v>
      </c>
      <c r="E2" s="165" t="s">
        <v>552</v>
      </c>
      <c r="F2" s="33">
        <v>1</v>
      </c>
      <c r="G2" s="33">
        <v>2</v>
      </c>
      <c r="H2" s="33">
        <v>3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65" t="s">
        <v>778</v>
      </c>
      <c r="D3" s="19" t="s">
        <v>779</v>
      </c>
      <c r="E3" s="165" t="s">
        <v>780</v>
      </c>
      <c r="F3" s="40">
        <f>SUM(G16:G27)</f>
        <v>7768.0507390194516</v>
      </c>
      <c r="G3" s="40">
        <f>SUM(G28:G39)</f>
        <v>7768.0507390194516</v>
      </c>
      <c r="H3" s="40">
        <f>SUM(G40:G51)</f>
        <v>7768.0507390194516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65" t="s">
        <v>781</v>
      </c>
      <c r="D4" s="19">
        <f>'Flujo_Deuda Frances 1'!E9</f>
        <v>36</v>
      </c>
      <c r="E4" s="165" t="s">
        <v>782</v>
      </c>
      <c r="F4" s="40">
        <f>SUM(E16:E27)</f>
        <v>2782.0086854640645</v>
      </c>
      <c r="G4" s="40">
        <f>SUM(E28:E39)</f>
        <v>1828.7947634608331</v>
      </c>
      <c r="H4" s="40">
        <f>SUM(E40:E51)</f>
        <v>693.34876813345613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65" t="s">
        <v>783</v>
      </c>
      <c r="D5" s="19" t="s">
        <v>638</v>
      </c>
      <c r="E5" s="165" t="s">
        <v>784</v>
      </c>
      <c r="F5" s="40">
        <f>SUM(F16:F27)</f>
        <v>4986.0420535553858</v>
      </c>
      <c r="G5" s="40">
        <f>SUM(F28:F39)</f>
        <v>5939.2559755586171</v>
      </c>
      <c r="H5" s="40">
        <f>SUM(F40:F51)</f>
        <v>7074.7019708859934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"/>
      <c r="C6" s="165" t="s">
        <v>785</v>
      </c>
      <c r="D6" s="20">
        <f>'Flujo_Deuda Frances 1'!E4</f>
        <v>0.215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65" t="s">
        <v>786</v>
      </c>
      <c r="D7" s="20">
        <f>((1+D6)^(1/12)) -1</f>
        <v>1.6361073237486812E-2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65" t="s">
        <v>746</v>
      </c>
      <c r="D8" s="20">
        <v>0.02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/>
      <c r="C9" s="165" t="s">
        <v>748</v>
      </c>
      <c r="D9" s="20">
        <f>POWER((1+D8),(1/12))-1</f>
        <v>1.6515813019202241E-3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/>
      <c r="C10" s="165" t="s">
        <v>787</v>
      </c>
      <c r="D10" s="20">
        <f>((1+D7)/(1+D9))-1</f>
        <v>1.4685238070954343E-2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65" t="s">
        <v>439</v>
      </c>
      <c r="D11" s="40">
        <f>D2*((F12*POWER((1+D10),36))/(POWER((1+D10),36)-1))</f>
        <v>647.33756158495316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78" t="s">
        <v>788</v>
      </c>
      <c r="D12" s="40">
        <f>D2</f>
        <v>18000</v>
      </c>
      <c r="E12" s="34" t="s">
        <v>789</v>
      </c>
      <c r="F12" s="20">
        <f>D10</f>
        <v>1.4685238070954343E-2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229"/>
      <c r="C14" s="33"/>
      <c r="D14" s="33" t="s">
        <v>790</v>
      </c>
      <c r="E14" s="33" t="s">
        <v>791</v>
      </c>
      <c r="F14" s="33" t="s">
        <v>776</v>
      </c>
      <c r="G14" s="33" t="s">
        <v>439</v>
      </c>
      <c r="H14" s="33" t="s">
        <v>444</v>
      </c>
      <c r="I14" s="1"/>
      <c r="J14" s="8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9"/>
      <c r="C15" s="242">
        <v>44410</v>
      </c>
      <c r="D15" s="40">
        <f>D12</f>
        <v>18000</v>
      </c>
      <c r="E15" s="40">
        <v>0</v>
      </c>
      <c r="F15" s="40">
        <v>0</v>
      </c>
      <c r="G15" s="40">
        <v>0</v>
      </c>
      <c r="H15" s="40">
        <f>D12</f>
        <v>18000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9">
        <v>1</v>
      </c>
      <c r="C16" s="242">
        <f t="shared" ref="C16:C51" si="0">C15+30</f>
        <v>44440</v>
      </c>
      <c r="D16" s="40">
        <f t="shared" ref="D16:D51" si="1">H15</f>
        <v>18000</v>
      </c>
      <c r="E16" s="40">
        <f t="shared" ref="E16:E51" si="2">D16*$F$12</f>
        <v>264.3342852771782</v>
      </c>
      <c r="F16" s="40">
        <f t="shared" ref="F16:F51" si="3">G16-E16</f>
        <v>383.00327630777599</v>
      </c>
      <c r="G16" s="40">
        <f>PMT(D10,36,-D16)</f>
        <v>647.33756158495419</v>
      </c>
      <c r="H16" s="40">
        <f t="shared" ref="H16:H51" si="4">D16-F16</f>
        <v>17616.996723692224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9">
        <v>2</v>
      </c>
      <c r="C17" s="242">
        <f t="shared" si="0"/>
        <v>44470</v>
      </c>
      <c r="D17" s="40">
        <f t="shared" si="1"/>
        <v>17616.996723692224</v>
      </c>
      <c r="E17" s="40">
        <f t="shared" si="2"/>
        <v>258.70979098264297</v>
      </c>
      <c r="F17" s="40">
        <f>G17-E17</f>
        <v>388.62777060231122</v>
      </c>
      <c r="G17" s="40">
        <f>G16</f>
        <v>647.33756158495419</v>
      </c>
      <c r="H17" s="40">
        <f t="shared" si="4"/>
        <v>17228.368953089914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9">
        <v>3</v>
      </c>
      <c r="C18" s="242">
        <f t="shared" si="0"/>
        <v>44500</v>
      </c>
      <c r="D18" s="40">
        <f t="shared" si="1"/>
        <v>17228.368953089914</v>
      </c>
      <c r="E18" s="40">
        <f t="shared" si="2"/>
        <v>253.00269965036381</v>
      </c>
      <c r="F18" s="40">
        <f t="shared" si="3"/>
        <v>394.33486193459038</v>
      </c>
      <c r="G18" s="40">
        <f t="shared" ref="G18:G51" si="5">G17</f>
        <v>647.33756158495419</v>
      </c>
      <c r="H18" s="40">
        <f t="shared" si="4"/>
        <v>16834.034091155325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9">
        <v>4</v>
      </c>
      <c r="C19" s="242">
        <f t="shared" si="0"/>
        <v>44530</v>
      </c>
      <c r="D19" s="40">
        <f t="shared" si="1"/>
        <v>16834.034091155325</v>
      </c>
      <c r="E19" s="40">
        <f t="shared" si="2"/>
        <v>247.21179832317748</v>
      </c>
      <c r="F19" s="40">
        <f t="shared" si="3"/>
        <v>400.12576326177668</v>
      </c>
      <c r="G19" s="40">
        <f t="shared" si="5"/>
        <v>647.33756158495419</v>
      </c>
      <c r="H19" s="40">
        <f t="shared" si="4"/>
        <v>16433.908327893547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9">
        <v>5</v>
      </c>
      <c r="C20" s="242">
        <f t="shared" si="0"/>
        <v>44560</v>
      </c>
      <c r="D20" s="40">
        <f t="shared" si="1"/>
        <v>16433.908327893547</v>
      </c>
      <c r="E20" s="40">
        <f t="shared" si="2"/>
        <v>241.33585623135593</v>
      </c>
      <c r="F20" s="40">
        <f t="shared" si="3"/>
        <v>406.00170535359825</v>
      </c>
      <c r="G20" s="40">
        <f t="shared" si="5"/>
        <v>647.33756158495419</v>
      </c>
      <c r="H20" s="40">
        <f t="shared" si="4"/>
        <v>16027.906622539949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9">
        <v>6</v>
      </c>
      <c r="C21" s="242">
        <f t="shared" si="0"/>
        <v>44590</v>
      </c>
      <c r="D21" s="40">
        <f t="shared" si="1"/>
        <v>16027.906622539949</v>
      </c>
      <c r="E21" s="40">
        <f t="shared" si="2"/>
        <v>235.37362453102489</v>
      </c>
      <c r="F21" s="40">
        <f t="shared" si="3"/>
        <v>411.96393705392927</v>
      </c>
      <c r="G21" s="40">
        <f t="shared" si="5"/>
        <v>647.33756158495419</v>
      </c>
      <c r="H21" s="40">
        <f t="shared" si="4"/>
        <v>15615.942685486019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9">
        <v>7</v>
      </c>
      <c r="C22" s="242">
        <f t="shared" si="0"/>
        <v>44620</v>
      </c>
      <c r="D22" s="40">
        <f t="shared" si="1"/>
        <v>15615.942685486019</v>
      </c>
      <c r="E22" s="40">
        <f t="shared" si="2"/>
        <v>229.3238360387403</v>
      </c>
      <c r="F22" s="40">
        <f t="shared" si="3"/>
        <v>418.01372554621389</v>
      </c>
      <c r="G22" s="40">
        <f t="shared" si="5"/>
        <v>647.33756158495419</v>
      </c>
      <c r="H22" s="40">
        <f t="shared" si="4"/>
        <v>15197.928959939805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9">
        <v>8</v>
      </c>
      <c r="C23" s="242">
        <f t="shared" si="0"/>
        <v>44650</v>
      </c>
      <c r="D23" s="40">
        <f t="shared" si="1"/>
        <v>15197.928959939805</v>
      </c>
      <c r="E23" s="40">
        <f t="shared" si="2"/>
        <v>223.18520496216757</v>
      </c>
      <c r="F23" s="40">
        <f t="shared" si="3"/>
        <v>424.15235662278661</v>
      </c>
      <c r="G23" s="40">
        <f t="shared" si="5"/>
        <v>647.33756158495419</v>
      </c>
      <c r="H23" s="40">
        <f t="shared" si="4"/>
        <v>14773.776603317019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9">
        <v>9</v>
      </c>
      <c r="C24" s="242">
        <f t="shared" si="0"/>
        <v>44680</v>
      </c>
      <c r="D24" s="40">
        <f t="shared" si="1"/>
        <v>14773.776603317019</v>
      </c>
      <c r="E24" s="40">
        <f t="shared" si="2"/>
        <v>216.95642662680564</v>
      </c>
      <c r="F24" s="40">
        <f t="shared" si="3"/>
        <v>430.38113495814855</v>
      </c>
      <c r="G24" s="40">
        <f t="shared" si="5"/>
        <v>647.33756158495419</v>
      </c>
      <c r="H24" s="40">
        <f t="shared" si="4"/>
        <v>14343.395468358871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9">
        <v>10</v>
      </c>
      <c r="C25" s="242">
        <f t="shared" si="0"/>
        <v>44710</v>
      </c>
      <c r="D25" s="40">
        <f t="shared" si="1"/>
        <v>14343.395468358871</v>
      </c>
      <c r="E25" s="40">
        <f t="shared" si="2"/>
        <v>210.63617719869768</v>
      </c>
      <c r="F25" s="40">
        <f t="shared" si="3"/>
        <v>436.70138438625651</v>
      </c>
      <c r="G25" s="40">
        <f t="shared" si="5"/>
        <v>647.33756158495419</v>
      </c>
      <c r="H25" s="40">
        <f t="shared" si="4"/>
        <v>13906.694083972614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9">
        <v>11</v>
      </c>
      <c r="C26" s="242">
        <f t="shared" si="0"/>
        <v>44740</v>
      </c>
      <c r="D26" s="40">
        <f t="shared" si="1"/>
        <v>13906.694083972614</v>
      </c>
      <c r="E26" s="40">
        <f t="shared" si="2"/>
        <v>204.22311340307016</v>
      </c>
      <c r="F26" s="40">
        <f t="shared" si="3"/>
        <v>443.11444818188403</v>
      </c>
      <c r="G26" s="40">
        <f t="shared" si="5"/>
        <v>647.33756158495419</v>
      </c>
      <c r="H26" s="40">
        <f t="shared" si="4"/>
        <v>13463.579635790729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9">
        <v>12</v>
      </c>
      <c r="C27" s="242">
        <f t="shared" si="0"/>
        <v>44770</v>
      </c>
      <c r="D27" s="40">
        <f t="shared" si="1"/>
        <v>13463.579635790729</v>
      </c>
      <c r="E27" s="40">
        <f t="shared" si="2"/>
        <v>197.71587223883964</v>
      </c>
      <c r="F27" s="40">
        <f t="shared" si="3"/>
        <v>449.62168934611452</v>
      </c>
      <c r="G27" s="40">
        <f t="shared" si="5"/>
        <v>647.33756158495419</v>
      </c>
      <c r="H27" s="40">
        <f t="shared" si="4"/>
        <v>13013.957946444614</v>
      </c>
      <c r="I27" s="1"/>
      <c r="J27" s="6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9">
        <v>13</v>
      </c>
      <c r="C28" s="242">
        <f t="shared" si="0"/>
        <v>44800</v>
      </c>
      <c r="D28" s="40">
        <f t="shared" si="1"/>
        <v>13013.957946444614</v>
      </c>
      <c r="E28" s="40">
        <f t="shared" si="2"/>
        <v>191.11307068892725</v>
      </c>
      <c r="F28" s="40">
        <f t="shared" si="3"/>
        <v>456.22449089602696</v>
      </c>
      <c r="G28" s="40">
        <f t="shared" si="5"/>
        <v>647.33756158495419</v>
      </c>
      <c r="H28" s="40">
        <f t="shared" si="4"/>
        <v>12557.733455548587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9">
        <v>14</v>
      </c>
      <c r="C29" s="242">
        <f t="shared" si="0"/>
        <v>44830</v>
      </c>
      <c r="D29" s="40">
        <f t="shared" si="1"/>
        <v>12557.733455548587</v>
      </c>
      <c r="E29" s="40">
        <f t="shared" si="2"/>
        <v>184.41330542631914</v>
      </c>
      <c r="F29" s="40">
        <f t="shared" si="3"/>
        <v>462.92425615863505</v>
      </c>
      <c r="G29" s="40">
        <f t="shared" si="5"/>
        <v>647.33756158495419</v>
      </c>
      <c r="H29" s="40">
        <f t="shared" si="4"/>
        <v>12094.809199389952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9">
        <v>15</v>
      </c>
      <c r="C30" s="242">
        <f t="shared" si="0"/>
        <v>44860</v>
      </c>
      <c r="D30" s="40">
        <f t="shared" si="1"/>
        <v>12094.809199389952</v>
      </c>
      <c r="E30" s="40">
        <f t="shared" si="2"/>
        <v>177.61515251581014</v>
      </c>
      <c r="F30" s="40">
        <f t="shared" si="3"/>
        <v>469.72240906914408</v>
      </c>
      <c r="G30" s="40">
        <f t="shared" si="5"/>
        <v>647.33756158495419</v>
      </c>
      <c r="H30" s="40">
        <f t="shared" si="4"/>
        <v>11625.086790320809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9">
        <v>16</v>
      </c>
      <c r="C31" s="242">
        <f t="shared" si="0"/>
        <v>44890</v>
      </c>
      <c r="D31" s="40">
        <f t="shared" si="1"/>
        <v>11625.086790320809</v>
      </c>
      <c r="E31" s="40">
        <f t="shared" si="2"/>
        <v>170.71716711136756</v>
      </c>
      <c r="F31" s="40">
        <f t="shared" si="3"/>
        <v>476.62039447358666</v>
      </c>
      <c r="G31" s="40">
        <f t="shared" si="5"/>
        <v>647.33756158495419</v>
      </c>
      <c r="H31" s="40">
        <f t="shared" si="4"/>
        <v>11148.466395847223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9">
        <v>17</v>
      </c>
      <c r="C32" s="242">
        <f t="shared" si="0"/>
        <v>44920</v>
      </c>
      <c r="D32" s="40">
        <f t="shared" si="1"/>
        <v>11148.466395847223</v>
      </c>
      <c r="E32" s="40">
        <f t="shared" si="2"/>
        <v>163.71788314905078</v>
      </c>
      <c r="F32" s="40">
        <f t="shared" si="3"/>
        <v>483.61967843590344</v>
      </c>
      <c r="G32" s="40">
        <f t="shared" si="5"/>
        <v>647.33756158495419</v>
      </c>
      <c r="H32" s="40">
        <f t="shared" si="4"/>
        <v>10664.846717411319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9">
        <v>18</v>
      </c>
      <c r="C33" s="242">
        <f t="shared" si="0"/>
        <v>44950</v>
      </c>
      <c r="D33" s="40">
        <f t="shared" si="1"/>
        <v>10664.846717411319</v>
      </c>
      <c r="E33" s="40">
        <f t="shared" si="2"/>
        <v>156.61581303542116</v>
      </c>
      <c r="F33" s="40">
        <f t="shared" si="3"/>
        <v>490.721748549533</v>
      </c>
      <c r="G33" s="40">
        <f t="shared" si="5"/>
        <v>647.33756158495419</v>
      </c>
      <c r="H33" s="40">
        <f t="shared" si="4"/>
        <v>10174.124968861786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9">
        <v>19</v>
      </c>
      <c r="C34" s="242">
        <f t="shared" si="0"/>
        <v>44980</v>
      </c>
      <c r="D34" s="40">
        <f t="shared" si="1"/>
        <v>10174.124968861786</v>
      </c>
      <c r="E34" s="40">
        <f t="shared" si="2"/>
        <v>149.40944733137627</v>
      </c>
      <c r="F34" s="40">
        <f t="shared" si="3"/>
        <v>497.92811425357792</v>
      </c>
      <c r="G34" s="40">
        <f t="shared" si="5"/>
        <v>647.33756158495419</v>
      </c>
      <c r="H34" s="40">
        <f t="shared" si="4"/>
        <v>9676.196854608208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9">
        <v>20</v>
      </c>
      <c r="C35" s="242">
        <f t="shared" si="0"/>
        <v>45010</v>
      </c>
      <c r="D35" s="40">
        <f t="shared" si="1"/>
        <v>9676.196854608208</v>
      </c>
      <c r="E35" s="40">
        <f t="shared" si="2"/>
        <v>142.09725443134113</v>
      </c>
      <c r="F35" s="40">
        <f t="shared" si="3"/>
        <v>505.24030715361306</v>
      </c>
      <c r="G35" s="40">
        <f t="shared" si="5"/>
        <v>647.33756158495419</v>
      </c>
      <c r="H35" s="40">
        <f t="shared" si="4"/>
        <v>9170.9565474545943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9">
        <v>21</v>
      </c>
      <c r="C36" s="242">
        <f t="shared" si="0"/>
        <v>45040</v>
      </c>
      <c r="D36" s="40">
        <f t="shared" si="1"/>
        <v>9170.9565474545943</v>
      </c>
      <c r="E36" s="40">
        <f t="shared" si="2"/>
        <v>134.67768023774821</v>
      </c>
      <c r="F36" s="40">
        <f t="shared" si="3"/>
        <v>512.65988134720601</v>
      </c>
      <c r="G36" s="40">
        <f t="shared" si="5"/>
        <v>647.33756158495419</v>
      </c>
      <c r="H36" s="40">
        <f t="shared" si="4"/>
        <v>8658.2966661073879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9">
        <v>22</v>
      </c>
      <c r="C37" s="242">
        <f t="shared" si="0"/>
        <v>45070</v>
      </c>
      <c r="D37" s="40">
        <f t="shared" si="1"/>
        <v>8658.2966661073879</v>
      </c>
      <c r="E37" s="40">
        <f t="shared" si="2"/>
        <v>127.14914783073728</v>
      </c>
      <c r="F37" s="40">
        <f t="shared" si="3"/>
        <v>520.18841375421687</v>
      </c>
      <c r="G37" s="40">
        <f t="shared" si="5"/>
        <v>647.33756158495419</v>
      </c>
      <c r="H37" s="40">
        <f t="shared" si="4"/>
        <v>8138.1082523531713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9">
        <v>23</v>
      </c>
      <c r="C38" s="242">
        <f t="shared" si="0"/>
        <v>45100</v>
      </c>
      <c r="D38" s="40">
        <f t="shared" si="1"/>
        <v>8138.1082523531713</v>
      </c>
      <c r="E38" s="40">
        <f t="shared" si="2"/>
        <v>119.51005713300451</v>
      </c>
      <c r="F38" s="40">
        <f t="shared" si="3"/>
        <v>527.82750445194972</v>
      </c>
      <c r="G38" s="40">
        <f t="shared" si="5"/>
        <v>647.33756158495419</v>
      </c>
      <c r="H38" s="40">
        <f t="shared" si="4"/>
        <v>7610.2807479012217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9">
        <v>24</v>
      </c>
      <c r="C39" s="242">
        <f t="shared" si="0"/>
        <v>45130</v>
      </c>
      <c r="D39" s="40">
        <f t="shared" si="1"/>
        <v>7610.2807479012217</v>
      </c>
      <c r="E39" s="40">
        <f t="shared" si="2"/>
        <v>111.75878456972991</v>
      </c>
      <c r="F39" s="40">
        <f t="shared" si="3"/>
        <v>535.57877701522432</v>
      </c>
      <c r="G39" s="40">
        <f t="shared" si="5"/>
        <v>647.33756158495419</v>
      </c>
      <c r="H39" s="40">
        <f t="shared" si="4"/>
        <v>7074.7019708859971</v>
      </c>
      <c r="I39" s="1"/>
      <c r="J39" s="6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9">
        <v>25</v>
      </c>
      <c r="C40" s="242">
        <f t="shared" si="0"/>
        <v>45160</v>
      </c>
      <c r="D40" s="40">
        <f t="shared" si="1"/>
        <v>7074.7019708859971</v>
      </c>
      <c r="E40" s="40">
        <f t="shared" si="2"/>
        <v>103.89368272351076</v>
      </c>
      <c r="F40" s="40">
        <f t="shared" si="3"/>
        <v>543.44387886144341</v>
      </c>
      <c r="G40" s="40">
        <f t="shared" si="5"/>
        <v>647.33756158495419</v>
      </c>
      <c r="H40" s="40">
        <f t="shared" si="4"/>
        <v>6531.2580920245537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9">
        <v>26</v>
      </c>
      <c r="C41" s="242">
        <f t="shared" si="0"/>
        <v>45190</v>
      </c>
      <c r="D41" s="40">
        <f t="shared" si="1"/>
        <v>6531.2580920245537</v>
      </c>
      <c r="E41" s="40">
        <f t="shared" si="2"/>
        <v>95.913079984227593</v>
      </c>
      <c r="F41" s="40">
        <f t="shared" si="3"/>
        <v>551.42448160072661</v>
      </c>
      <c r="G41" s="40">
        <f t="shared" si="5"/>
        <v>647.33756158495419</v>
      </c>
      <c r="H41" s="40">
        <f t="shared" si="4"/>
        <v>5979.8336104238269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9">
        <v>27</v>
      </c>
      <c r="C42" s="242">
        <f t="shared" si="0"/>
        <v>45220</v>
      </c>
      <c r="D42" s="40">
        <f t="shared" si="1"/>
        <v>5979.8336104238269</v>
      </c>
      <c r="E42" s="40">
        <f t="shared" si="2"/>
        <v>87.815280193768345</v>
      </c>
      <c r="F42" s="40">
        <f t="shared" si="3"/>
        <v>559.52228139118586</v>
      </c>
      <c r="G42" s="40">
        <f t="shared" si="5"/>
        <v>647.33756158495419</v>
      </c>
      <c r="H42" s="40">
        <f t="shared" si="4"/>
        <v>5420.311329032641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9">
        <v>28</v>
      </c>
      <c r="C43" s="242">
        <f t="shared" si="0"/>
        <v>45250</v>
      </c>
      <c r="D43" s="40">
        <f t="shared" si="1"/>
        <v>5420.311329032641</v>
      </c>
      <c r="E43" s="40">
        <f t="shared" si="2"/>
        <v>79.598562285535266</v>
      </c>
      <c r="F43" s="40">
        <f t="shared" si="3"/>
        <v>567.73899929941888</v>
      </c>
      <c r="G43" s="40">
        <f t="shared" si="5"/>
        <v>647.33756158495419</v>
      </c>
      <c r="H43" s="40">
        <f t="shared" si="4"/>
        <v>4852.5723297332224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9">
        <v>29</v>
      </c>
      <c r="C44" s="242">
        <f t="shared" si="0"/>
        <v>45280</v>
      </c>
      <c r="D44" s="40">
        <f t="shared" si="1"/>
        <v>4852.5723297332224</v>
      </c>
      <c r="E44" s="40">
        <f t="shared" si="2"/>
        <v>71.26117991865793</v>
      </c>
      <c r="F44" s="40">
        <f t="shared" si="3"/>
        <v>576.07638166629624</v>
      </c>
      <c r="G44" s="40">
        <f t="shared" si="5"/>
        <v>647.33756158495419</v>
      </c>
      <c r="H44" s="40">
        <f t="shared" si="4"/>
        <v>4276.4959480669258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9">
        <v>30</v>
      </c>
      <c r="C45" s="242">
        <f t="shared" si="0"/>
        <v>45310</v>
      </c>
      <c r="D45" s="40">
        <f t="shared" si="1"/>
        <v>4276.4959480669258</v>
      </c>
      <c r="E45" s="40">
        <f t="shared" si="2"/>
        <v>62.801361106834406</v>
      </c>
      <c r="F45" s="40">
        <f t="shared" si="3"/>
        <v>584.53620047811978</v>
      </c>
      <c r="G45" s="40">
        <f t="shared" si="5"/>
        <v>647.33756158495419</v>
      </c>
      <c r="H45" s="40">
        <f t="shared" si="4"/>
        <v>3691.9597475888058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9">
        <v>31</v>
      </c>
      <c r="C46" s="242">
        <f t="shared" si="0"/>
        <v>45340</v>
      </c>
      <c r="D46" s="40">
        <f t="shared" si="1"/>
        <v>3691.9597475888058</v>
      </c>
      <c r="E46" s="40">
        <f t="shared" si="2"/>
        <v>54.217307841722118</v>
      </c>
      <c r="F46" s="40">
        <f t="shared" si="3"/>
        <v>593.12025374323207</v>
      </c>
      <c r="G46" s="40">
        <f t="shared" si="5"/>
        <v>647.33756158495419</v>
      </c>
      <c r="H46" s="40">
        <f t="shared" si="4"/>
        <v>3098.839493845574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9">
        <v>32</v>
      </c>
      <c r="C47" s="242">
        <f t="shared" si="0"/>
        <v>45370</v>
      </c>
      <c r="D47" s="40">
        <f t="shared" si="1"/>
        <v>3098.839493845574</v>
      </c>
      <c r="E47" s="40">
        <f t="shared" si="2"/>
        <v>45.507195710797909</v>
      </c>
      <c r="F47" s="40">
        <f t="shared" si="3"/>
        <v>601.83036587415631</v>
      </c>
      <c r="G47" s="40">
        <f t="shared" si="5"/>
        <v>647.33756158495419</v>
      </c>
      <c r="H47" s="40">
        <f t="shared" si="4"/>
        <v>2497.0091279714179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9">
        <v>33</v>
      </c>
      <c r="C48" s="242">
        <f t="shared" si="0"/>
        <v>45400</v>
      </c>
      <c r="D48" s="40">
        <f t="shared" si="1"/>
        <v>2497.0091279714179</v>
      </c>
      <c r="E48" s="40">
        <f t="shared" si="2"/>
        <v>36.669173509606374</v>
      </c>
      <c r="F48" s="40">
        <f t="shared" si="3"/>
        <v>610.66838807534782</v>
      </c>
      <c r="G48" s="40">
        <f t="shared" si="5"/>
        <v>647.33756158495419</v>
      </c>
      <c r="H48" s="40">
        <f t="shared" si="4"/>
        <v>1886.3407398960701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9">
        <v>34</v>
      </c>
      <c r="C49" s="242">
        <f t="shared" si="0"/>
        <v>45430</v>
      </c>
      <c r="D49" s="40">
        <f t="shared" si="1"/>
        <v>1886.3407398960701</v>
      </c>
      <c r="E49" s="40">
        <f t="shared" si="2"/>
        <v>27.701362848313952</v>
      </c>
      <c r="F49" s="40">
        <f t="shared" si="3"/>
        <v>619.63619873664027</v>
      </c>
      <c r="G49" s="40">
        <f t="shared" si="5"/>
        <v>647.33756158495419</v>
      </c>
      <c r="H49" s="40">
        <f t="shared" si="4"/>
        <v>1266.7045411594299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9">
        <v>35</v>
      </c>
      <c r="C50" s="242">
        <f t="shared" si="0"/>
        <v>45460</v>
      </c>
      <c r="D50" s="40">
        <f t="shared" si="1"/>
        <v>1266.7045411594299</v>
      </c>
      <c r="E50" s="40">
        <f t="shared" si="2"/>
        <v>18.601857752485213</v>
      </c>
      <c r="F50" s="40">
        <f t="shared" si="3"/>
        <v>628.73570383246897</v>
      </c>
      <c r="G50" s="40">
        <f t="shared" si="5"/>
        <v>647.33756158495419</v>
      </c>
      <c r="H50" s="40">
        <f t="shared" si="4"/>
        <v>637.96883732696097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9">
        <v>36</v>
      </c>
      <c r="C51" s="242">
        <f t="shared" si="0"/>
        <v>45490</v>
      </c>
      <c r="D51" s="40">
        <f t="shared" si="1"/>
        <v>637.96883732696097</v>
      </c>
      <c r="E51" s="40">
        <f t="shared" si="2"/>
        <v>9.3687242579963659</v>
      </c>
      <c r="F51" s="40">
        <f t="shared" si="3"/>
        <v>637.96883732695778</v>
      </c>
      <c r="G51" s="40">
        <f t="shared" si="5"/>
        <v>647.33756158495419</v>
      </c>
      <c r="H51" s="228">
        <f t="shared" si="4"/>
        <v>3.1832314562052488E-12</v>
      </c>
      <c r="I51" s="1"/>
      <c r="J51" s="6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59"/>
      <c r="C52" s="33" t="s">
        <v>99</v>
      </c>
      <c r="D52" s="61"/>
      <c r="E52" s="43">
        <f t="shared" ref="E52:G52" si="6">SUM(E16:E51)</f>
        <v>5304.1522170583539</v>
      </c>
      <c r="F52" s="43">
        <f t="shared" si="6"/>
        <v>18000</v>
      </c>
      <c r="G52" s="43">
        <f t="shared" si="6"/>
        <v>23304.152217058359</v>
      </c>
      <c r="H52" s="6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276F8B"/>
  </sheetPr>
  <dimension ref="A1:Z1000"/>
  <sheetViews>
    <sheetView showGridLines="0" workbookViewId="0">
      <selection activeCell="E16" sqref="E16"/>
    </sheetView>
  </sheetViews>
  <sheetFormatPr baseColWidth="10" defaultColWidth="12.625" defaultRowHeight="15" customHeight="1"/>
  <cols>
    <col min="1" max="1" width="3.125" customWidth="1"/>
    <col min="2" max="2" width="9.375" customWidth="1"/>
    <col min="3" max="6" width="15.5" customWidth="1"/>
    <col min="7" max="26" width="8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792</v>
      </c>
      <c r="C2" s="436"/>
      <c r="D2" s="436"/>
      <c r="E2" s="436"/>
      <c r="F2" s="43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66" t="s">
        <v>557</v>
      </c>
      <c r="C3" s="437"/>
      <c r="D3" s="230">
        <f>ABS('Estudio ADEK'!C519)</f>
        <v>18000</v>
      </c>
      <c r="E3" s="468" t="s">
        <v>650</v>
      </c>
      <c r="F3" s="43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466" t="s">
        <v>742</v>
      </c>
      <c r="C4" s="437"/>
      <c r="D4" s="231">
        <f>Resumen!H5</f>
        <v>0.215</v>
      </c>
      <c r="E4" s="467" t="s">
        <v>743</v>
      </c>
      <c r="F4" s="43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465" t="s">
        <v>793</v>
      </c>
      <c r="C5" s="437"/>
      <c r="D5" s="232">
        <f>POWER((1+D4),(1/12))-1</f>
        <v>1.6361073237486812E-2</v>
      </c>
      <c r="E5" s="467" t="s">
        <v>745</v>
      </c>
      <c r="F5" s="437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66" t="s">
        <v>794</v>
      </c>
      <c r="C6" s="437"/>
      <c r="D6" s="234">
        <f>Resumen!H3</f>
        <v>0.02</v>
      </c>
      <c r="E6" s="467"/>
      <c r="F6" s="43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1"/>
      <c r="B7" s="466" t="s">
        <v>748</v>
      </c>
      <c r="C7" s="437"/>
      <c r="D7" s="231">
        <f>POWER((1+D6),(1/12))-1</f>
        <v>1.6515813019202241E-3</v>
      </c>
      <c r="E7" s="467"/>
      <c r="F7" s="43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1"/>
      <c r="B8" s="466" t="s">
        <v>750</v>
      </c>
      <c r="C8" s="437"/>
      <c r="D8" s="232">
        <f>((1+D5)/(1+D7))-1</f>
        <v>1.4685238070954343E-2</v>
      </c>
      <c r="E8" s="467"/>
      <c r="F8" s="43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1"/>
      <c r="B9" s="466" t="s">
        <v>795</v>
      </c>
      <c r="C9" s="437"/>
      <c r="D9" s="235">
        <v>36</v>
      </c>
      <c r="E9" s="467"/>
      <c r="F9" s="43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1"/>
      <c r="B10" s="466" t="s">
        <v>784</v>
      </c>
      <c r="C10" s="437"/>
      <c r="D10" s="243">
        <f>-PMT(D8,D9,D3)</f>
        <v>647.33756158495419</v>
      </c>
      <c r="E10" s="467" t="s">
        <v>755</v>
      </c>
      <c r="F10" s="43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1"/>
      <c r="B11" s="24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1"/>
      <c r="B12" s="33" t="s">
        <v>796</v>
      </c>
      <c r="C12" s="33" t="s">
        <v>440</v>
      </c>
      <c r="D12" s="33" t="s">
        <v>775</v>
      </c>
      <c r="E12" s="33" t="s">
        <v>439</v>
      </c>
      <c r="F12" s="33" t="s">
        <v>776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1"/>
      <c r="B13" s="39">
        <v>0</v>
      </c>
      <c r="C13" s="40">
        <f>D3</f>
        <v>18000</v>
      </c>
      <c r="D13" s="40"/>
      <c r="E13" s="40"/>
      <c r="F13" s="4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1"/>
      <c r="B14" s="39">
        <v>1</v>
      </c>
      <c r="C14" s="40">
        <f>C13-F14</f>
        <v>17500</v>
      </c>
      <c r="D14" s="40">
        <f>C13*$D$8</f>
        <v>264.3342852771782</v>
      </c>
      <c r="E14" s="40">
        <f>D14+F14</f>
        <v>764.3342852771782</v>
      </c>
      <c r="F14" s="40">
        <f>$C$13/$D$9</f>
        <v>500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1"/>
      <c r="B15" s="39">
        <v>2</v>
      </c>
      <c r="C15" s="40">
        <f>C14-F15</f>
        <v>17000</v>
      </c>
      <c r="D15" s="40">
        <f>C14*$D$8</f>
        <v>256.99166624170101</v>
      </c>
      <c r="E15" s="40">
        <f>D15+F15</f>
        <v>756.99166624170107</v>
      </c>
      <c r="F15" s="40">
        <f>$C$13/$D$9</f>
        <v>500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1"/>
      <c r="B16" s="39">
        <v>3</v>
      </c>
      <c r="C16" s="40">
        <f>C15-F16</f>
        <v>16500</v>
      </c>
      <c r="D16" s="40">
        <f>C15*$D$8</f>
        <v>249.64904720622383</v>
      </c>
      <c r="E16" s="40">
        <f t="shared" ref="E16:E49" si="0">D16+F16</f>
        <v>749.64904720622383</v>
      </c>
      <c r="F16" s="40">
        <f t="shared" ref="F16:F49" si="1">$C$13/$D$9</f>
        <v>500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1"/>
      <c r="B17" s="39">
        <v>4</v>
      </c>
      <c r="C17" s="40">
        <f>C16-F17</f>
        <v>16000</v>
      </c>
      <c r="D17" s="40">
        <f t="shared" ref="D17:D49" si="2">C16*$D$8</f>
        <v>242.30642817074667</v>
      </c>
      <c r="E17" s="40">
        <f t="shared" si="0"/>
        <v>742.3064281707467</v>
      </c>
      <c r="F17" s="40">
        <f t="shared" si="1"/>
        <v>500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1"/>
      <c r="B18" s="39">
        <v>5</v>
      </c>
      <c r="C18" s="40">
        <f t="shared" ref="C18:C49" si="3">C17-F18</f>
        <v>15500</v>
      </c>
      <c r="D18" s="40">
        <f t="shared" si="2"/>
        <v>234.96380913526949</v>
      </c>
      <c r="E18" s="40">
        <f>D18+F18</f>
        <v>734.96380913526946</v>
      </c>
      <c r="F18" s="40">
        <f t="shared" si="1"/>
        <v>500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1"/>
      <c r="B19" s="39">
        <v>6</v>
      </c>
      <c r="C19" s="40">
        <f t="shared" si="3"/>
        <v>15000</v>
      </c>
      <c r="D19" s="40">
        <f t="shared" si="2"/>
        <v>227.6211900997923</v>
      </c>
      <c r="E19" s="40">
        <f t="shared" si="0"/>
        <v>727.62119009979233</v>
      </c>
      <c r="F19" s="40">
        <f t="shared" si="1"/>
        <v>500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1"/>
      <c r="B20" s="39">
        <v>7</v>
      </c>
      <c r="C20" s="40">
        <f t="shared" si="3"/>
        <v>14500</v>
      </c>
      <c r="D20" s="40">
        <f t="shared" si="2"/>
        <v>220.27857106431514</v>
      </c>
      <c r="E20" s="40">
        <f t="shared" si="0"/>
        <v>720.2785710643152</v>
      </c>
      <c r="F20" s="40">
        <f t="shared" si="1"/>
        <v>500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1"/>
      <c r="B21" s="39">
        <v>8</v>
      </c>
      <c r="C21" s="40">
        <f t="shared" si="3"/>
        <v>14000</v>
      </c>
      <c r="D21" s="40">
        <f t="shared" si="2"/>
        <v>212.93595202883796</v>
      </c>
      <c r="E21" s="40">
        <f t="shared" si="0"/>
        <v>712.93595202883796</v>
      </c>
      <c r="F21" s="40">
        <f t="shared" si="1"/>
        <v>500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1"/>
      <c r="B22" s="39">
        <v>9</v>
      </c>
      <c r="C22" s="40">
        <f t="shared" si="3"/>
        <v>13500</v>
      </c>
      <c r="D22" s="40">
        <f t="shared" si="2"/>
        <v>205.5933329933608</v>
      </c>
      <c r="E22" s="40">
        <f t="shared" si="0"/>
        <v>705.59333299336083</v>
      </c>
      <c r="F22" s="40">
        <f t="shared" si="1"/>
        <v>500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1"/>
      <c r="B23" s="39">
        <v>10</v>
      </c>
      <c r="C23" s="40">
        <f t="shared" si="3"/>
        <v>13000</v>
      </c>
      <c r="D23" s="40">
        <f t="shared" si="2"/>
        <v>198.25071395788362</v>
      </c>
      <c r="E23" s="40">
        <f t="shared" si="0"/>
        <v>698.25071395788359</v>
      </c>
      <c r="F23" s="40">
        <f t="shared" si="1"/>
        <v>500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1"/>
      <c r="B24" s="39">
        <v>11</v>
      </c>
      <c r="C24" s="40">
        <f t="shared" si="3"/>
        <v>12500</v>
      </c>
      <c r="D24" s="40">
        <f t="shared" si="2"/>
        <v>190.90809492240646</v>
      </c>
      <c r="E24" s="40">
        <f t="shared" si="0"/>
        <v>690.90809492240646</v>
      </c>
      <c r="F24" s="40">
        <f t="shared" si="1"/>
        <v>500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1"/>
      <c r="B25" s="39">
        <v>12</v>
      </c>
      <c r="C25" s="40">
        <f t="shared" si="3"/>
        <v>12000</v>
      </c>
      <c r="D25" s="40">
        <f t="shared" si="2"/>
        <v>183.56547588692928</v>
      </c>
      <c r="E25" s="40">
        <f t="shared" si="0"/>
        <v>683.56547588692933</v>
      </c>
      <c r="F25" s="40">
        <f t="shared" si="1"/>
        <v>500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1"/>
      <c r="B26" s="39">
        <v>13</v>
      </c>
      <c r="C26" s="40">
        <f t="shared" si="3"/>
        <v>11500</v>
      </c>
      <c r="D26" s="40">
        <f t="shared" si="2"/>
        <v>176.22285685145212</v>
      </c>
      <c r="E26" s="40">
        <f t="shared" si="0"/>
        <v>676.22285685145209</v>
      </c>
      <c r="F26" s="40">
        <f t="shared" si="1"/>
        <v>500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1"/>
      <c r="B27" s="39">
        <v>14</v>
      </c>
      <c r="C27" s="40">
        <f t="shared" si="3"/>
        <v>11000</v>
      </c>
      <c r="D27" s="40">
        <f t="shared" si="2"/>
        <v>168.88023781597494</v>
      </c>
      <c r="E27" s="40">
        <f t="shared" si="0"/>
        <v>668.88023781597497</v>
      </c>
      <c r="F27" s="40">
        <f t="shared" si="1"/>
        <v>500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1"/>
      <c r="B28" s="39">
        <v>15</v>
      </c>
      <c r="C28" s="40">
        <f t="shared" si="3"/>
        <v>10500</v>
      </c>
      <c r="D28" s="40">
        <f t="shared" si="2"/>
        <v>161.53761878049778</v>
      </c>
      <c r="E28" s="40">
        <f t="shared" si="0"/>
        <v>661.53761878049772</v>
      </c>
      <c r="F28" s="40">
        <f t="shared" si="1"/>
        <v>500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1"/>
      <c r="B29" s="39">
        <v>16</v>
      </c>
      <c r="C29" s="40">
        <f t="shared" si="3"/>
        <v>10000</v>
      </c>
      <c r="D29" s="40">
        <f t="shared" si="2"/>
        <v>154.1949997450206</v>
      </c>
      <c r="E29" s="40">
        <f t="shared" si="0"/>
        <v>654.1949997450206</v>
      </c>
      <c r="F29" s="40">
        <f t="shared" si="1"/>
        <v>500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1"/>
      <c r="B30" s="39">
        <v>17</v>
      </c>
      <c r="C30" s="40">
        <f t="shared" si="3"/>
        <v>9500</v>
      </c>
      <c r="D30" s="40">
        <f t="shared" si="2"/>
        <v>146.85238070954344</v>
      </c>
      <c r="E30" s="40">
        <f t="shared" si="0"/>
        <v>646.85238070954347</v>
      </c>
      <c r="F30" s="40">
        <f t="shared" si="1"/>
        <v>500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39">
        <v>18</v>
      </c>
      <c r="C31" s="40">
        <f t="shared" si="3"/>
        <v>9000</v>
      </c>
      <c r="D31" s="40">
        <f t="shared" si="2"/>
        <v>139.50976167406625</v>
      </c>
      <c r="E31" s="40">
        <f t="shared" si="0"/>
        <v>639.50976167406623</v>
      </c>
      <c r="F31" s="40">
        <f t="shared" si="1"/>
        <v>500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39">
        <v>19</v>
      </c>
      <c r="C32" s="40">
        <f t="shared" si="3"/>
        <v>8500</v>
      </c>
      <c r="D32" s="40">
        <f t="shared" si="2"/>
        <v>132.1671426385891</v>
      </c>
      <c r="E32" s="40">
        <f t="shared" si="0"/>
        <v>632.1671426385891</v>
      </c>
      <c r="F32" s="40">
        <f t="shared" si="1"/>
        <v>500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39">
        <v>20</v>
      </c>
      <c r="C33" s="40">
        <f t="shared" si="3"/>
        <v>8000</v>
      </c>
      <c r="D33" s="40">
        <f t="shared" si="2"/>
        <v>124.82452360311191</v>
      </c>
      <c r="E33" s="40">
        <f t="shared" si="0"/>
        <v>624.82452360311186</v>
      </c>
      <c r="F33" s="40">
        <f t="shared" si="1"/>
        <v>500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39">
        <v>21</v>
      </c>
      <c r="C34" s="40">
        <f t="shared" si="3"/>
        <v>7500</v>
      </c>
      <c r="D34" s="40">
        <f t="shared" si="2"/>
        <v>117.48190456763474</v>
      </c>
      <c r="E34" s="40">
        <f t="shared" si="0"/>
        <v>617.48190456763473</v>
      </c>
      <c r="F34" s="40">
        <f t="shared" si="1"/>
        <v>500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39">
        <v>22</v>
      </c>
      <c r="C35" s="40">
        <f t="shared" si="3"/>
        <v>7000</v>
      </c>
      <c r="D35" s="40">
        <f t="shared" si="2"/>
        <v>110.13928553215757</v>
      </c>
      <c r="E35" s="40">
        <f t="shared" si="0"/>
        <v>610.1392855321576</v>
      </c>
      <c r="F35" s="40">
        <f t="shared" si="1"/>
        <v>500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39">
        <v>23</v>
      </c>
      <c r="C36" s="40">
        <f t="shared" si="3"/>
        <v>6500</v>
      </c>
      <c r="D36" s="40">
        <f t="shared" si="2"/>
        <v>102.7966664966804</v>
      </c>
      <c r="E36" s="40">
        <f t="shared" si="0"/>
        <v>602.79666649668036</v>
      </c>
      <c r="F36" s="40">
        <f t="shared" si="1"/>
        <v>500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39">
        <v>24</v>
      </c>
      <c r="C37" s="40">
        <f t="shared" si="3"/>
        <v>6000</v>
      </c>
      <c r="D37" s="40">
        <f t="shared" si="2"/>
        <v>95.454047461203231</v>
      </c>
      <c r="E37" s="40">
        <f t="shared" si="0"/>
        <v>595.45404746120323</v>
      </c>
      <c r="F37" s="40">
        <f t="shared" si="1"/>
        <v>500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39">
        <v>25</v>
      </c>
      <c r="C38" s="40">
        <f t="shared" si="3"/>
        <v>5500</v>
      </c>
      <c r="D38" s="40">
        <f t="shared" si="2"/>
        <v>88.111428425726061</v>
      </c>
      <c r="E38" s="40">
        <f t="shared" si="0"/>
        <v>588.1114284257261</v>
      </c>
      <c r="F38" s="40">
        <f t="shared" si="1"/>
        <v>500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39">
        <v>26</v>
      </c>
      <c r="C39" s="40">
        <f t="shared" si="3"/>
        <v>5000</v>
      </c>
      <c r="D39" s="40">
        <f t="shared" si="2"/>
        <v>80.76880939024889</v>
      </c>
      <c r="E39" s="40">
        <f t="shared" si="0"/>
        <v>580.76880939024886</v>
      </c>
      <c r="F39" s="40">
        <f t="shared" si="1"/>
        <v>500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39">
        <v>27</v>
      </c>
      <c r="C40" s="40">
        <f t="shared" si="3"/>
        <v>4500</v>
      </c>
      <c r="D40" s="40">
        <f t="shared" si="2"/>
        <v>73.42619035477172</v>
      </c>
      <c r="E40" s="40">
        <f t="shared" si="0"/>
        <v>573.42619035477173</v>
      </c>
      <c r="F40" s="40">
        <f t="shared" si="1"/>
        <v>500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39">
        <v>28</v>
      </c>
      <c r="C41" s="40">
        <f t="shared" si="3"/>
        <v>4000</v>
      </c>
      <c r="D41" s="40">
        <f t="shared" si="2"/>
        <v>66.083571319294549</v>
      </c>
      <c r="E41" s="40">
        <f t="shared" si="0"/>
        <v>566.08357131929461</v>
      </c>
      <c r="F41" s="40">
        <f t="shared" si="1"/>
        <v>500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39">
        <v>29</v>
      </c>
      <c r="C42" s="40">
        <f t="shared" si="3"/>
        <v>3500</v>
      </c>
      <c r="D42" s="40">
        <f t="shared" si="2"/>
        <v>58.740952283817371</v>
      </c>
      <c r="E42" s="40">
        <f t="shared" si="0"/>
        <v>558.74095228381736</v>
      </c>
      <c r="F42" s="40">
        <f t="shared" si="1"/>
        <v>500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39">
        <v>30</v>
      </c>
      <c r="C43" s="40">
        <f t="shared" si="3"/>
        <v>3000</v>
      </c>
      <c r="D43" s="40">
        <f t="shared" si="2"/>
        <v>51.398333248340201</v>
      </c>
      <c r="E43" s="40">
        <f t="shared" si="0"/>
        <v>551.39833324834024</v>
      </c>
      <c r="F43" s="40">
        <f t="shared" si="1"/>
        <v>500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39">
        <v>31</v>
      </c>
      <c r="C44" s="40">
        <f t="shared" si="3"/>
        <v>2500</v>
      </c>
      <c r="D44" s="40">
        <f t="shared" si="2"/>
        <v>44.05571421286303</v>
      </c>
      <c r="E44" s="40">
        <f t="shared" si="0"/>
        <v>544.05571421286299</v>
      </c>
      <c r="F44" s="40">
        <f t="shared" si="1"/>
        <v>500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39">
        <v>32</v>
      </c>
      <c r="C45" s="40">
        <f t="shared" si="3"/>
        <v>2000</v>
      </c>
      <c r="D45" s="40">
        <f t="shared" si="2"/>
        <v>36.71309517738586</v>
      </c>
      <c r="E45" s="40">
        <f t="shared" si="0"/>
        <v>536.71309517738587</v>
      </c>
      <c r="F45" s="40">
        <f t="shared" si="1"/>
        <v>500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39">
        <v>33</v>
      </c>
      <c r="C46" s="40">
        <f t="shared" si="3"/>
        <v>1500</v>
      </c>
      <c r="D46" s="40">
        <f t="shared" si="2"/>
        <v>29.370476141908686</v>
      </c>
      <c r="E46" s="40">
        <f t="shared" si="0"/>
        <v>529.37047614190874</v>
      </c>
      <c r="F46" s="40">
        <f t="shared" si="1"/>
        <v>500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39">
        <v>34</v>
      </c>
      <c r="C47" s="40">
        <f t="shared" si="3"/>
        <v>1000</v>
      </c>
      <c r="D47" s="40">
        <f t="shared" si="2"/>
        <v>22.027857106431515</v>
      </c>
      <c r="E47" s="40">
        <f t="shared" si="0"/>
        <v>522.0278571064315</v>
      </c>
      <c r="F47" s="40">
        <f t="shared" si="1"/>
        <v>500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39">
        <v>35</v>
      </c>
      <c r="C48" s="40">
        <f t="shared" si="3"/>
        <v>500</v>
      </c>
      <c r="D48" s="40">
        <f t="shared" si="2"/>
        <v>14.685238070954343</v>
      </c>
      <c r="E48" s="40">
        <f>D48+F48</f>
        <v>514.68523807095437</v>
      </c>
      <c r="F48" s="40">
        <f t="shared" si="1"/>
        <v>500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39">
        <v>36</v>
      </c>
      <c r="C49" s="228">
        <f t="shared" si="3"/>
        <v>0</v>
      </c>
      <c r="D49" s="40">
        <f t="shared" si="2"/>
        <v>7.3426190354771714</v>
      </c>
      <c r="E49" s="40">
        <f t="shared" si="0"/>
        <v>507.34261903547718</v>
      </c>
      <c r="F49" s="40">
        <f t="shared" si="1"/>
        <v>500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229"/>
      <c r="C50" s="245"/>
      <c r="D50" s="43">
        <f>SUM(D14:D49)</f>
        <v>4890.1842776277972</v>
      </c>
      <c r="E50" s="246"/>
      <c r="F50" s="43">
        <f>SUM(F14:F49)</f>
        <v>18000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56" t="s">
        <v>797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7">
    <mergeCell ref="E8:F8"/>
    <mergeCell ref="B9:C9"/>
    <mergeCell ref="E9:F9"/>
    <mergeCell ref="B10:C10"/>
    <mergeCell ref="E10:F10"/>
    <mergeCell ref="B8:C8"/>
    <mergeCell ref="B2:F2"/>
    <mergeCell ref="B3:C3"/>
    <mergeCell ref="E3:F3"/>
    <mergeCell ref="B4:C4"/>
    <mergeCell ref="E4:F4"/>
    <mergeCell ref="B5:C5"/>
    <mergeCell ref="B6:C6"/>
    <mergeCell ref="E5:F5"/>
    <mergeCell ref="E6:F6"/>
    <mergeCell ref="B7:C7"/>
    <mergeCell ref="E7:F7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showGridLines="0" workbookViewId="0">
      <selection activeCell="I24" sqref="I24"/>
    </sheetView>
  </sheetViews>
  <sheetFormatPr baseColWidth="10" defaultColWidth="12.625" defaultRowHeight="15" customHeight="1"/>
  <cols>
    <col min="1" max="1" width="3.125" customWidth="1"/>
    <col min="2" max="2" width="26.875" customWidth="1"/>
    <col min="3" max="7" width="12" customWidth="1"/>
    <col min="8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5" t="s">
        <v>798</v>
      </c>
      <c r="C2" s="5" t="s">
        <v>454</v>
      </c>
      <c r="D2" s="5" t="s">
        <v>456</v>
      </c>
      <c r="E2" s="5" t="s">
        <v>458</v>
      </c>
      <c r="F2" s="5" t="s">
        <v>460</v>
      </c>
      <c r="G2" s="5" t="s">
        <v>462</v>
      </c>
      <c r="H2" s="125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247" t="s">
        <v>799</v>
      </c>
      <c r="C3" s="193">
        <f>Venta_Unidades!O6</f>
        <v>4368</v>
      </c>
      <c r="D3" s="193">
        <f>Venta_Unidades!O7</f>
        <v>5152.4475524475529</v>
      </c>
      <c r="E3" s="193">
        <f>Venta_Unidades!O8</f>
        <v>5936.8951048951058</v>
      </c>
      <c r="F3" s="193">
        <f>Venta_Unidades!O9</f>
        <v>6721.3426573426586</v>
      </c>
      <c r="G3" s="193">
        <f>Venta_Unidades!O10</f>
        <v>7505.7902097902124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8" t="s">
        <v>800</v>
      </c>
      <c r="C4" s="40">
        <f>Costos_Unitarios!D20</f>
        <v>45</v>
      </c>
      <c r="D4" s="40">
        <f t="shared" ref="D4:G4" si="0">C4</f>
        <v>45</v>
      </c>
      <c r="E4" s="40">
        <f t="shared" si="0"/>
        <v>45</v>
      </c>
      <c r="F4" s="40">
        <f t="shared" si="0"/>
        <v>45</v>
      </c>
      <c r="G4" s="40">
        <f t="shared" si="0"/>
        <v>45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8" t="s">
        <v>801</v>
      </c>
      <c r="C5" s="40">
        <f>Costos_Unitarios!C16</f>
        <v>14.705715052910055</v>
      </c>
      <c r="D5" s="40">
        <f t="shared" ref="D5:G5" si="1">C5</f>
        <v>14.705715052910055</v>
      </c>
      <c r="E5" s="40">
        <f t="shared" si="1"/>
        <v>14.705715052910055</v>
      </c>
      <c r="F5" s="40">
        <f t="shared" si="1"/>
        <v>14.705715052910055</v>
      </c>
      <c r="G5" s="40">
        <f t="shared" si="1"/>
        <v>14.705715052910055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0" t="s">
        <v>802</v>
      </c>
      <c r="C6" s="83">
        <f t="shared" ref="C6:G6" si="2">C3*C4</f>
        <v>196560</v>
      </c>
      <c r="D6" s="83">
        <f t="shared" si="2"/>
        <v>231860.13986013987</v>
      </c>
      <c r="E6" s="83">
        <f t="shared" si="2"/>
        <v>267160.27972027974</v>
      </c>
      <c r="F6" s="83">
        <f t="shared" si="2"/>
        <v>302460.41958041966</v>
      </c>
      <c r="G6" s="83">
        <f t="shared" si="2"/>
        <v>337760.55944055953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8" t="s">
        <v>803</v>
      </c>
      <c r="C7" s="40">
        <f>'Estado de Resultados'!C8</f>
        <v>21240</v>
      </c>
      <c r="D7" s="40">
        <f>'Estado de Resultados'!D8</f>
        <v>21240</v>
      </c>
      <c r="E7" s="40">
        <f>'Estado de Resultados'!E8</f>
        <v>21240</v>
      </c>
      <c r="F7" s="40">
        <f>'Estado de Resultados'!F8</f>
        <v>21240</v>
      </c>
      <c r="G7" s="40">
        <f>'Estado de Resultados'!G8</f>
        <v>21240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8" t="s">
        <v>804</v>
      </c>
      <c r="C8" s="40">
        <f>'Estado de Resultados'!J10</f>
        <v>11760</v>
      </c>
      <c r="D8" s="40">
        <f>'Estado de Resultados'!K10</f>
        <v>11760</v>
      </c>
      <c r="E8" s="40">
        <f>'Estado de Resultados'!L10</f>
        <v>11760</v>
      </c>
      <c r="F8" s="40">
        <f>'Estado de Resultados'!M10</f>
        <v>11760</v>
      </c>
      <c r="G8" s="40">
        <f>'Estado de Resultados'!N10</f>
        <v>11760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0" t="s">
        <v>805</v>
      </c>
      <c r="C9" s="83">
        <f t="shared" ref="C9:G9" si="3">C7+C8</f>
        <v>33000</v>
      </c>
      <c r="D9" s="83">
        <f t="shared" si="3"/>
        <v>33000</v>
      </c>
      <c r="E9" s="83">
        <f t="shared" si="3"/>
        <v>33000</v>
      </c>
      <c r="F9" s="83">
        <f t="shared" si="3"/>
        <v>33000</v>
      </c>
      <c r="G9" s="83">
        <f t="shared" si="3"/>
        <v>33000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9"/>
      <c r="C10" s="19"/>
      <c r="D10" s="19"/>
      <c r="E10" s="19"/>
      <c r="F10" s="19"/>
      <c r="G10" s="1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458" t="s">
        <v>806</v>
      </c>
      <c r="C11" s="436"/>
      <c r="D11" s="436"/>
      <c r="E11" s="436"/>
      <c r="F11" s="436"/>
      <c r="G11" s="43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.25" customHeight="1">
      <c r="A12" s="1"/>
      <c r="B12" s="19"/>
      <c r="C12" s="19"/>
      <c r="D12" s="19"/>
      <c r="E12" s="19"/>
      <c r="F12" s="19"/>
      <c r="G12" s="1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5" t="s">
        <v>798</v>
      </c>
      <c r="C13" s="5" t="s">
        <v>454</v>
      </c>
      <c r="D13" s="5" t="s">
        <v>456</v>
      </c>
      <c r="E13" s="5" t="s">
        <v>458</v>
      </c>
      <c r="F13" s="5" t="s">
        <v>460</v>
      </c>
      <c r="G13" s="5" t="s">
        <v>462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8" t="s">
        <v>807</v>
      </c>
      <c r="C14" s="40">
        <f t="shared" ref="C14:G14" si="4">C6-C15</f>
        <v>161179.20000000001</v>
      </c>
      <c r="D14" s="40">
        <f t="shared" si="4"/>
        <v>190125.31468531469</v>
      </c>
      <c r="E14" s="40">
        <f t="shared" si="4"/>
        <v>219071.42937062937</v>
      </c>
      <c r="F14" s="40">
        <f t="shared" si="4"/>
        <v>248017.54405594413</v>
      </c>
      <c r="G14" s="40">
        <f t="shared" si="4"/>
        <v>276963.65874125884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22" t="s">
        <v>808</v>
      </c>
      <c r="C15" s="40">
        <f t="shared" ref="C15:G15" si="5">C6*0.18</f>
        <v>35380.799999999996</v>
      </c>
      <c r="D15" s="40">
        <f t="shared" si="5"/>
        <v>41734.825174825171</v>
      </c>
      <c r="E15" s="40">
        <f t="shared" si="5"/>
        <v>48088.850349650354</v>
      </c>
      <c r="F15" s="40">
        <f t="shared" si="5"/>
        <v>54442.875524475538</v>
      </c>
      <c r="G15" s="40">
        <f t="shared" si="5"/>
        <v>60796.900699300713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8" t="s">
        <v>809</v>
      </c>
      <c r="C16" s="40">
        <f t="shared" ref="C16:G16" si="6">C9-C17</f>
        <v>27060</v>
      </c>
      <c r="D16" s="40">
        <f t="shared" si="6"/>
        <v>27060</v>
      </c>
      <c r="E16" s="40">
        <f t="shared" si="6"/>
        <v>27060</v>
      </c>
      <c r="F16" s="40">
        <f t="shared" si="6"/>
        <v>27060</v>
      </c>
      <c r="G16" s="40">
        <f t="shared" si="6"/>
        <v>27060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22" t="s">
        <v>810</v>
      </c>
      <c r="C17" s="40">
        <f t="shared" ref="C17:G17" si="7">C9*0.18</f>
        <v>5940</v>
      </c>
      <c r="D17" s="40">
        <f t="shared" si="7"/>
        <v>5940</v>
      </c>
      <c r="E17" s="40">
        <f t="shared" si="7"/>
        <v>5940</v>
      </c>
      <c r="F17" s="40">
        <f t="shared" si="7"/>
        <v>5940</v>
      </c>
      <c r="G17" s="40">
        <f t="shared" si="7"/>
        <v>5940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65" t="s">
        <v>811</v>
      </c>
      <c r="C18" s="178">
        <f t="shared" ref="C18:G18" si="8">C15-C17</f>
        <v>29440.799999999996</v>
      </c>
      <c r="D18" s="178">
        <f t="shared" si="8"/>
        <v>35794.825174825171</v>
      </c>
      <c r="E18" s="178">
        <f t="shared" si="8"/>
        <v>42148.850349650354</v>
      </c>
      <c r="F18" s="178">
        <f t="shared" si="8"/>
        <v>48502.875524475538</v>
      </c>
      <c r="G18" s="178">
        <f t="shared" si="8"/>
        <v>54856.900699300713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11:G11"/>
  </mergeCells>
  <pageMargins left="0.7" right="0.7" top="0.75" bottom="0.75" header="0" footer="0"/>
  <pageSetup orientation="landscape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Z1000"/>
  <sheetViews>
    <sheetView showGridLines="0" topLeftCell="A16" workbookViewId="0">
      <selection activeCell="I28" sqref="I28"/>
    </sheetView>
  </sheetViews>
  <sheetFormatPr baseColWidth="10" defaultColWidth="12.625" defaultRowHeight="15" customHeight="1"/>
  <cols>
    <col min="1" max="1" width="3.125" customWidth="1"/>
    <col min="2" max="2" width="40" customWidth="1"/>
    <col min="3" max="3" width="13.75" customWidth="1"/>
    <col min="4" max="4" width="14.75" customWidth="1"/>
    <col min="5" max="8" width="13.75" customWidth="1"/>
    <col min="9" max="26" width="8" customWidth="1"/>
  </cols>
  <sheetData>
    <row r="1" spans="1:26">
      <c r="A1" s="23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39"/>
      <c r="B2" s="458" t="s">
        <v>812</v>
      </c>
      <c r="C2" s="436"/>
      <c r="D2" s="436"/>
      <c r="E2" s="436"/>
      <c r="F2" s="436"/>
      <c r="G2" s="436"/>
      <c r="H2" s="43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23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239"/>
      <c r="B4" s="5" t="s">
        <v>552</v>
      </c>
      <c r="C4" s="5" t="s">
        <v>813</v>
      </c>
      <c r="D4" s="5" t="s">
        <v>454</v>
      </c>
      <c r="E4" s="5" t="s">
        <v>456</v>
      </c>
      <c r="F4" s="5" t="s">
        <v>458</v>
      </c>
      <c r="G4" s="5" t="s">
        <v>460</v>
      </c>
      <c r="H4" s="5" t="s">
        <v>462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239"/>
      <c r="B5" s="51" t="s">
        <v>814</v>
      </c>
      <c r="C5" s="40"/>
      <c r="D5" s="40"/>
      <c r="E5" s="40"/>
      <c r="F5" s="40"/>
      <c r="G5" s="40"/>
      <c r="H5" s="40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239" t="s">
        <v>710</v>
      </c>
      <c r="B6" s="11" t="s">
        <v>815</v>
      </c>
      <c r="C6" s="40">
        <f>Inversión_Inicial!F7*(-1)</f>
        <v>-10838</v>
      </c>
      <c r="D6" s="40">
        <f>-Depreciación_VR!C14</f>
        <v>-15</v>
      </c>
      <c r="E6" s="40">
        <f>-(Depreciación_VR!C19+Depreciación_VR!C18+Depreciación_VR!C14)</f>
        <v>-5372</v>
      </c>
      <c r="F6" s="40">
        <f>-(Depreciación_VR!C14+Depreciación_VR!C21)</f>
        <v>-3415</v>
      </c>
      <c r="G6" s="40">
        <f>E6</f>
        <v>-5372</v>
      </c>
      <c r="H6" s="40">
        <f>D6</f>
        <v>-15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239" t="s">
        <v>710</v>
      </c>
      <c r="B7" s="11" t="s">
        <v>816</v>
      </c>
      <c r="C7" s="40">
        <f>(-1)*Inversión_Inicial!F24</f>
        <v>-1116.99</v>
      </c>
      <c r="D7" s="40"/>
      <c r="E7" s="40"/>
      <c r="F7" s="40"/>
      <c r="G7" s="40"/>
      <c r="H7" s="40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239" t="s">
        <v>710</v>
      </c>
      <c r="B8" s="11" t="s">
        <v>817</v>
      </c>
      <c r="C8" s="40">
        <f>'Flujo de Caja Económico B'!K5</f>
        <v>-12336.332666666667</v>
      </c>
      <c r="D8" s="171">
        <f>'Flujo de Caja Económico B'!K6</f>
        <v>-2215.4775564435586</v>
      </c>
      <c r="E8" s="171">
        <f>'Flujo de Caja Económico B'!K7</f>
        <v>-2215.4775564435568</v>
      </c>
      <c r="F8" s="171">
        <f>'Flujo de Caja Económico B'!K8</f>
        <v>-2215.4775564435586</v>
      </c>
      <c r="G8" s="40">
        <f>'Flujo de Caja Económico B'!K9</f>
        <v>-2215.4775564435622</v>
      </c>
      <c r="H8" s="40">
        <f>'Flujo de Caja Económico B'!K10</f>
        <v>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239" t="s">
        <v>818</v>
      </c>
      <c r="B9" s="11" t="s">
        <v>819</v>
      </c>
      <c r="C9" s="40"/>
      <c r="D9" s="40"/>
      <c r="E9" s="40"/>
      <c r="F9" s="40"/>
      <c r="G9" s="40"/>
      <c r="H9" s="40">
        <f>-SUM(C8:H8)</f>
        <v>21198.242892440903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239" t="s">
        <v>818</v>
      </c>
      <c r="B10" s="11" t="s">
        <v>820</v>
      </c>
      <c r="C10" s="40"/>
      <c r="D10" s="40"/>
      <c r="E10" s="40"/>
      <c r="F10" s="40"/>
      <c r="G10" s="40"/>
      <c r="H10" s="40">
        <f>Depreciación_VR!H22</f>
        <v>3826.1190476190477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239"/>
      <c r="B11" s="76" t="s">
        <v>821</v>
      </c>
      <c r="C11" s="83">
        <f t="shared" ref="C11:H11" si="0">SUM(C6:C10)</f>
        <v>-24291.322666666667</v>
      </c>
      <c r="D11" s="83">
        <f t="shared" si="0"/>
        <v>-2230.4775564435586</v>
      </c>
      <c r="E11" s="83">
        <f t="shared" si="0"/>
        <v>-7587.4775564435568</v>
      </c>
      <c r="F11" s="83">
        <f t="shared" si="0"/>
        <v>-5630.4775564435586</v>
      </c>
      <c r="G11" s="83">
        <f t="shared" si="0"/>
        <v>-7587.4775564435622</v>
      </c>
      <c r="H11" s="83">
        <f t="shared" si="0"/>
        <v>25009.361940059949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39"/>
      <c r="B12" s="51" t="s">
        <v>822</v>
      </c>
      <c r="C12" s="79"/>
      <c r="D12" s="79"/>
      <c r="E12" s="79"/>
      <c r="F12" s="79"/>
      <c r="G12" s="79"/>
      <c r="H12" s="7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239"/>
      <c r="B13" s="11" t="s">
        <v>704</v>
      </c>
      <c r="C13" s="40"/>
      <c r="D13" s="40">
        <f>'Estado de Resultados'!C5</f>
        <v>196560</v>
      </c>
      <c r="E13" s="40">
        <f>'Estado de Resultados'!D5</f>
        <v>231860.13986013987</v>
      </c>
      <c r="F13" s="40">
        <f>'Estado de Resultados'!E5</f>
        <v>267160.27972027974</v>
      </c>
      <c r="G13" s="40">
        <f>'Estado de Resultados'!F5</f>
        <v>302460.41958041966</v>
      </c>
      <c r="H13" s="40">
        <f>'Estado de Resultados'!G5</f>
        <v>337760.55944055953</v>
      </c>
      <c r="I13" s="2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248" t="s">
        <v>710</v>
      </c>
      <c r="B14" s="16" t="s">
        <v>395</v>
      </c>
      <c r="C14" s="113"/>
      <c r="D14" s="113">
        <f>-'Estado de Resultados'!C9</f>
        <v>-106949.02399999999</v>
      </c>
      <c r="E14" s="113">
        <f>-'Estado de Resultados'!D9</f>
        <v>-126155.96083916085</v>
      </c>
      <c r="F14" s="113">
        <f>-'Estado de Resultados'!E9</f>
        <v>-145362.89767832169</v>
      </c>
      <c r="G14" s="113">
        <f>-'Estado de Resultados'!F9</f>
        <v>-164569.83451748255</v>
      </c>
      <c r="H14" s="113">
        <f>-'Estado de Resultados'!G9</f>
        <v>-183776.77135664341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239" t="s">
        <v>710</v>
      </c>
      <c r="B15" s="11" t="str">
        <f>'Estado de Resultados'!B13</f>
        <v>Gastos de venta</v>
      </c>
      <c r="C15" s="40"/>
      <c r="D15" s="40">
        <f>-'Estado de Resultados'!C13</f>
        <v>-21420</v>
      </c>
      <c r="E15" s="40">
        <f>-'Estado de Resultados'!D13</f>
        <v>-21420</v>
      </c>
      <c r="F15" s="40">
        <f>-'Estado de Resultados'!E13</f>
        <v>-21420</v>
      </c>
      <c r="G15" s="40">
        <f>-'Estado de Resultados'!F13</f>
        <v>-21420</v>
      </c>
      <c r="H15" s="40">
        <f>-'Estado de Resultados'!G13</f>
        <v>-21420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239" t="s">
        <v>710</v>
      </c>
      <c r="B16" s="11" t="s">
        <v>717</v>
      </c>
      <c r="C16" s="40"/>
      <c r="D16" s="40">
        <f>-'Estado de Resultados'!C14</f>
        <v>-27600</v>
      </c>
      <c r="E16" s="40">
        <f>-'Estado de Resultados'!D14</f>
        <v>-27600</v>
      </c>
      <c r="F16" s="40">
        <f>-'Estado de Resultados'!E14</f>
        <v>-27600</v>
      </c>
      <c r="G16" s="40">
        <f>-'Estado de Resultados'!F14</f>
        <v>-27600</v>
      </c>
      <c r="H16" s="40">
        <f>-'Estado de Resultados'!G14</f>
        <v>-27600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239" t="s">
        <v>710</v>
      </c>
      <c r="B17" s="11" t="s">
        <v>823</v>
      </c>
      <c r="C17" s="40"/>
      <c r="D17" s="249">
        <f>-'Pago IGV'!C18</f>
        <v>-29440.799999999996</v>
      </c>
      <c r="E17" s="249">
        <f>-'Pago IGV'!D18</f>
        <v>-35794.825174825171</v>
      </c>
      <c r="F17" s="249">
        <f>-'Pago IGV'!E18</f>
        <v>-42148.850349650354</v>
      </c>
      <c r="G17" s="249">
        <f>-'Pago IGV'!F18</f>
        <v>-48502.875524475538</v>
      </c>
      <c r="H17" s="249">
        <f>-'Pago IGV'!G18</f>
        <v>-54856.900699300713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239" t="s">
        <v>710</v>
      </c>
      <c r="B18" s="11" t="s">
        <v>526</v>
      </c>
      <c r="C18" s="40"/>
      <c r="D18" s="40">
        <f>-'Estado de Resultados'!C19</f>
        <v>-541.95602714285724</v>
      </c>
      <c r="E18" s="40">
        <f>-'Estado de Resultados'!D19</f>
        <v>-783.35407245754232</v>
      </c>
      <c r="F18" s="40">
        <f>-'Estado de Resultados'!E19</f>
        <v>-1024.7521177722276</v>
      </c>
      <c r="G18" s="40">
        <f>-'Estado de Resultados'!F19</f>
        <v>-1266.1501630869136</v>
      </c>
      <c r="H18" s="40">
        <f>-'Estado de Resultados'!G19</f>
        <v>-1507.5482084015989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customHeight="1">
      <c r="A19" s="239"/>
      <c r="B19" s="76" t="s">
        <v>824</v>
      </c>
      <c r="C19" s="83">
        <f t="shared" ref="C19:H19" si="1">SUM(C13:C18)</f>
        <v>0</v>
      </c>
      <c r="D19" s="83">
        <f t="shared" si="1"/>
        <v>10608.219972857158</v>
      </c>
      <c r="E19" s="83">
        <f t="shared" si="1"/>
        <v>20105.999773696305</v>
      </c>
      <c r="F19" s="83">
        <f t="shared" si="1"/>
        <v>29603.779574535463</v>
      </c>
      <c r="G19" s="83">
        <f t="shared" si="1"/>
        <v>39101.559375374658</v>
      </c>
      <c r="H19" s="83">
        <f t="shared" si="1"/>
        <v>48599.339176213813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239"/>
      <c r="B20" s="78" t="s">
        <v>825</v>
      </c>
      <c r="C20" s="178">
        <f t="shared" ref="C20:H20" si="2">C11+C19</f>
        <v>-24291.322666666667</v>
      </c>
      <c r="D20" s="178">
        <f t="shared" si="2"/>
        <v>8377.7424164135991</v>
      </c>
      <c r="E20" s="178">
        <f t="shared" si="2"/>
        <v>12518.522217252748</v>
      </c>
      <c r="F20" s="178">
        <f t="shared" si="2"/>
        <v>23973.302018091905</v>
      </c>
      <c r="G20" s="178">
        <f t="shared" si="2"/>
        <v>31514.081818931096</v>
      </c>
      <c r="H20" s="178">
        <f t="shared" si="2"/>
        <v>73608.701116273762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39"/>
      <c r="B21" s="250" t="s">
        <v>826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3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3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39"/>
      <c r="B24" s="1"/>
      <c r="C24" s="251" t="s">
        <v>827</v>
      </c>
      <c r="D24" s="20">
        <f>Ku!C34</f>
        <v>0.22474608925913628</v>
      </c>
      <c r="E24" s="156" t="s">
        <v>828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39"/>
      <c r="B25" s="1"/>
      <c r="C25" s="251" t="s">
        <v>829</v>
      </c>
      <c r="D25" s="40">
        <f>NPV(D24,'Flujo de Caja Económico A'!D20:H20)+'Flujo de Caja Económico A'!C20</f>
        <v>44661.845250373233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39"/>
      <c r="B26" s="1"/>
      <c r="C26" s="251" t="s">
        <v>830</v>
      </c>
      <c r="D26" s="18">
        <f>IRR('Flujo de Caja Económico A'!C20:H20)</f>
        <v>0.67180838320158132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39"/>
      <c r="B27" s="1"/>
      <c r="C27" s="1"/>
      <c r="D27" s="1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39"/>
      <c r="B28" s="1"/>
      <c r="C28" s="1"/>
      <c r="D28" s="252">
        <f t="array" ref="D28">NPV(D24,'Flujo de Caja Económico B'!D26:H26)+'Flujo de Caja Económico B'!C26</f>
        <v>44649.935691733299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39"/>
      <c r="B29" s="1"/>
      <c r="C29" s="1"/>
      <c r="D29" s="18">
        <f>IRR('Flujo de Caja Económico B'!C26:H26)</f>
        <v>0.6717513572604108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customHeight="1">
      <c r="A30" s="23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3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3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23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3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3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3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3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3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3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3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3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39"/>
      <c r="B42" s="1"/>
      <c r="C42" s="1"/>
      <c r="D42" s="1"/>
      <c r="E42" s="1"/>
      <c r="F42" s="1"/>
      <c r="G42" s="253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7.25" customHeight="1">
      <c r="A43" s="23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23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23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7.25" customHeight="1">
      <c r="A46" s="23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>
      <c r="A47" s="23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8.5" customHeight="1">
      <c r="A48" s="23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3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3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3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39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39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39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39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39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39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39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39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39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39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39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39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39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39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39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39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39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39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39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39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39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39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39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39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39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239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39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239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239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239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239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239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39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239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239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239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239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239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239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239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239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239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239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239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239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239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239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239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239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239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239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239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239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239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239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239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239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239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239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239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239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239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239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239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239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239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239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239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239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239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239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239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239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239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239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239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239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239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239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239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239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239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239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239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239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239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239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239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239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239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239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239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239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239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239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239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239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239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239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239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239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239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239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239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239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239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239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239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239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239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239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239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239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239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239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239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239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239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239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239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239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239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239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239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239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239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239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239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239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239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239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239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239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239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239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239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239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239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239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239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239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239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239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239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239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239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239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239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239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239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239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239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239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239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239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239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239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239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239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239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239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239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239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239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239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239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239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239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239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239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239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239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239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239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239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239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239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239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239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239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239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239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239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239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239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239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239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239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239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239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239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239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239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239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239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239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239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239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239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239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239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239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239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239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239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239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239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239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239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239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239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239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239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239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239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239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239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239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239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239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239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239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239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239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239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239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239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239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239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239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239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239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239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239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239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39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239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239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239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39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239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239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239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39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239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239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239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239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239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239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239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239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239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239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239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239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239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239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239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239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239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239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239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239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239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239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239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239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239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239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239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239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239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239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239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239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239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239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239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239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239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239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239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239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239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239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239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239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239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239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239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239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239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239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239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239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239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239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239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239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239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239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239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239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239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239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239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239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239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239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239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239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239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239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239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239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239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239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239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239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239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239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239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239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239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239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239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239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239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239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239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239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239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239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239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239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239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239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239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239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239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239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239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239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239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239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239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239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239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239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239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239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239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239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239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239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239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239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239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239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239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239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239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239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239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239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239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239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239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239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239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239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239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239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239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239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239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239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239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239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239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239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239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239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239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239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39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239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239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239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239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239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239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239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239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239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239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239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239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239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239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239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239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239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239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239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239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239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239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239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239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239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239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239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239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239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239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239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239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239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239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239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239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239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239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239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239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239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239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239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239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239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239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239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239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239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239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239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239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239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239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239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239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239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239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239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239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239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239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239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239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239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239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239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239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239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239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239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239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239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239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239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239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239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239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239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239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239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239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239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239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239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239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239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239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239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239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239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239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239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239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239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239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239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239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239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239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239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239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239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239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239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239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239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239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239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239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239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239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239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239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239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239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239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239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239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239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239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239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239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239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239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239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239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239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239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239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239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239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239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239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239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239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239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239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239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239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239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239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239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239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239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239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239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239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239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239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239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239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239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239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239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239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239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239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239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239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239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239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239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239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239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239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239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239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239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239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239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239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239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239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239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239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239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239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239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239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239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239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239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239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23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239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239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239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239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239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239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239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239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239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239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239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239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239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239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239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239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239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239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239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239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239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239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239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239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239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239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239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239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239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239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239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239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239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239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239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239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239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239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239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239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239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239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239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239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239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239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239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239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239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239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239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239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239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239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239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239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239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239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239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239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239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239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239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239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239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239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239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239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239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239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239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239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239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239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239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239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239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239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239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239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239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239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239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239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239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239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239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239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239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239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239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239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239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239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239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239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239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239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239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239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239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239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239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239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239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239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239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239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239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239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239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239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239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239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239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239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239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239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239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239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239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239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239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239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239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239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239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239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239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239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239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23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239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239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239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239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239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239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239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239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239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239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239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239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239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239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239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239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239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239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239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239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239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239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239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239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239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239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239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239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239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239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239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239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239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239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239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239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239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239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239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239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239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239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239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239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239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239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239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239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239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239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239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239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239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239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239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239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239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239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239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239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239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239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239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239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239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239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239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239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239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239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239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239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239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239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239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239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239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239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239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239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239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239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239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239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239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239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239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239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239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239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239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239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239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239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239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239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239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239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239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239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239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239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239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239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239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239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239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239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239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239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239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239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239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239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239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239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239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239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239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239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239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239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239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239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239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239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239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239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239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239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239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239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239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239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239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239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239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239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239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239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239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239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239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239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239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239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239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239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239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239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239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239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239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239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239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239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239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239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239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239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239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239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239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239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239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239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239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239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239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239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239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239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239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239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239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239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239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239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239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239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239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239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239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239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239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239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239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239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239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239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239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239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239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239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239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239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239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239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239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239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239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239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239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239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239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239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239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239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239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239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239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239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239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239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239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239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239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239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239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239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239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239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239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239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239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239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239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239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239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239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239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239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239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239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239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239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239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239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239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239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239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239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239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239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239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H2"/>
  </mergeCells>
  <pageMargins left="0.7" right="0.7" top="0.75" bottom="0.75" header="0" footer="0"/>
  <pageSetup orientation="portrait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Z1000"/>
  <sheetViews>
    <sheetView showGridLines="0" workbookViewId="0"/>
  </sheetViews>
  <sheetFormatPr baseColWidth="10" defaultColWidth="12.625" defaultRowHeight="15" customHeight="1"/>
  <cols>
    <col min="1" max="1" width="3.125" customWidth="1"/>
    <col min="2" max="2" width="49.625" customWidth="1"/>
    <col min="3" max="8" width="15.5" customWidth="1"/>
    <col min="9" max="9" width="10" customWidth="1"/>
    <col min="10" max="10" width="9" customWidth="1"/>
    <col min="11" max="11" width="21.625" customWidth="1"/>
    <col min="12" max="12" width="19.375" customWidth="1"/>
    <col min="13" max="13" width="13.5" customWidth="1"/>
    <col min="14" max="26" width="10" customWidth="1"/>
  </cols>
  <sheetData>
    <row r="1" spans="1:26">
      <c r="A1" s="23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39"/>
      <c r="B2" s="458" t="s">
        <v>831</v>
      </c>
      <c r="C2" s="436"/>
      <c r="D2" s="436"/>
      <c r="E2" s="436"/>
      <c r="F2" s="436"/>
      <c r="G2" s="436"/>
      <c r="H2" s="437"/>
      <c r="I2" s="1"/>
      <c r="J2" s="469" t="s">
        <v>832</v>
      </c>
      <c r="K2" s="436"/>
      <c r="L2" s="436"/>
      <c r="M2" s="437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23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0">
      <c r="A4" s="239"/>
      <c r="B4" s="5" t="s">
        <v>552</v>
      </c>
      <c r="C4" s="5" t="s">
        <v>833</v>
      </c>
      <c r="D4" s="5" t="s">
        <v>699</v>
      </c>
      <c r="E4" s="5" t="s">
        <v>700</v>
      </c>
      <c r="F4" s="5" t="s">
        <v>701</v>
      </c>
      <c r="G4" s="5" t="s">
        <v>702</v>
      </c>
      <c r="H4" s="5" t="s">
        <v>703</v>
      </c>
      <c r="I4" s="1"/>
      <c r="J4" s="254" t="s">
        <v>834</v>
      </c>
      <c r="K4" s="254" t="s">
        <v>835</v>
      </c>
      <c r="L4" s="254" t="s">
        <v>836</v>
      </c>
      <c r="M4" s="254" t="s">
        <v>837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239"/>
      <c r="B5" s="11" t="s">
        <v>838</v>
      </c>
      <c r="C5" s="40"/>
      <c r="D5" s="39">
        <f>Venta_Unidades!O6</f>
        <v>4368</v>
      </c>
      <c r="E5" s="39">
        <f>Venta_Unidades!O7</f>
        <v>5152.4475524475529</v>
      </c>
      <c r="F5" s="39">
        <f>Venta_Unidades!O8</f>
        <v>5936.8951048951058</v>
      </c>
      <c r="G5" s="39">
        <f>Venta_Unidades!O9</f>
        <v>6721.3426573426586</v>
      </c>
      <c r="H5" s="39">
        <f>Venta_Unidades!O10</f>
        <v>7505.7902097902124</v>
      </c>
      <c r="I5" s="1"/>
      <c r="J5" s="170" t="s">
        <v>813</v>
      </c>
      <c r="K5" s="171">
        <f>-'KW_Año 1'!P12</f>
        <v>-12336.332666666667</v>
      </c>
      <c r="L5" s="171">
        <v>0</v>
      </c>
      <c r="M5" s="255">
        <v>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239"/>
      <c r="B6" s="11" t="s">
        <v>839</v>
      </c>
      <c r="C6" s="40"/>
      <c r="D6" s="40">
        <v>45</v>
      </c>
      <c r="E6" s="40">
        <f t="shared" ref="E6:H6" si="0">D6</f>
        <v>45</v>
      </c>
      <c r="F6" s="40">
        <f t="shared" si="0"/>
        <v>45</v>
      </c>
      <c r="G6" s="40">
        <f t="shared" si="0"/>
        <v>45</v>
      </c>
      <c r="H6" s="40">
        <f t="shared" si="0"/>
        <v>45</v>
      </c>
      <c r="I6" s="1"/>
      <c r="J6" s="170" t="s">
        <v>454</v>
      </c>
      <c r="K6" s="171">
        <f t="shared" ref="K6:K10" si="1">L7-L6</f>
        <v>-2215.4775564435586</v>
      </c>
      <c r="L6" s="171">
        <f>K5</f>
        <v>-12336.332666666667</v>
      </c>
      <c r="M6" s="255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239"/>
      <c r="B7" s="11" t="s">
        <v>840</v>
      </c>
      <c r="C7" s="40"/>
      <c r="D7" s="193">
        <f t="shared" ref="D7:H7" si="2">D5*D6</f>
        <v>196560</v>
      </c>
      <c r="E7" s="193">
        <f t="shared" si="2"/>
        <v>231860.13986013987</v>
      </c>
      <c r="F7" s="193">
        <f t="shared" si="2"/>
        <v>267160.27972027974</v>
      </c>
      <c r="G7" s="193">
        <f t="shared" si="2"/>
        <v>302460.41958041966</v>
      </c>
      <c r="H7" s="193">
        <f t="shared" si="2"/>
        <v>337760.55944055953</v>
      </c>
      <c r="I7" s="1"/>
      <c r="J7" s="170" t="s">
        <v>456</v>
      </c>
      <c r="K7" s="171">
        <f t="shared" si="1"/>
        <v>-2215.4775564435568</v>
      </c>
      <c r="L7" s="171">
        <f t="shared" ref="L7:L11" si="3">L6*(1+M7)</f>
        <v>-14551.810223110226</v>
      </c>
      <c r="M7" s="255">
        <f>(Venta_Unidades!O7-Venta_Unidades!O6)/Venta_Unidades!O6</f>
        <v>0.17958964112810277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248" t="s">
        <v>710</v>
      </c>
      <c r="B8" s="16" t="s">
        <v>841</v>
      </c>
      <c r="C8" s="113"/>
      <c r="D8" s="113">
        <f>'Flujo de Caja Económico A'!D14</f>
        <v>-106949.02399999999</v>
      </c>
      <c r="E8" s="113">
        <f>'Flujo de Caja Económico A'!E14</f>
        <v>-126155.96083916085</v>
      </c>
      <c r="F8" s="113">
        <f>'Flujo de Caja Económico A'!F14</f>
        <v>-145362.89767832169</v>
      </c>
      <c r="G8" s="113">
        <f>'Flujo de Caja Económico A'!G14</f>
        <v>-164569.83451748255</v>
      </c>
      <c r="H8" s="113">
        <f>'Flujo de Caja Económico A'!H14</f>
        <v>-183776.77135664341</v>
      </c>
      <c r="I8" s="1"/>
      <c r="J8" s="170" t="s">
        <v>458</v>
      </c>
      <c r="K8" s="171">
        <f t="shared" si="1"/>
        <v>-2215.4775564435586</v>
      </c>
      <c r="L8" s="171">
        <f t="shared" si="3"/>
        <v>-16767.287779553782</v>
      </c>
      <c r="M8" s="255">
        <f>(Venta_Unidades!O8-Venta_Unidades!O7)/Venta_Unidades!O7</f>
        <v>0.1522475570032574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239" t="s">
        <v>710</v>
      </c>
      <c r="B9" s="11" t="s">
        <v>842</v>
      </c>
      <c r="C9" s="40"/>
      <c r="D9" s="40">
        <f t="shared" ref="D9:H9" si="4">D7*0*(-1)</f>
        <v>0</v>
      </c>
      <c r="E9" s="40">
        <f t="shared" si="4"/>
        <v>0</v>
      </c>
      <c r="F9" s="40">
        <f t="shared" si="4"/>
        <v>0</v>
      </c>
      <c r="G9" s="40">
        <f t="shared" si="4"/>
        <v>0</v>
      </c>
      <c r="H9" s="40">
        <f t="shared" si="4"/>
        <v>0</v>
      </c>
      <c r="I9" s="1"/>
      <c r="J9" s="170" t="s">
        <v>460</v>
      </c>
      <c r="K9" s="171">
        <f t="shared" si="1"/>
        <v>-2215.4775564435622</v>
      </c>
      <c r="L9" s="171">
        <f t="shared" si="3"/>
        <v>-18982.765335997341</v>
      </c>
      <c r="M9" s="255">
        <f>(Venta_Unidades!O9-Venta_Unidades!O8)/Venta_Unidades!O8</f>
        <v>0.1321309436309154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239"/>
      <c r="B10" s="11" t="s">
        <v>651</v>
      </c>
      <c r="C10" s="40"/>
      <c r="D10" s="40">
        <f>'Flujo de Caja Económico A'!D15</f>
        <v>-21420</v>
      </c>
      <c r="E10" s="40">
        <f>'Flujo de Caja Económico A'!E15</f>
        <v>-21420</v>
      </c>
      <c r="F10" s="40">
        <f>'Flujo de Caja Económico A'!F15</f>
        <v>-21420</v>
      </c>
      <c r="G10" s="40">
        <f>'Flujo de Caja Económico A'!G15</f>
        <v>-21420</v>
      </c>
      <c r="H10" s="40">
        <f>'Flujo de Caja Económico A'!H15</f>
        <v>-21420</v>
      </c>
      <c r="I10" s="1"/>
      <c r="J10" s="170" t="s">
        <v>462</v>
      </c>
      <c r="K10" s="171">
        <f t="shared" si="1"/>
        <v>0</v>
      </c>
      <c r="L10" s="171">
        <f t="shared" si="3"/>
        <v>-21198.242892440903</v>
      </c>
      <c r="M10" s="255">
        <f>(Venta_Unidades!O10-Venta_Unidades!O9)/Venta_Unidades!O9</f>
        <v>0.11670994806232539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239" t="s">
        <v>710</v>
      </c>
      <c r="B11" s="11" t="s">
        <v>283</v>
      </c>
      <c r="C11" s="40"/>
      <c r="D11" s="193">
        <f>-'Estado de Resultados'!C14</f>
        <v>-27600</v>
      </c>
      <c r="E11" s="193">
        <f t="shared" ref="E11:H11" si="5">D11</f>
        <v>-27600</v>
      </c>
      <c r="F11" s="193">
        <f t="shared" si="5"/>
        <v>-27600</v>
      </c>
      <c r="G11" s="193">
        <f t="shared" si="5"/>
        <v>-27600</v>
      </c>
      <c r="H11" s="193">
        <f t="shared" si="5"/>
        <v>-27600</v>
      </c>
      <c r="I11" s="1"/>
      <c r="J11" s="170" t="s">
        <v>843</v>
      </c>
      <c r="K11" s="171">
        <v>0</v>
      </c>
      <c r="L11" s="171">
        <f t="shared" si="3"/>
        <v>-21198.242892440903</v>
      </c>
      <c r="M11" s="255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39" t="s">
        <v>710</v>
      </c>
      <c r="B12" s="11" t="s">
        <v>527</v>
      </c>
      <c r="C12" s="40"/>
      <c r="D12" s="40">
        <f>-Depreciación_VR!F22</f>
        <v>-4237.1761904761897</v>
      </c>
      <c r="E12" s="40">
        <f t="shared" ref="E12:H12" si="6">D12</f>
        <v>-4237.1761904761897</v>
      </c>
      <c r="F12" s="40">
        <f t="shared" si="6"/>
        <v>-4237.1761904761897</v>
      </c>
      <c r="G12" s="40">
        <f t="shared" si="6"/>
        <v>-4237.1761904761897</v>
      </c>
      <c r="H12" s="40">
        <f t="shared" si="6"/>
        <v>-4237.1761904761897</v>
      </c>
      <c r="I12" s="1"/>
      <c r="J12" s="469" t="s">
        <v>844</v>
      </c>
      <c r="K12" s="436"/>
      <c r="L12" s="436"/>
      <c r="M12" s="437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239"/>
      <c r="B13" s="11" t="s">
        <v>845</v>
      </c>
      <c r="C13" s="40"/>
      <c r="D13" s="40"/>
      <c r="E13" s="40"/>
      <c r="F13" s="40"/>
      <c r="G13" s="40"/>
      <c r="H13" s="40">
        <f>Depreciación_VR!L22</f>
        <v>-32.819047619047524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>
      <c r="A14" s="239"/>
      <c r="B14" s="51" t="s">
        <v>846</v>
      </c>
      <c r="C14" s="79">
        <f t="shared" ref="C14:H14" si="7">SUM(C7:C13)</f>
        <v>0</v>
      </c>
      <c r="D14" s="79">
        <f t="shared" si="7"/>
        <v>36353.799809523822</v>
      </c>
      <c r="E14" s="79">
        <f t="shared" si="7"/>
        <v>52447.002830502832</v>
      </c>
      <c r="F14" s="79">
        <f t="shared" si="7"/>
        <v>68540.205851481849</v>
      </c>
      <c r="G14" s="79">
        <f t="shared" si="7"/>
        <v>84633.408872460917</v>
      </c>
      <c r="H14" s="79">
        <f t="shared" si="7"/>
        <v>100693.79284582088</v>
      </c>
      <c r="I14" s="1"/>
      <c r="J14" s="240" t="s">
        <v>834</v>
      </c>
      <c r="K14" s="240" t="s">
        <v>847</v>
      </c>
      <c r="L14" s="240" t="s">
        <v>848</v>
      </c>
      <c r="M14" s="240" t="s">
        <v>849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239"/>
      <c r="B15" s="11" t="s">
        <v>850</v>
      </c>
      <c r="C15" s="40">
        <f>-C14*Resumen!$H$6</f>
        <v>0</v>
      </c>
      <c r="D15" s="40">
        <f>'Flujo de Caja Económico A'!D18</f>
        <v>-541.95602714285724</v>
      </c>
      <c r="E15" s="40">
        <f>'Flujo de Caja Económico A'!E18</f>
        <v>-783.35407245754232</v>
      </c>
      <c r="F15" s="40">
        <f>'Flujo de Caja Económico A'!F18</f>
        <v>-1024.7521177722276</v>
      </c>
      <c r="G15" s="40">
        <f>'Flujo de Caja Económico A'!G18</f>
        <v>-1266.1501630869136</v>
      </c>
      <c r="H15" s="40">
        <f>'Flujo de Caja Económico A'!H18</f>
        <v>-1507.5482084015989</v>
      </c>
      <c r="I15" s="1"/>
      <c r="J15" s="170" t="s">
        <v>454</v>
      </c>
      <c r="K15" s="256"/>
      <c r="L15" s="171"/>
      <c r="M15" s="171">
        <f>Venta_Unidades!O6</f>
        <v>4368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239"/>
      <c r="B16" s="51" t="s">
        <v>478</v>
      </c>
      <c r="C16" s="79">
        <f t="shared" ref="C16:H16" si="8">C14+C15</f>
        <v>0</v>
      </c>
      <c r="D16" s="79">
        <f t="shared" si="8"/>
        <v>35811.843782380965</v>
      </c>
      <c r="E16" s="79">
        <f t="shared" si="8"/>
        <v>51663.648758045289</v>
      </c>
      <c r="F16" s="79">
        <f t="shared" si="8"/>
        <v>67515.453733709626</v>
      </c>
      <c r="G16" s="79">
        <f t="shared" si="8"/>
        <v>83367.258709374</v>
      </c>
      <c r="H16" s="79">
        <f t="shared" si="8"/>
        <v>99186.24463741928</v>
      </c>
      <c r="I16" s="1"/>
      <c r="J16" s="170" t="s">
        <v>456</v>
      </c>
      <c r="K16" s="255">
        <f t="shared" ref="K16:K20" si="9">M7</f>
        <v>0.17958964112810277</v>
      </c>
      <c r="L16" s="171">
        <f t="shared" ref="L16:L20" si="10">M16-M15</f>
        <v>784.44755244755288</v>
      </c>
      <c r="M16" s="40">
        <f t="shared" ref="M16:M20" si="11">M15*(1+K16)</f>
        <v>5152.4475524475529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239"/>
      <c r="B17" s="11" t="s">
        <v>823</v>
      </c>
      <c r="C17" s="40"/>
      <c r="D17" s="81">
        <f>-'Pago IGV'!C18</f>
        <v>-29440.799999999996</v>
      </c>
      <c r="E17" s="81">
        <f>-'Pago IGV'!D18</f>
        <v>-35794.825174825171</v>
      </c>
      <c r="F17" s="81">
        <f>-'Pago IGV'!E18</f>
        <v>-42148.850349650354</v>
      </c>
      <c r="G17" s="81">
        <f>-'Pago IGV'!F18</f>
        <v>-48502.875524475538</v>
      </c>
      <c r="H17" s="81">
        <f>-'Pago IGV'!G18</f>
        <v>-54856.900699300713</v>
      </c>
      <c r="I17" s="1"/>
      <c r="J17" s="170" t="s">
        <v>458</v>
      </c>
      <c r="K17" s="255">
        <f t="shared" si="9"/>
        <v>0.1522475570032574</v>
      </c>
      <c r="L17" s="171">
        <f t="shared" si="10"/>
        <v>784.44755244755288</v>
      </c>
      <c r="M17" s="40">
        <f t="shared" si="11"/>
        <v>5936.8951048951058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239"/>
      <c r="B18" s="11" t="s">
        <v>527</v>
      </c>
      <c r="C18" s="40"/>
      <c r="D18" s="40">
        <f>Depreciación_VR!F22</f>
        <v>4237.1761904761897</v>
      </c>
      <c r="E18" s="40">
        <f t="shared" ref="E18:H18" si="12">D18</f>
        <v>4237.1761904761897</v>
      </c>
      <c r="F18" s="40">
        <f t="shared" si="12"/>
        <v>4237.1761904761897</v>
      </c>
      <c r="G18" s="40">
        <f t="shared" si="12"/>
        <v>4237.1761904761897</v>
      </c>
      <c r="H18" s="40">
        <f t="shared" si="12"/>
        <v>4237.1761904761897</v>
      </c>
      <c r="I18" s="1"/>
      <c r="J18" s="170" t="s">
        <v>460</v>
      </c>
      <c r="K18" s="255">
        <f t="shared" si="9"/>
        <v>0.1321309436309154</v>
      </c>
      <c r="L18" s="171">
        <f t="shared" si="10"/>
        <v>784.44755244755288</v>
      </c>
      <c r="M18" s="40">
        <f t="shared" si="11"/>
        <v>6721.3426573426586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239"/>
      <c r="B19" s="51" t="s">
        <v>851</v>
      </c>
      <c r="C19" s="79">
        <f t="shared" ref="C19:H19" si="13">SUM(C16:C18)</f>
        <v>0</v>
      </c>
      <c r="D19" s="79">
        <f t="shared" si="13"/>
        <v>10608.21997285716</v>
      </c>
      <c r="E19" s="79">
        <f t="shared" si="13"/>
        <v>20105.999773696305</v>
      </c>
      <c r="F19" s="79">
        <f t="shared" si="13"/>
        <v>29603.77957453546</v>
      </c>
      <c r="G19" s="79">
        <f t="shared" si="13"/>
        <v>39101.559375374651</v>
      </c>
      <c r="H19" s="79">
        <f t="shared" si="13"/>
        <v>48566.520128594755</v>
      </c>
      <c r="I19" s="1"/>
      <c r="J19" s="170" t="s">
        <v>462</v>
      </c>
      <c r="K19" s="255">
        <f t="shared" si="9"/>
        <v>0.11670994806232539</v>
      </c>
      <c r="L19" s="171">
        <f t="shared" si="10"/>
        <v>784.4475524475547</v>
      </c>
      <c r="M19" s="40">
        <f t="shared" si="11"/>
        <v>7505.7902097902133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239"/>
      <c r="B20" s="11" t="s">
        <v>852</v>
      </c>
      <c r="C20" s="40">
        <f>'Flujo de Caja Económico A'!C6</f>
        <v>-10838</v>
      </c>
      <c r="D20" s="40">
        <f>'Flujo de Caja Económico A'!D6</f>
        <v>-15</v>
      </c>
      <c r="E20" s="40">
        <f>'Flujo de Caja Económico A'!E6</f>
        <v>-5372</v>
      </c>
      <c r="F20" s="40">
        <f>'Flujo de Caja Económico A'!F6</f>
        <v>-3415</v>
      </c>
      <c r="G20" s="40">
        <f>'Flujo de Caja Económico A'!G6</f>
        <v>-5372</v>
      </c>
      <c r="H20" s="40">
        <f>'Flujo de Caja Económico A'!H6</f>
        <v>-15</v>
      </c>
      <c r="I20" s="1"/>
      <c r="J20" s="170" t="s">
        <v>843</v>
      </c>
      <c r="K20" s="255">
        <f t="shared" si="9"/>
        <v>0</v>
      </c>
      <c r="L20" s="171">
        <f t="shared" si="10"/>
        <v>0</v>
      </c>
      <c r="M20" s="40">
        <f t="shared" si="11"/>
        <v>7505.7902097902133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39"/>
      <c r="B21" s="11" t="str">
        <f>'Flujo de Caja Económico A'!B7</f>
        <v>Activo fijo intangible</v>
      </c>
      <c r="C21" s="40">
        <f>'Flujo de Caja Económico A'!C7</f>
        <v>-1116.99</v>
      </c>
      <c r="D21" s="40"/>
      <c r="E21" s="40"/>
      <c r="F21" s="40"/>
      <c r="G21" s="40"/>
      <c r="H21" s="40"/>
      <c r="I21" s="1"/>
      <c r="J21" s="1"/>
      <c r="K21" s="1"/>
      <c r="L21" s="62"/>
      <c r="M21" s="6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39"/>
      <c r="B22" s="11" t="s">
        <v>853</v>
      </c>
      <c r="C22" s="40">
        <f>'Flujo de Caja Económico A'!C8</f>
        <v>-12336.332666666667</v>
      </c>
      <c r="D22" s="40">
        <f>'Flujo de Caja Económico A'!D8</f>
        <v>-2215.4775564435586</v>
      </c>
      <c r="E22" s="40">
        <f>'Flujo de Caja Económico A'!E8</f>
        <v>-2215.4775564435568</v>
      </c>
      <c r="F22" s="40">
        <f>'Flujo de Caja Económico A'!F8</f>
        <v>-2215.4775564435586</v>
      </c>
      <c r="G22" s="40">
        <f>'Flujo de Caja Económico A'!G8</f>
        <v>-2215.4775564435622</v>
      </c>
      <c r="H22" s="40">
        <f>'Flujo de Caja Económico A'!H8</f>
        <v>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39"/>
      <c r="B23" s="11" t="s">
        <v>854</v>
      </c>
      <c r="C23" s="40"/>
      <c r="D23" s="40"/>
      <c r="E23" s="40"/>
      <c r="F23" s="40"/>
      <c r="G23" s="40"/>
      <c r="H23" s="40">
        <f>'Flujo de Caja Económico A'!H10</f>
        <v>3826.1190476190477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39"/>
      <c r="B24" s="11" t="s">
        <v>855</v>
      </c>
      <c r="C24" s="40"/>
      <c r="D24" s="40"/>
      <c r="E24" s="40"/>
      <c r="F24" s="40"/>
      <c r="G24" s="40"/>
      <c r="H24" s="40">
        <f>-SUM(C22:H22)</f>
        <v>21198.242892440903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39"/>
      <c r="B25" s="51" t="s">
        <v>856</v>
      </c>
      <c r="C25" s="79">
        <f t="shared" ref="C25:H25" si="14">SUM(C20:C24)</f>
        <v>-24291.322666666667</v>
      </c>
      <c r="D25" s="79">
        <f t="shared" si="14"/>
        <v>-2230.4775564435586</v>
      </c>
      <c r="E25" s="79">
        <f t="shared" si="14"/>
        <v>-7587.4775564435568</v>
      </c>
      <c r="F25" s="79">
        <f t="shared" si="14"/>
        <v>-5630.4775564435586</v>
      </c>
      <c r="G25" s="79">
        <f t="shared" si="14"/>
        <v>-7587.4775564435622</v>
      </c>
      <c r="H25" s="79">
        <f t="shared" si="14"/>
        <v>25009.361940059949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39"/>
      <c r="B26" s="78" t="s">
        <v>857</v>
      </c>
      <c r="C26" s="43">
        <f t="shared" ref="C26:H26" si="15">C19+C25</f>
        <v>-24291.322666666667</v>
      </c>
      <c r="D26" s="43">
        <f t="shared" si="15"/>
        <v>8377.7424164136009</v>
      </c>
      <c r="E26" s="43">
        <f t="shared" si="15"/>
        <v>12518.522217252748</v>
      </c>
      <c r="F26" s="43">
        <f t="shared" si="15"/>
        <v>23973.302018091901</v>
      </c>
      <c r="G26" s="43">
        <f t="shared" si="15"/>
        <v>31514.081818931088</v>
      </c>
      <c r="H26" s="43">
        <f t="shared" si="15"/>
        <v>73575.882068654697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39"/>
      <c r="B27" s="156" t="s">
        <v>858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39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3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23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3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3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23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3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39"/>
      <c r="B35" s="1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39"/>
      <c r="B36" s="1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39"/>
      <c r="B37" s="1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39"/>
      <c r="B38" s="1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39"/>
      <c r="B39" s="1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3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3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3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23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239"/>
      <c r="B44" s="459"/>
      <c r="C44" s="431"/>
      <c r="D44" s="431"/>
      <c r="E44" s="431"/>
      <c r="F44" s="431"/>
      <c r="G44" s="43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23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23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23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23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3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3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3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39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39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39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39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39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39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39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39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39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39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39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39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39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39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39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39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39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39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39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39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39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39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39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39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39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239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39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239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239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239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239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239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39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239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239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239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239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239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239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239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239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239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239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239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239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239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239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239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239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239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239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239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239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239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239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239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239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239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239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239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239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239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239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239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239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239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239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239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239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239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239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239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239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239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239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239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239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239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239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239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239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239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239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239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239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239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239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239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239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239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239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239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239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239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239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239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239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239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239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239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239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239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239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239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239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239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239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239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239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239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239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239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239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239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239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239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239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239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239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239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239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239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239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239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239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239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239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239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239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239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239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239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239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239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239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239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239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239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239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239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239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239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239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239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239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239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239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239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239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239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239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239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239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239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239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239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239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239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239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239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239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239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239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239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239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239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239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239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239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239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239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239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239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239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239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239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239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239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239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239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239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239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239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239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239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239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239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239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239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239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239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239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239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239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239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239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239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239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239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239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239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239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239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239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239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239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239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239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239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239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239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239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239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239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239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239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239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239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239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239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239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239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239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239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239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239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239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239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239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239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239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239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239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239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239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39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239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239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239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39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239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239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239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39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239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239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239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239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239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239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239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239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239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239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239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239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239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239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239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239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239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239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239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239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239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239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239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239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239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239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239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239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239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239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239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239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239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239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239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239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239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239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239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239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239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239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239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239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239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239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239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239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239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239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239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239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239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239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239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239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239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239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239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239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239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239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239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239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239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239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239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239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239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239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239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239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239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239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239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239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239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239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239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239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239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239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239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239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239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239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239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239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239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239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239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239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239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239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239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239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239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239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239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239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239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239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239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239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239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239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239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239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239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239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239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239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239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239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239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239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239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239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239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239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239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239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239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239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239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239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239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239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239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239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239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239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239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239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239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239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239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239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239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239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239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239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39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239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239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239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239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239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239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239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239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239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239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239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239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239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239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239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239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239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239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239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239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239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239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239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239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239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239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239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239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239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239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239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239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239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239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239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239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239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239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239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239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239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239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239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239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239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239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239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239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239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239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239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239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239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239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239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239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239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239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239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239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239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239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239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239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239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239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239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239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239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239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239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239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239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239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239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239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239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239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239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239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239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239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239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239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239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239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239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239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239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239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239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239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239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239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239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239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239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239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239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239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239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239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239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239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239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239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239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239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239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239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239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239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239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239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239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239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239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239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239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239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239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239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239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239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239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239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239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239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239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239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239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239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239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239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239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239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239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239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239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239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239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239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239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239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239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239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239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239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239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239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239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239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239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239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239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239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239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239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239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239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239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239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239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239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239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239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239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239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239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239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239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239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239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239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239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239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239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239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239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239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239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239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239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239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23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239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239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239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239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239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239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239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239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239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239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239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239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239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239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239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239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239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239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239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239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239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239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239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239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239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239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239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239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239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239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239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239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239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239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239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239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239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239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239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239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239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239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239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239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239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239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239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239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239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239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239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239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239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239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239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239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239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239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239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239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239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239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239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239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239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239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239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239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239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239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239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239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239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239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239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239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239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239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239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239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239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239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239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239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239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239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239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239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239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239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239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239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239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239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239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239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239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239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239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239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239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239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239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239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239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239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239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239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239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239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239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239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239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239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239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239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239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239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239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239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239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239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239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239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239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239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239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239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239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239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239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23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239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239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239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239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239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239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239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239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239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239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239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239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239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239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239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239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239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239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239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239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239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239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239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239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239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239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239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239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239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239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239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239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239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239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239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239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239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239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239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239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239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239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239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239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239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239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239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239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239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239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239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239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239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239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239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239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239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239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239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239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239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239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239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239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239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239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239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239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239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239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239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239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239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239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239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239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239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239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239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239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239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239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239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239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239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239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239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239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239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239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239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239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239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239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239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239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239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239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239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239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239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239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239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239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239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239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239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239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239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239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239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239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239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239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239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239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239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239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239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239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239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239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239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239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239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239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239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239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239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239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239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239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239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239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239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239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239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239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239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239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239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239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239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239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239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239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239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239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239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239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239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239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239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239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239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239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239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239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239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239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239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239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239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239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239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239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239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239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239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239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239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239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239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239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239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239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239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239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239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239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239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239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239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239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239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239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239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239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239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239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239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239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239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239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239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239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239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239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239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239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239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239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239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239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239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239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239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239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239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239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239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239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239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239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239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239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239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239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239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239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239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239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239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239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239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239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239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239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239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239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239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239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239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239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239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239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239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239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239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239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239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239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239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239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239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H2"/>
    <mergeCell ref="J2:M2"/>
    <mergeCell ref="J12:M12"/>
    <mergeCell ref="B44:G44"/>
  </mergeCells>
  <pageMargins left="0.7" right="0.7" top="0.75" bottom="0.75" header="0" footer="0"/>
  <pageSetup orientation="portrait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showGridLines="0" tabSelected="1" workbookViewId="0">
      <selection activeCell="H39" sqref="H39"/>
    </sheetView>
  </sheetViews>
  <sheetFormatPr baseColWidth="10" defaultColWidth="12.625" defaultRowHeight="15" customHeight="1"/>
  <cols>
    <col min="1" max="1" width="3.125" customWidth="1"/>
    <col min="2" max="2" width="19.5" customWidth="1"/>
    <col min="3" max="3" width="18.875" customWidth="1"/>
    <col min="4" max="8" width="9.375" customWidth="1"/>
    <col min="9" max="11" width="8" customWidth="1"/>
    <col min="12" max="12" width="8.375" customWidth="1"/>
    <col min="13" max="26" width="8" customWidth="1"/>
  </cols>
  <sheetData>
    <row r="1" spans="1:26">
      <c r="A1" s="257"/>
      <c r="B1" s="258"/>
      <c r="C1" s="259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8.75">
      <c r="A2" s="257"/>
      <c r="B2" s="473" t="s">
        <v>859</v>
      </c>
      <c r="C2" s="436"/>
      <c r="D2" s="436"/>
      <c r="E2" s="436"/>
      <c r="F2" s="436"/>
      <c r="G2" s="436"/>
      <c r="H2" s="437"/>
      <c r="I2" s="260"/>
      <c r="J2" s="260"/>
      <c r="K2" s="260"/>
      <c r="L2" s="260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</row>
    <row r="3" spans="1:26">
      <c r="A3" s="257"/>
      <c r="B3" s="258"/>
      <c r="C3" s="259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</row>
    <row r="4" spans="1:26">
      <c r="A4" s="257"/>
      <c r="B4" s="261" t="s">
        <v>552</v>
      </c>
      <c r="C4" s="262">
        <v>0</v>
      </c>
      <c r="D4" s="262">
        <v>1</v>
      </c>
      <c r="E4" s="262">
        <v>2</v>
      </c>
      <c r="F4" s="262">
        <v>3</v>
      </c>
      <c r="G4" s="262">
        <v>4</v>
      </c>
      <c r="H4" s="262">
        <v>5</v>
      </c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</row>
    <row r="5" spans="1:26">
      <c r="A5" s="257"/>
      <c r="B5" s="263" t="str">
        <f>'Flujo de Caja Económico B'!B26</f>
        <v>Flujo Caja Económico</v>
      </c>
      <c r="C5" s="264">
        <f>'Flujo de Caja Económico B'!C26</f>
        <v>-24291.322666666667</v>
      </c>
      <c r="D5" s="264">
        <f>'Flujo de Caja Económico B'!D26</f>
        <v>8377.7424164136009</v>
      </c>
      <c r="E5" s="264">
        <f>'Flujo de Caja Económico B'!E26</f>
        <v>12518.522217252748</v>
      </c>
      <c r="F5" s="264">
        <f>'Flujo de Caja Económico B'!F26</f>
        <v>23973.302018091901</v>
      </c>
      <c r="G5" s="264">
        <f>'Flujo de Caja Económico B'!G26</f>
        <v>31514.081818931088</v>
      </c>
      <c r="H5" s="264">
        <f>'Flujo de Caja Económico B'!H26</f>
        <v>73575.882068654697</v>
      </c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</row>
    <row r="6" spans="1:26">
      <c r="A6" s="257"/>
      <c r="B6" s="258"/>
      <c r="C6" s="259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</row>
    <row r="7" spans="1:26">
      <c r="A7" s="257"/>
      <c r="B7" s="474" t="s">
        <v>860</v>
      </c>
      <c r="C7" s="436"/>
      <c r="D7" s="436"/>
      <c r="E7" s="436"/>
      <c r="F7" s="436"/>
      <c r="G7" s="436"/>
      <c r="H7" s="43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</row>
    <row r="8" spans="1:26">
      <c r="A8" s="257"/>
      <c r="B8" s="258"/>
      <c r="C8" s="259"/>
      <c r="D8" s="257"/>
      <c r="E8" s="257"/>
      <c r="F8" s="257"/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</row>
    <row r="9" spans="1:26">
      <c r="A9" s="257"/>
      <c r="B9" s="265" t="s">
        <v>24</v>
      </c>
      <c r="C9" s="471">
        <f>NPV(C11,D5:H5)+C5</f>
        <v>44649.935691733299</v>
      </c>
      <c r="D9" s="437"/>
      <c r="E9" s="257" t="s">
        <v>650</v>
      </c>
      <c r="F9" s="257"/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</row>
    <row r="10" spans="1:26">
      <c r="A10" s="257"/>
      <c r="B10" s="258" t="s">
        <v>861</v>
      </c>
      <c r="C10" s="266"/>
      <c r="D10" s="258" t="s">
        <v>862</v>
      </c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>
        <v>44649.935691733299</v>
      </c>
      <c r="Q10" s="257"/>
      <c r="R10" s="257"/>
      <c r="S10" s="257"/>
      <c r="T10" s="257"/>
      <c r="U10" s="257"/>
      <c r="V10" s="257"/>
      <c r="W10" s="257"/>
      <c r="X10" s="257"/>
      <c r="Y10" s="257"/>
      <c r="Z10" s="257"/>
    </row>
    <row r="11" spans="1:26">
      <c r="A11" s="257"/>
      <c r="B11" s="258" t="s">
        <v>863</v>
      </c>
      <c r="C11" s="267">
        <f>Ku!C34</f>
        <v>0.22474608925913628</v>
      </c>
      <c r="D11" s="258" t="s">
        <v>864</v>
      </c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</row>
    <row r="12" spans="1:26">
      <c r="A12" s="257"/>
      <c r="B12" s="258" t="s">
        <v>865</v>
      </c>
      <c r="C12" s="266">
        <f>-C5</f>
        <v>24291.322666666667</v>
      </c>
      <c r="D12" s="258" t="s">
        <v>866</v>
      </c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</row>
    <row r="13" spans="1:26">
      <c r="A13" s="257"/>
      <c r="B13" s="258" t="s">
        <v>867</v>
      </c>
      <c r="C13" s="268">
        <v>5</v>
      </c>
      <c r="D13" s="258" t="s">
        <v>868</v>
      </c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</row>
    <row r="14" spans="1:26">
      <c r="A14" s="257"/>
      <c r="B14" s="258" t="s">
        <v>309</v>
      </c>
      <c r="C14" s="268">
        <v>5</v>
      </c>
      <c r="D14" s="258" t="s">
        <v>869</v>
      </c>
      <c r="E14" s="257"/>
      <c r="F14" s="257"/>
      <c r="G14" s="257"/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</row>
    <row r="15" spans="1:26">
      <c r="A15" s="257"/>
      <c r="B15" s="258"/>
      <c r="C15" s="259"/>
      <c r="D15" s="257"/>
      <c r="E15" s="257"/>
      <c r="F15" s="257"/>
      <c r="G15" s="257"/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</row>
    <row r="16" spans="1:26">
      <c r="A16" s="257"/>
      <c r="B16" s="258"/>
      <c r="C16" s="259"/>
      <c r="D16" s="257"/>
      <c r="E16" s="257"/>
      <c r="F16" s="257"/>
      <c r="G16" s="257"/>
      <c r="H16" s="257"/>
      <c r="I16" s="257"/>
      <c r="J16" s="257"/>
      <c r="K16" s="257"/>
      <c r="L16" s="257"/>
      <c r="M16" s="257"/>
      <c r="N16" s="257"/>
      <c r="O16" s="257"/>
      <c r="P16" s="429">
        <v>0.67175135726041102</v>
      </c>
      <c r="Q16" s="257"/>
      <c r="R16" s="257"/>
      <c r="S16" s="257"/>
      <c r="T16" s="257"/>
      <c r="U16" s="257"/>
      <c r="V16" s="257"/>
      <c r="W16" s="257"/>
      <c r="X16" s="257"/>
      <c r="Y16" s="257"/>
      <c r="Z16" s="257"/>
    </row>
    <row r="17" spans="1:26">
      <c r="A17" s="257"/>
      <c r="B17" s="470" t="s">
        <v>870</v>
      </c>
      <c r="C17" s="436"/>
      <c r="D17" s="436"/>
      <c r="E17" s="436"/>
      <c r="F17" s="436"/>
      <c r="G17" s="436"/>
      <c r="H17" s="43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</row>
    <row r="18" spans="1:26">
      <c r="A18" s="257"/>
      <c r="B18" s="258"/>
      <c r="C18" s="259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</row>
    <row r="19" spans="1:26">
      <c r="A19" s="257"/>
      <c r="B19" s="265" t="s">
        <v>29</v>
      </c>
      <c r="C19" s="472">
        <f>IRR(C5:H5)</f>
        <v>0.6717513572604108</v>
      </c>
      <c r="D19" s="437"/>
      <c r="E19" s="257" t="s">
        <v>871</v>
      </c>
      <c r="F19" s="257"/>
      <c r="G19" s="257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</row>
    <row r="20" spans="1:26">
      <c r="A20" s="257"/>
      <c r="B20" s="258" t="s">
        <v>861</v>
      </c>
      <c r="C20" s="259"/>
      <c r="D20" s="258" t="s">
        <v>862</v>
      </c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</row>
    <row r="21" spans="1:26" ht="15.75" customHeight="1">
      <c r="A21" s="257"/>
      <c r="B21" s="258" t="s">
        <v>863</v>
      </c>
      <c r="C21" s="267">
        <f>Ku!C34</f>
        <v>0.22474608925913628</v>
      </c>
      <c r="D21" s="258" t="s">
        <v>864</v>
      </c>
      <c r="E21" s="257"/>
      <c r="F21" s="257"/>
      <c r="G21" s="257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</row>
    <row r="22" spans="1:26" ht="15.75" customHeight="1">
      <c r="A22" s="257"/>
      <c r="B22" s="258" t="s">
        <v>865</v>
      </c>
      <c r="C22" s="266">
        <f>-C5</f>
        <v>24291.322666666667</v>
      </c>
      <c r="D22" s="258" t="s">
        <v>866</v>
      </c>
      <c r="E22" s="257"/>
      <c r="F22" s="257"/>
      <c r="G22" s="257"/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</row>
    <row r="23" spans="1:26" ht="15.75" customHeight="1">
      <c r="A23" s="257"/>
      <c r="B23" s="258" t="s">
        <v>867</v>
      </c>
      <c r="C23" s="268">
        <v>5</v>
      </c>
      <c r="D23" s="258" t="s">
        <v>868</v>
      </c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</row>
    <row r="24" spans="1:26" ht="15.75" customHeight="1">
      <c r="A24" s="257"/>
      <c r="B24" s="258" t="s">
        <v>309</v>
      </c>
      <c r="C24" s="268">
        <v>5</v>
      </c>
      <c r="D24" s="258" t="s">
        <v>869</v>
      </c>
      <c r="E24" s="257"/>
      <c r="F24" s="257"/>
      <c r="G24" s="257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</row>
    <row r="25" spans="1:26" ht="15.75" customHeight="1">
      <c r="A25" s="257"/>
      <c r="B25" s="258"/>
      <c r="C25" s="268"/>
      <c r="D25" s="258"/>
      <c r="E25" s="257"/>
      <c r="F25" s="257"/>
      <c r="G25" s="257"/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</row>
    <row r="26" spans="1:26" ht="15.75" customHeight="1">
      <c r="A26" s="257"/>
      <c r="B26" s="265" t="s">
        <v>872</v>
      </c>
      <c r="C26" s="475">
        <f>Costos_Totales!F30/(Costos_Unitarios!D20-Costos_Unitarios!C17)</f>
        <v>215.04473966820018</v>
      </c>
      <c r="D26" s="437"/>
      <c r="E26" s="257" t="s">
        <v>873</v>
      </c>
      <c r="F26" s="257"/>
      <c r="G26" s="257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</row>
    <row r="27" spans="1:26" ht="15.75" customHeight="1">
      <c r="A27" s="257"/>
      <c r="B27" s="258"/>
      <c r="C27" s="259"/>
      <c r="D27" s="257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</row>
    <row r="28" spans="1:26" ht="15.75" customHeight="1">
      <c r="A28" s="257"/>
      <c r="B28" s="473" t="s">
        <v>874</v>
      </c>
      <c r="C28" s="436"/>
      <c r="D28" s="436"/>
      <c r="E28" s="436"/>
      <c r="F28" s="436"/>
      <c r="G28" s="436"/>
      <c r="H28" s="43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</row>
    <row r="29" spans="1:26" ht="15.75" customHeight="1">
      <c r="A29" s="257"/>
      <c r="B29" s="258"/>
      <c r="C29" s="259"/>
      <c r="D29" s="257"/>
      <c r="E29" s="257"/>
      <c r="F29" s="257"/>
      <c r="G29" s="257"/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</row>
    <row r="30" spans="1:26" ht="15.75" customHeight="1">
      <c r="A30" s="257"/>
      <c r="B30" s="261" t="s">
        <v>552</v>
      </c>
      <c r="C30" s="262">
        <v>0</v>
      </c>
      <c r="D30" s="262">
        <v>1</v>
      </c>
      <c r="E30" s="262">
        <v>2</v>
      </c>
      <c r="F30" s="262">
        <v>3</v>
      </c>
      <c r="G30" s="262">
        <v>4</v>
      </c>
      <c r="H30" s="262">
        <v>5</v>
      </c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</row>
    <row r="31" spans="1:26" ht="15.75" customHeight="1">
      <c r="A31" s="257"/>
      <c r="B31" s="263" t="s">
        <v>875</v>
      </c>
      <c r="C31" s="264">
        <f>'Flujo de Caja Financiero'!C25</f>
        <v>-6291.3226666666669</v>
      </c>
      <c r="D31" s="264">
        <f>'Flujo de Caja Financiero'!D25</f>
        <v>-2172.3170080699165</v>
      </c>
      <c r="E31" s="264">
        <f>'Flujo de Caja Financiero'!E25</f>
        <v>2921.676714772464</v>
      </c>
      <c r="F31" s="264">
        <f>'Flujo de Caja Financiero'!F25</f>
        <v>15511.902510938997</v>
      </c>
      <c r="G31" s="264">
        <f>'Flujo de Caja Financiero'!G25</f>
        <v>31514.081818931096</v>
      </c>
      <c r="H31" s="264">
        <f>'Flujo de Caja Financiero'!H25</f>
        <v>73608.701116273762</v>
      </c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</row>
    <row r="32" spans="1:26" ht="15.75" customHeight="1">
      <c r="A32" s="257"/>
      <c r="B32" s="258"/>
      <c r="C32" s="259"/>
      <c r="D32" s="259"/>
      <c r="E32" s="259"/>
      <c r="F32" s="259"/>
      <c r="G32" s="259"/>
      <c r="H32" s="259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</row>
    <row r="33" spans="1:26" ht="15.75" customHeight="1">
      <c r="A33" s="257"/>
      <c r="B33" s="261" t="s">
        <v>552</v>
      </c>
      <c r="C33" s="262">
        <v>0</v>
      </c>
      <c r="D33" s="262">
        <v>1</v>
      </c>
      <c r="E33" s="262">
        <v>2</v>
      </c>
      <c r="F33" s="262">
        <v>3</v>
      </c>
      <c r="G33" s="262">
        <v>4</v>
      </c>
      <c r="H33" s="262">
        <v>5</v>
      </c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</row>
    <row r="34" spans="1:26" ht="15.75" customHeight="1">
      <c r="A34" s="257"/>
      <c r="B34" s="269" t="s">
        <v>876</v>
      </c>
      <c r="C34" s="270">
        <f>'Flujo de Caja de la Deuda'!C9</f>
        <v>18000</v>
      </c>
      <c r="D34" s="270">
        <f>'Flujo de Caja de la Deuda'!D9</f>
        <v>-10550.059424483516</v>
      </c>
      <c r="E34" s="270">
        <f>'Flujo de Caja de la Deuda'!E9</f>
        <v>-9596.8455024802843</v>
      </c>
      <c r="F34" s="270">
        <f>'Flujo de Caja de la Deuda'!F9</f>
        <v>-8461.399507152908</v>
      </c>
      <c r="G34" s="270">
        <f>'Flujo de Caja de la Deuda'!G9</f>
        <v>0</v>
      </c>
      <c r="H34" s="270">
        <f>'Flujo de Caja de la Deuda'!H9</f>
        <v>0</v>
      </c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</row>
    <row r="35" spans="1:26" ht="15.75" customHeight="1">
      <c r="A35" s="257"/>
      <c r="B35" s="258"/>
      <c r="C35" s="259"/>
      <c r="D35" s="257"/>
      <c r="E35" s="257"/>
      <c r="F35" s="257"/>
      <c r="G35" s="257"/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</row>
    <row r="36" spans="1:26" ht="15.75" customHeight="1">
      <c r="A36" s="257"/>
      <c r="B36" s="470" t="s">
        <v>877</v>
      </c>
      <c r="C36" s="436"/>
      <c r="D36" s="436"/>
      <c r="E36" s="436"/>
      <c r="F36" s="436"/>
      <c r="G36" s="436"/>
      <c r="H36" s="43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</row>
    <row r="37" spans="1:26" ht="15.75" customHeight="1">
      <c r="A37" s="257"/>
      <c r="B37" s="258"/>
      <c r="C37" s="259"/>
      <c r="D37" s="257"/>
      <c r="E37" s="257"/>
      <c r="F37" s="257"/>
      <c r="G37" s="257"/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</row>
    <row r="38" spans="1:26" ht="15.75" customHeight="1">
      <c r="A38" s="257"/>
      <c r="B38" s="265" t="s">
        <v>25</v>
      </c>
      <c r="C38" s="471">
        <f>NPV(C40,D31:H31)+C31+C34</f>
        <v>62761.682196047921</v>
      </c>
      <c r="D38" s="43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</row>
    <row r="39" spans="1:26" ht="15.75" customHeight="1">
      <c r="A39" s="257"/>
      <c r="B39" s="258" t="s">
        <v>878</v>
      </c>
      <c r="C39" s="266"/>
      <c r="D39" s="258" t="s">
        <v>879</v>
      </c>
      <c r="E39" s="257"/>
      <c r="F39" s="257"/>
      <c r="G39" s="257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</row>
    <row r="40" spans="1:26" ht="15.75" customHeight="1">
      <c r="A40" s="257"/>
      <c r="B40" s="258" t="s">
        <v>880</v>
      </c>
      <c r="C40" s="267">
        <f>'Ke y Kwacc'!H13</f>
        <v>0.21525871535583818</v>
      </c>
      <c r="D40" s="258" t="s">
        <v>881</v>
      </c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>
        <v>62761.682196047899</v>
      </c>
      <c r="R40" s="257"/>
      <c r="S40" s="257"/>
      <c r="T40" s="257"/>
      <c r="U40" s="257"/>
      <c r="V40" s="257"/>
      <c r="W40" s="257"/>
      <c r="X40" s="257"/>
      <c r="Y40" s="257"/>
      <c r="Z40" s="257"/>
    </row>
    <row r="41" spans="1:26" ht="15.75" customHeight="1">
      <c r="A41" s="257"/>
      <c r="B41" s="258" t="s">
        <v>882</v>
      </c>
      <c r="C41" s="266">
        <f>C34</f>
        <v>18000</v>
      </c>
      <c r="D41" s="258" t="s">
        <v>876</v>
      </c>
      <c r="E41" s="257"/>
      <c r="F41" s="257"/>
      <c r="G41" s="257"/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</row>
    <row r="42" spans="1:26" ht="15.75" customHeight="1">
      <c r="A42" s="257"/>
      <c r="B42" s="258" t="s">
        <v>865</v>
      </c>
      <c r="C42" s="266">
        <f>C31</f>
        <v>-6291.3226666666669</v>
      </c>
      <c r="D42" s="258" t="s">
        <v>883</v>
      </c>
      <c r="E42" s="257"/>
      <c r="F42" s="257"/>
      <c r="G42" s="257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</row>
    <row r="43" spans="1:26" ht="15.75" customHeight="1">
      <c r="A43" s="257"/>
      <c r="B43" s="258"/>
      <c r="C43" s="259"/>
      <c r="D43" s="257"/>
      <c r="E43" s="257"/>
      <c r="F43" s="257"/>
      <c r="G43" s="257"/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</row>
    <row r="44" spans="1:26" ht="15.75" customHeight="1">
      <c r="A44" s="257"/>
      <c r="B44" s="258"/>
      <c r="C44" s="259"/>
      <c r="D44" s="257"/>
      <c r="E44" s="257"/>
      <c r="F44" s="257"/>
      <c r="G44" s="257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</row>
    <row r="45" spans="1:26" ht="15.75" customHeight="1">
      <c r="A45" s="257"/>
      <c r="B45" s="470" t="s">
        <v>884</v>
      </c>
      <c r="C45" s="436"/>
      <c r="D45" s="436"/>
      <c r="E45" s="436"/>
      <c r="F45" s="436"/>
      <c r="G45" s="436"/>
      <c r="H45" s="43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</row>
    <row r="46" spans="1:26" ht="15.75" customHeight="1">
      <c r="A46" s="257"/>
      <c r="B46" s="258"/>
      <c r="C46" s="259"/>
      <c r="D46" s="257"/>
      <c r="E46" s="257"/>
      <c r="F46" s="257"/>
      <c r="G46" s="257"/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</row>
    <row r="47" spans="1:26" ht="15.75" customHeight="1">
      <c r="A47" s="257"/>
      <c r="B47" s="265" t="s">
        <v>30</v>
      </c>
      <c r="C47" s="472">
        <f>IRR(C31:H31)</f>
        <v>0.9671890140052648</v>
      </c>
      <c r="D47" s="437"/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</row>
    <row r="48" spans="1:26" ht="15.75" customHeight="1">
      <c r="A48" s="257"/>
      <c r="B48" s="271" t="s">
        <v>25</v>
      </c>
      <c r="C48" s="272">
        <v>0</v>
      </c>
      <c r="D48" s="272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</row>
    <row r="49" spans="1:26" ht="15.75" customHeight="1">
      <c r="A49" s="257"/>
      <c r="B49" s="258" t="s">
        <v>878</v>
      </c>
      <c r="C49" s="266">
        <f>SUM(C31:H31)</f>
        <v>115092.72248617973</v>
      </c>
      <c r="D49" s="258" t="s">
        <v>879</v>
      </c>
      <c r="E49" s="257"/>
      <c r="F49" s="257"/>
      <c r="G49" s="257"/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</row>
    <row r="50" spans="1:26" ht="15.75" customHeight="1">
      <c r="A50" s="257"/>
      <c r="B50" s="258" t="s">
        <v>880</v>
      </c>
      <c r="C50" s="267">
        <f>'Ke y Kwacc'!H13</f>
        <v>0.21525871535583818</v>
      </c>
      <c r="D50" s="258" t="s">
        <v>881</v>
      </c>
      <c r="E50" s="257"/>
      <c r="F50" s="257"/>
      <c r="G50" s="257"/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</row>
    <row r="51" spans="1:26" ht="15.75" customHeight="1">
      <c r="A51" s="257"/>
      <c r="B51" s="258" t="s">
        <v>882</v>
      </c>
      <c r="C51" s="266">
        <f>C34</f>
        <v>18000</v>
      </c>
      <c r="D51" s="258" t="s">
        <v>876</v>
      </c>
      <c r="E51" s="257"/>
      <c r="F51" s="257"/>
      <c r="G51" s="257"/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</row>
    <row r="52" spans="1:26" ht="15.75" customHeight="1">
      <c r="A52" s="257"/>
      <c r="B52" s="258" t="s">
        <v>865</v>
      </c>
      <c r="C52" s="266">
        <f>C31</f>
        <v>-6291.3226666666669</v>
      </c>
      <c r="D52" s="258" t="s">
        <v>883</v>
      </c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</row>
    <row r="53" spans="1:26" ht="15.75" customHeight="1">
      <c r="A53" s="257"/>
      <c r="B53" s="258"/>
      <c r="C53" s="259"/>
      <c r="D53" s="257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</row>
    <row r="54" spans="1:26" ht="15.75" customHeight="1">
      <c r="A54" s="257"/>
      <c r="B54" s="258"/>
      <c r="C54" s="259"/>
      <c r="D54" s="257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</row>
    <row r="55" spans="1:26" ht="15.75" customHeight="1">
      <c r="A55" s="257"/>
      <c r="B55" s="258"/>
      <c r="C55" s="259"/>
      <c r="D55" s="257"/>
      <c r="E55" s="257"/>
      <c r="F55" s="257"/>
      <c r="G55" s="257"/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</row>
    <row r="56" spans="1:26" ht="15.75" customHeight="1">
      <c r="A56" s="257"/>
      <c r="B56" s="258"/>
      <c r="C56" s="259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</row>
    <row r="57" spans="1:26" ht="15.75" customHeight="1">
      <c r="A57" s="257"/>
      <c r="B57" s="258"/>
      <c r="C57" s="259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</row>
    <row r="58" spans="1:26" ht="15.75" customHeight="1">
      <c r="A58" s="257"/>
      <c r="B58" s="258"/>
      <c r="C58" s="259"/>
      <c r="D58" s="257"/>
      <c r="E58" s="257"/>
      <c r="F58" s="257"/>
      <c r="G58" s="257"/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</row>
    <row r="59" spans="1:26" ht="15.75" customHeight="1">
      <c r="A59" s="257"/>
      <c r="B59" s="258"/>
      <c r="C59" s="259"/>
      <c r="D59" s="257"/>
      <c r="E59" s="257"/>
      <c r="F59" s="257"/>
      <c r="G59" s="257"/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</row>
    <row r="60" spans="1:26" ht="15.75" customHeight="1">
      <c r="A60" s="257"/>
      <c r="B60" s="258"/>
      <c r="C60" s="259"/>
      <c r="D60" s="257"/>
      <c r="E60" s="257"/>
      <c r="F60" s="257"/>
      <c r="G60" s="257"/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</row>
    <row r="61" spans="1:26" ht="15.75" customHeight="1">
      <c r="A61" s="257"/>
      <c r="B61" s="258"/>
      <c r="C61" s="259"/>
      <c r="D61" s="257"/>
      <c r="E61" s="257"/>
      <c r="F61" s="257"/>
      <c r="G61" s="257"/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</row>
    <row r="62" spans="1:26" ht="15.75" customHeight="1">
      <c r="A62" s="257"/>
      <c r="B62" s="258"/>
      <c r="C62" s="259"/>
      <c r="D62" s="257"/>
      <c r="E62" s="257"/>
      <c r="F62" s="257"/>
      <c r="G62" s="257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</row>
    <row r="63" spans="1:26" ht="15.75" customHeight="1">
      <c r="A63" s="257"/>
      <c r="B63" s="258"/>
      <c r="C63" s="259"/>
      <c r="D63" s="257"/>
      <c r="E63" s="257"/>
      <c r="F63" s="257"/>
      <c r="G63" s="257"/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</row>
    <row r="64" spans="1:26" ht="15.75" customHeight="1">
      <c r="A64" s="257"/>
      <c r="B64" s="258"/>
      <c r="C64" s="259"/>
      <c r="D64" s="257"/>
      <c r="E64" s="257"/>
      <c r="F64" s="257"/>
      <c r="G64" s="257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</row>
    <row r="65" spans="1:26" ht="15.75" customHeight="1">
      <c r="A65" s="257"/>
      <c r="B65" s="258"/>
      <c r="C65" s="259"/>
      <c r="D65" s="257"/>
      <c r="E65" s="257"/>
      <c r="F65" s="257"/>
      <c r="G65" s="257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</row>
    <row r="66" spans="1:26" ht="15.75" customHeight="1">
      <c r="A66" s="257"/>
      <c r="B66" s="258"/>
      <c r="C66" s="259"/>
      <c r="D66" s="257"/>
      <c r="E66" s="257"/>
      <c r="F66" s="257"/>
      <c r="G66" s="257"/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</row>
    <row r="67" spans="1:26" ht="15.75" customHeight="1">
      <c r="A67" s="257"/>
      <c r="B67" s="258"/>
      <c r="C67" s="259"/>
      <c r="D67" s="257"/>
      <c r="E67" s="257"/>
      <c r="F67" s="257"/>
      <c r="G67" s="257"/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</row>
    <row r="68" spans="1:26" ht="15.75" customHeight="1">
      <c r="A68" s="257"/>
      <c r="B68" s="258"/>
      <c r="C68" s="259"/>
      <c r="D68" s="257"/>
      <c r="E68" s="257"/>
      <c r="F68" s="257"/>
      <c r="G68" s="257"/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</row>
    <row r="69" spans="1:26" ht="15.75" customHeight="1">
      <c r="A69" s="257"/>
      <c r="B69" s="258"/>
      <c r="C69" s="259"/>
      <c r="D69" s="257"/>
      <c r="E69" s="257"/>
      <c r="F69" s="257"/>
      <c r="G69" s="257"/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</row>
    <row r="70" spans="1:26" ht="15.75" customHeight="1">
      <c r="A70" s="257"/>
      <c r="B70" s="258"/>
      <c r="C70" s="259"/>
      <c r="D70" s="257"/>
      <c r="E70" s="257"/>
      <c r="F70" s="257"/>
      <c r="G70" s="257"/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</row>
    <row r="71" spans="1:26" ht="15.75" customHeight="1">
      <c r="A71" s="257"/>
      <c r="B71" s="258"/>
      <c r="C71" s="259"/>
      <c r="D71" s="257"/>
      <c r="E71" s="257"/>
      <c r="F71" s="257"/>
      <c r="G71" s="257"/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</row>
    <row r="72" spans="1:26" ht="15.75" customHeight="1">
      <c r="A72" s="257"/>
      <c r="B72" s="258"/>
      <c r="C72" s="259"/>
      <c r="D72" s="257"/>
      <c r="E72" s="257"/>
      <c r="F72" s="257"/>
      <c r="G72" s="257"/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</row>
    <row r="73" spans="1:26" ht="15.75" customHeight="1">
      <c r="A73" s="257"/>
      <c r="B73" s="258"/>
      <c r="C73" s="259"/>
      <c r="D73" s="257"/>
      <c r="E73" s="257"/>
      <c r="F73" s="257"/>
      <c r="G73" s="257"/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</row>
    <row r="74" spans="1:26" ht="15.75" customHeight="1">
      <c r="A74" s="257"/>
      <c r="B74" s="258"/>
      <c r="C74" s="259"/>
      <c r="D74" s="257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</row>
    <row r="75" spans="1:26" ht="15.75" customHeight="1">
      <c r="A75" s="257"/>
      <c r="B75" s="258"/>
      <c r="C75" s="259"/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</row>
    <row r="76" spans="1:26" ht="15.75" customHeight="1">
      <c r="A76" s="257"/>
      <c r="B76" s="258"/>
      <c r="C76" s="259"/>
      <c r="D76" s="257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</row>
    <row r="77" spans="1:26" ht="15.75" customHeight="1">
      <c r="A77" s="257"/>
      <c r="B77" s="258"/>
      <c r="C77" s="259"/>
      <c r="D77" s="257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</row>
    <row r="78" spans="1:26" ht="15.75" customHeight="1">
      <c r="A78" s="257"/>
      <c r="B78" s="258"/>
      <c r="C78" s="259"/>
      <c r="D78" s="257"/>
      <c r="E78" s="257"/>
      <c r="F78" s="257"/>
      <c r="G78" s="257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</row>
    <row r="79" spans="1:26" ht="15.75" customHeight="1">
      <c r="A79" s="257"/>
      <c r="B79" s="258"/>
      <c r="C79" s="259"/>
      <c r="D79" s="257"/>
      <c r="E79" s="257"/>
      <c r="F79" s="257"/>
      <c r="G79" s="273"/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</row>
    <row r="80" spans="1:26" ht="15.75" customHeight="1">
      <c r="A80" s="257"/>
      <c r="B80" s="258"/>
      <c r="C80" s="259"/>
      <c r="D80" s="257"/>
      <c r="E80" s="257"/>
      <c r="F80" s="257"/>
      <c r="G80" s="257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</row>
    <row r="81" spans="1:26" ht="15.75" customHeight="1">
      <c r="A81" s="257"/>
      <c r="B81" s="258"/>
      <c r="C81" s="259"/>
      <c r="D81" s="257"/>
      <c r="E81" s="257"/>
      <c r="F81" s="257"/>
      <c r="G81" s="257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</row>
    <row r="82" spans="1:26" ht="15.75" customHeight="1">
      <c r="A82" s="257"/>
      <c r="B82" s="258"/>
      <c r="C82" s="259"/>
      <c r="D82" s="257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</row>
    <row r="83" spans="1:26" ht="15.75" customHeight="1">
      <c r="A83" s="257"/>
      <c r="B83" s="258"/>
      <c r="C83" s="259"/>
      <c r="D83" s="257"/>
      <c r="E83" s="257"/>
      <c r="F83" s="257"/>
      <c r="G83" s="257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</row>
    <row r="84" spans="1:26" ht="15.75" customHeight="1">
      <c r="A84" s="257"/>
      <c r="B84" s="258"/>
      <c r="C84" s="259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</row>
    <row r="85" spans="1:26" ht="15.75" customHeight="1">
      <c r="A85" s="257"/>
      <c r="B85" s="258"/>
      <c r="C85" s="259"/>
      <c r="D85" s="257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</row>
    <row r="86" spans="1:26" ht="15.75" customHeight="1">
      <c r="A86" s="257"/>
      <c r="B86" s="258"/>
      <c r="C86" s="259"/>
      <c r="D86" s="257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</row>
    <row r="87" spans="1:26" ht="15.75" customHeight="1">
      <c r="A87" s="257"/>
      <c r="B87" s="257"/>
      <c r="C87" s="259"/>
      <c r="D87" s="259"/>
      <c r="E87" s="259"/>
      <c r="F87" s="259"/>
      <c r="G87" s="257"/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</row>
    <row r="88" spans="1:26" ht="15.75" customHeight="1">
      <c r="A88" s="257"/>
      <c r="B88" s="258"/>
      <c r="C88" s="259"/>
      <c r="D88" s="257"/>
      <c r="E88" s="257"/>
      <c r="F88" s="257"/>
      <c r="G88" s="257"/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</row>
    <row r="89" spans="1:26" ht="15.75" customHeight="1">
      <c r="A89" s="257"/>
      <c r="B89" s="258"/>
      <c r="C89" s="259"/>
      <c r="D89" s="257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</row>
    <row r="90" spans="1:26" ht="15.75" customHeight="1">
      <c r="A90" s="257"/>
      <c r="B90" s="258"/>
      <c r="C90" s="259"/>
      <c r="D90" s="257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</row>
    <row r="91" spans="1:26" ht="15.75" customHeight="1">
      <c r="A91" s="257"/>
      <c r="B91" s="258"/>
      <c r="C91" s="259"/>
      <c r="D91" s="257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</row>
    <row r="92" spans="1:26" ht="15.75" customHeight="1">
      <c r="A92" s="257"/>
      <c r="B92" s="258"/>
      <c r="C92" s="259"/>
      <c r="D92" s="257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</row>
    <row r="93" spans="1:26" ht="15.75" customHeight="1">
      <c r="A93" s="257"/>
      <c r="B93" s="258"/>
      <c r="C93" s="259"/>
      <c r="D93" s="257"/>
      <c r="E93" s="257"/>
      <c r="F93" s="257"/>
      <c r="G93" s="257"/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</row>
    <row r="94" spans="1:26" ht="15.75" customHeight="1">
      <c r="A94" s="257"/>
      <c r="B94" s="258"/>
      <c r="C94" s="259"/>
      <c r="D94" s="257"/>
      <c r="E94" s="257"/>
      <c r="F94" s="257"/>
      <c r="G94" s="257"/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</row>
    <row r="95" spans="1:26" ht="15.75" customHeight="1">
      <c r="A95" s="257"/>
      <c r="B95" s="258"/>
      <c r="C95" s="259"/>
      <c r="D95" s="257"/>
      <c r="E95" s="257"/>
      <c r="F95" s="257"/>
      <c r="G95" s="257"/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</row>
    <row r="96" spans="1:26" ht="15.75" customHeight="1">
      <c r="A96" s="257"/>
      <c r="B96" s="258"/>
      <c r="C96" s="259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</row>
    <row r="97" spans="1:26" ht="15.75" customHeight="1">
      <c r="A97" s="257"/>
      <c r="B97" s="258"/>
      <c r="C97" s="259"/>
      <c r="D97" s="257"/>
      <c r="E97" s="257"/>
      <c r="F97" s="257"/>
      <c r="G97" s="257"/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</row>
    <row r="98" spans="1:26" ht="15.75" customHeight="1">
      <c r="A98" s="257"/>
      <c r="B98" s="258"/>
      <c r="C98" s="259"/>
      <c r="D98" s="257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</row>
    <row r="99" spans="1:26" ht="15.75" customHeight="1">
      <c r="A99" s="257"/>
      <c r="B99" s="258"/>
      <c r="C99" s="259"/>
      <c r="D99" s="257"/>
      <c r="E99" s="257"/>
      <c r="F99" s="257"/>
      <c r="G99" s="257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</row>
    <row r="100" spans="1:26" ht="15.75" customHeight="1">
      <c r="A100" s="257"/>
      <c r="B100" s="258"/>
      <c r="C100" s="259"/>
      <c r="D100" s="257"/>
      <c r="E100" s="257"/>
      <c r="F100" s="257"/>
      <c r="G100" s="257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</row>
    <row r="101" spans="1:26" ht="15.75" customHeight="1">
      <c r="A101" s="257"/>
      <c r="B101" s="258"/>
      <c r="C101" s="259"/>
      <c r="D101" s="257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</row>
    <row r="102" spans="1:26" ht="15.75" customHeight="1">
      <c r="A102" s="257"/>
      <c r="B102" s="258"/>
      <c r="C102" s="259"/>
      <c r="D102" s="257"/>
      <c r="E102" s="257"/>
      <c r="F102" s="257"/>
      <c r="G102" s="257"/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</row>
    <row r="103" spans="1:26" ht="15.75" customHeight="1">
      <c r="A103" s="257"/>
      <c r="B103" s="258"/>
      <c r="C103" s="259"/>
      <c r="D103" s="257"/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</row>
    <row r="104" spans="1:26" ht="15.75" customHeight="1">
      <c r="A104" s="257"/>
      <c r="B104" s="258"/>
      <c r="C104" s="259"/>
      <c r="D104" s="257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</row>
    <row r="105" spans="1:26" ht="15.75" customHeight="1">
      <c r="A105" s="257"/>
      <c r="B105" s="258"/>
      <c r="C105" s="259"/>
      <c r="D105" s="257"/>
      <c r="E105" s="257"/>
      <c r="F105" s="257"/>
      <c r="G105" s="257"/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</row>
    <row r="106" spans="1:26" ht="15.75" customHeight="1">
      <c r="A106" s="257"/>
      <c r="B106" s="258"/>
      <c r="C106" s="259"/>
      <c r="D106" s="257"/>
      <c r="E106" s="257"/>
      <c r="F106" s="257"/>
      <c r="G106" s="257"/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</row>
    <row r="107" spans="1:26" ht="15.75" customHeight="1">
      <c r="A107" s="257"/>
      <c r="B107" s="258"/>
      <c r="C107" s="259"/>
      <c r="D107" s="257"/>
      <c r="E107" s="257"/>
      <c r="F107" s="257"/>
      <c r="G107" s="257"/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</row>
    <row r="108" spans="1:26" ht="15.75" customHeight="1">
      <c r="A108" s="257"/>
      <c r="B108" s="258"/>
      <c r="C108" s="259"/>
      <c r="D108" s="257"/>
      <c r="E108" s="257"/>
      <c r="F108" s="257"/>
      <c r="G108" s="257"/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</row>
    <row r="109" spans="1:26" ht="15.75" customHeight="1">
      <c r="A109" s="257"/>
      <c r="B109" s="258"/>
      <c r="C109" s="259"/>
      <c r="D109" s="257"/>
      <c r="E109" s="257"/>
      <c r="F109" s="257"/>
      <c r="G109" s="257"/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</row>
    <row r="110" spans="1:26" ht="15.75" customHeight="1">
      <c r="A110" s="257"/>
      <c r="B110" s="258"/>
      <c r="C110" s="259"/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</row>
    <row r="111" spans="1:26" ht="15.75" customHeight="1">
      <c r="A111" s="257"/>
      <c r="B111" s="258"/>
      <c r="C111" s="259"/>
      <c r="D111" s="257"/>
      <c r="E111" s="257"/>
      <c r="F111" s="257"/>
      <c r="G111" s="257"/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</row>
    <row r="112" spans="1:26" ht="15.75" customHeight="1">
      <c r="A112" s="257"/>
      <c r="B112" s="258"/>
      <c r="C112" s="259"/>
      <c r="D112" s="257"/>
      <c r="E112" s="257"/>
      <c r="F112" s="257"/>
      <c r="G112" s="257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</row>
    <row r="113" spans="1:26" ht="15.75" customHeight="1">
      <c r="A113" s="257"/>
      <c r="B113" s="258"/>
      <c r="C113" s="259"/>
      <c r="D113" s="257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</row>
    <row r="114" spans="1:26" ht="15.75" customHeight="1">
      <c r="A114" s="257"/>
      <c r="B114" s="258"/>
      <c r="C114" s="259"/>
      <c r="D114" s="257"/>
      <c r="E114" s="257"/>
      <c r="F114" s="257"/>
      <c r="G114" s="257"/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</row>
    <row r="115" spans="1:26" ht="15.75" customHeight="1">
      <c r="A115" s="257"/>
      <c r="B115" s="258"/>
      <c r="C115" s="259"/>
      <c r="D115" s="257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</row>
    <row r="116" spans="1:26" ht="15.75" customHeight="1">
      <c r="A116" s="257"/>
      <c r="B116" s="258"/>
      <c r="C116" s="259"/>
      <c r="D116" s="257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</row>
    <row r="117" spans="1:26" ht="15.75" customHeight="1">
      <c r="A117" s="257"/>
      <c r="B117" s="258"/>
      <c r="C117" s="259"/>
      <c r="D117" s="257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</row>
    <row r="118" spans="1:26" ht="15.75" customHeight="1">
      <c r="A118" s="257"/>
      <c r="B118" s="258"/>
      <c r="C118" s="259"/>
      <c r="D118" s="257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</row>
    <row r="119" spans="1:26" ht="15.75" customHeight="1">
      <c r="A119" s="257"/>
      <c r="B119" s="258"/>
      <c r="C119" s="259"/>
      <c r="D119" s="257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</row>
    <row r="120" spans="1:26" ht="15.75" customHeight="1">
      <c r="A120" s="257"/>
      <c r="B120" s="258"/>
      <c r="C120" s="259"/>
      <c r="D120" s="257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</row>
    <row r="121" spans="1:26" ht="15.75" customHeight="1">
      <c r="A121" s="257"/>
      <c r="B121" s="258"/>
      <c r="C121" s="259"/>
      <c r="D121" s="257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</row>
    <row r="122" spans="1:26" ht="15.75" customHeight="1">
      <c r="A122" s="257"/>
      <c r="B122" s="258"/>
      <c r="C122" s="259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</row>
    <row r="123" spans="1:26" ht="15.75" customHeight="1">
      <c r="A123" s="257"/>
      <c r="B123" s="258"/>
      <c r="C123" s="259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</row>
    <row r="124" spans="1:26" ht="15.75" customHeight="1">
      <c r="A124" s="257"/>
      <c r="B124" s="258"/>
      <c r="C124" s="259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</row>
    <row r="125" spans="1:26" ht="15.75" customHeight="1">
      <c r="A125" s="257"/>
      <c r="B125" s="258"/>
      <c r="C125" s="259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</row>
    <row r="126" spans="1:26" ht="15.75" customHeight="1">
      <c r="A126" s="257"/>
      <c r="B126" s="258"/>
      <c r="C126" s="259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</row>
    <row r="127" spans="1:26" ht="15.75" customHeight="1">
      <c r="A127" s="257"/>
      <c r="B127" s="258"/>
      <c r="C127" s="259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</row>
    <row r="128" spans="1:26" ht="15.75" customHeight="1">
      <c r="A128" s="257"/>
      <c r="B128" s="258"/>
      <c r="C128" s="259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</row>
    <row r="129" spans="1:26" ht="15.75" customHeight="1">
      <c r="A129" s="257"/>
      <c r="B129" s="258"/>
      <c r="C129" s="259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</row>
    <row r="130" spans="1:26" ht="15.75" customHeight="1">
      <c r="A130" s="257"/>
      <c r="B130" s="258"/>
      <c r="C130" s="259"/>
      <c r="D130" s="257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</row>
    <row r="131" spans="1:26" ht="15.75" customHeight="1">
      <c r="A131" s="257"/>
      <c r="B131" s="258"/>
      <c r="C131" s="259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</row>
    <row r="132" spans="1:26" ht="15.75" customHeight="1">
      <c r="A132" s="257"/>
      <c r="B132" s="258"/>
      <c r="C132" s="259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</row>
    <row r="133" spans="1:26" ht="15.75" customHeight="1">
      <c r="A133" s="257"/>
      <c r="B133" s="258"/>
      <c r="C133" s="259"/>
      <c r="D133" s="257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</row>
    <row r="134" spans="1:26" ht="15.75" customHeight="1">
      <c r="A134" s="257"/>
      <c r="B134" s="258"/>
      <c r="C134" s="259"/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</row>
    <row r="135" spans="1:26" ht="15.75" customHeight="1">
      <c r="A135" s="257"/>
      <c r="B135" s="258"/>
      <c r="C135" s="259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</row>
    <row r="136" spans="1:26" ht="15.75" customHeight="1">
      <c r="A136" s="257"/>
      <c r="B136" s="258"/>
      <c r="C136" s="259"/>
      <c r="D136" s="257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</row>
    <row r="137" spans="1:26" ht="15.75" customHeight="1">
      <c r="A137" s="257"/>
      <c r="B137" s="258"/>
      <c r="C137" s="259"/>
      <c r="D137" s="257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</row>
    <row r="138" spans="1:26" ht="15.75" customHeight="1">
      <c r="A138" s="257"/>
      <c r="B138" s="258"/>
      <c r="C138" s="259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</row>
    <row r="139" spans="1:26" ht="15.75" customHeight="1">
      <c r="A139" s="257"/>
      <c r="B139" s="258"/>
      <c r="C139" s="259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</row>
    <row r="140" spans="1:26" ht="15.75" customHeight="1">
      <c r="A140" s="257"/>
      <c r="B140" s="258"/>
      <c r="C140" s="259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</row>
    <row r="141" spans="1:26" ht="15.75" customHeight="1">
      <c r="A141" s="257"/>
      <c r="B141" s="258"/>
      <c r="C141" s="259"/>
      <c r="D141" s="257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</row>
    <row r="142" spans="1:26" ht="15.75" customHeight="1">
      <c r="A142" s="257"/>
      <c r="B142" s="258"/>
      <c r="C142" s="259"/>
      <c r="D142" s="257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</row>
    <row r="143" spans="1:26" ht="15.75" customHeight="1">
      <c r="A143" s="257"/>
      <c r="B143" s="258"/>
      <c r="C143" s="259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</row>
    <row r="144" spans="1:26" ht="15.75" customHeight="1">
      <c r="A144" s="257"/>
      <c r="B144" s="258"/>
      <c r="C144" s="259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</row>
    <row r="145" spans="1:26" ht="15.75" customHeight="1">
      <c r="A145" s="257"/>
      <c r="B145" s="258"/>
      <c r="C145" s="259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</row>
    <row r="146" spans="1:26" ht="15.75" customHeight="1">
      <c r="A146" s="257"/>
      <c r="B146" s="258"/>
      <c r="C146" s="259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</row>
    <row r="147" spans="1:26" ht="15.75" customHeight="1">
      <c r="A147" s="257"/>
      <c r="B147" s="258"/>
      <c r="C147" s="259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</row>
    <row r="148" spans="1:26" ht="15.75" customHeight="1">
      <c r="A148" s="257"/>
      <c r="B148" s="258"/>
      <c r="C148" s="259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</row>
    <row r="149" spans="1:26" ht="15.75" customHeight="1">
      <c r="A149" s="257"/>
      <c r="B149" s="258"/>
      <c r="C149" s="259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</row>
    <row r="150" spans="1:26" ht="15.75" customHeight="1">
      <c r="A150" s="257"/>
      <c r="B150" s="258"/>
      <c r="C150" s="259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</row>
    <row r="151" spans="1:26" ht="15.75" customHeight="1">
      <c r="A151" s="257"/>
      <c r="B151" s="258"/>
      <c r="C151" s="259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</row>
    <row r="152" spans="1:26" ht="15.75" customHeight="1">
      <c r="A152" s="257"/>
      <c r="B152" s="258"/>
      <c r="C152" s="259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</row>
    <row r="153" spans="1:26" ht="15.75" customHeight="1">
      <c r="A153" s="257"/>
      <c r="B153" s="258"/>
      <c r="C153" s="259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</row>
    <row r="154" spans="1:26" ht="15.75" customHeight="1">
      <c r="A154" s="257"/>
      <c r="B154" s="258"/>
      <c r="C154" s="259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</row>
    <row r="155" spans="1:26" ht="15.75" customHeight="1">
      <c r="A155" s="257"/>
      <c r="B155" s="258"/>
      <c r="C155" s="259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</row>
    <row r="156" spans="1:26" ht="15.75" customHeight="1">
      <c r="A156" s="257"/>
      <c r="B156" s="258"/>
      <c r="C156" s="259"/>
      <c r="D156" s="257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</row>
    <row r="157" spans="1:26" ht="15.75" customHeight="1">
      <c r="A157" s="257"/>
      <c r="B157" s="258"/>
      <c r="C157" s="259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</row>
    <row r="158" spans="1:26" ht="15.75" customHeight="1">
      <c r="A158" s="257"/>
      <c r="B158" s="258"/>
      <c r="C158" s="259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</row>
    <row r="159" spans="1:26" ht="15.75" customHeight="1">
      <c r="A159" s="257"/>
      <c r="B159" s="258"/>
      <c r="C159" s="259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</row>
    <row r="160" spans="1:26" ht="15.75" customHeight="1">
      <c r="A160" s="257"/>
      <c r="B160" s="258"/>
      <c r="C160" s="259"/>
      <c r="D160" s="257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</row>
    <row r="161" spans="1:26" ht="15.75" customHeight="1">
      <c r="A161" s="257"/>
      <c r="B161" s="258"/>
      <c r="C161" s="259"/>
      <c r="D161" s="257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</row>
    <row r="162" spans="1:26" ht="15.75" customHeight="1">
      <c r="A162" s="257"/>
      <c r="B162" s="258"/>
      <c r="C162" s="259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</row>
    <row r="163" spans="1:26" ht="15.75" customHeight="1">
      <c r="A163" s="257"/>
      <c r="B163" s="258"/>
      <c r="C163" s="259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</row>
    <row r="164" spans="1:26" ht="15.75" customHeight="1">
      <c r="A164" s="257"/>
      <c r="B164" s="258"/>
      <c r="C164" s="259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</row>
    <row r="165" spans="1:26" ht="15.75" customHeight="1">
      <c r="A165" s="257"/>
      <c r="B165" s="258"/>
      <c r="C165" s="259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</row>
    <row r="166" spans="1:26" ht="15.75" customHeight="1">
      <c r="A166" s="257"/>
      <c r="B166" s="258"/>
      <c r="C166" s="259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</row>
    <row r="167" spans="1:26" ht="15.75" customHeight="1">
      <c r="A167" s="257"/>
      <c r="B167" s="258"/>
      <c r="C167" s="259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</row>
    <row r="168" spans="1:26" ht="15.75" customHeight="1">
      <c r="A168" s="257"/>
      <c r="B168" s="258"/>
      <c r="C168" s="259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</row>
    <row r="169" spans="1:26" ht="15.75" customHeight="1">
      <c r="A169" s="257"/>
      <c r="B169" s="258"/>
      <c r="C169" s="259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</row>
    <row r="170" spans="1:26" ht="15.75" customHeight="1">
      <c r="A170" s="257"/>
      <c r="B170" s="258"/>
      <c r="C170" s="259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</row>
    <row r="171" spans="1:26" ht="15.75" customHeight="1">
      <c r="A171" s="257"/>
      <c r="B171" s="258"/>
      <c r="C171" s="259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</row>
    <row r="172" spans="1:26" ht="15.75" customHeight="1">
      <c r="A172" s="257"/>
      <c r="B172" s="258"/>
      <c r="C172" s="259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</row>
    <row r="173" spans="1:26" ht="15.75" customHeight="1">
      <c r="A173" s="257"/>
      <c r="B173" s="258"/>
      <c r="C173" s="259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</row>
    <row r="174" spans="1:26" ht="15.75" customHeight="1">
      <c r="A174" s="257"/>
      <c r="B174" s="258"/>
      <c r="C174" s="259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</row>
    <row r="175" spans="1:26" ht="15.75" customHeight="1">
      <c r="A175" s="257"/>
      <c r="B175" s="258"/>
      <c r="C175" s="259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</row>
    <row r="176" spans="1:26" ht="15.75" customHeight="1">
      <c r="A176" s="257"/>
      <c r="B176" s="258"/>
      <c r="C176" s="259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</row>
    <row r="177" spans="1:26" ht="15.75" customHeight="1">
      <c r="A177" s="257"/>
      <c r="B177" s="258"/>
      <c r="C177" s="259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</row>
    <row r="178" spans="1:26" ht="15.75" customHeight="1">
      <c r="A178" s="257"/>
      <c r="B178" s="258"/>
      <c r="C178" s="259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</row>
    <row r="179" spans="1:26" ht="15.75" customHeight="1">
      <c r="A179" s="257"/>
      <c r="B179" s="258"/>
      <c r="C179" s="259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</row>
    <row r="180" spans="1:26" ht="15.75" customHeight="1">
      <c r="A180" s="257"/>
      <c r="B180" s="258"/>
      <c r="C180" s="259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</row>
    <row r="181" spans="1:26" ht="15.75" customHeight="1">
      <c r="A181" s="257"/>
      <c r="B181" s="258"/>
      <c r="C181" s="259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</row>
    <row r="182" spans="1:26" ht="15.75" customHeight="1">
      <c r="A182" s="257"/>
      <c r="B182" s="258"/>
      <c r="C182" s="259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</row>
    <row r="183" spans="1:26" ht="15.75" customHeight="1">
      <c r="A183" s="257"/>
      <c r="B183" s="258"/>
      <c r="C183" s="259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</row>
    <row r="184" spans="1:26" ht="15.75" customHeight="1">
      <c r="A184" s="257"/>
      <c r="B184" s="258"/>
      <c r="C184" s="259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</row>
    <row r="185" spans="1:26" ht="15.75" customHeight="1">
      <c r="A185" s="257"/>
      <c r="B185" s="258"/>
      <c r="C185" s="259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</row>
    <row r="186" spans="1:26" ht="15.75" customHeight="1">
      <c r="A186" s="257"/>
      <c r="B186" s="258"/>
      <c r="C186" s="259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</row>
    <row r="187" spans="1:26" ht="15.75" customHeight="1">
      <c r="A187" s="257"/>
      <c r="B187" s="258"/>
      <c r="C187" s="259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</row>
    <row r="188" spans="1:26" ht="15.75" customHeight="1">
      <c r="A188" s="257"/>
      <c r="B188" s="258"/>
      <c r="C188" s="259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</row>
    <row r="189" spans="1:26" ht="15.75" customHeight="1">
      <c r="A189" s="257"/>
      <c r="B189" s="258"/>
      <c r="C189" s="259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</row>
    <row r="190" spans="1:26" ht="15.75" customHeight="1">
      <c r="A190" s="257"/>
      <c r="B190" s="258"/>
      <c r="C190" s="259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</row>
    <row r="191" spans="1:26" ht="15.75" customHeight="1">
      <c r="A191" s="257"/>
      <c r="B191" s="258"/>
      <c r="C191" s="259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</row>
    <row r="192" spans="1:26" ht="15.75" customHeight="1">
      <c r="A192" s="257"/>
      <c r="B192" s="258"/>
      <c r="C192" s="259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</row>
    <row r="193" spans="1:26" ht="15.75" customHeight="1">
      <c r="A193" s="257"/>
      <c r="B193" s="258"/>
      <c r="C193" s="259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</row>
    <row r="194" spans="1:26" ht="15.75" customHeight="1">
      <c r="A194" s="257"/>
      <c r="B194" s="258"/>
      <c r="C194" s="259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</row>
    <row r="195" spans="1:26" ht="15.75" customHeight="1">
      <c r="A195" s="257"/>
      <c r="B195" s="258"/>
      <c r="C195" s="259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</row>
    <row r="196" spans="1:26" ht="15.75" customHeight="1">
      <c r="A196" s="257"/>
      <c r="B196" s="258"/>
      <c r="C196" s="259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</row>
    <row r="197" spans="1:26" ht="15.75" customHeight="1">
      <c r="A197" s="257"/>
      <c r="B197" s="258"/>
      <c r="C197" s="259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</row>
    <row r="198" spans="1:26" ht="15.75" customHeight="1">
      <c r="A198" s="257"/>
      <c r="B198" s="258"/>
      <c r="C198" s="259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</row>
    <row r="199" spans="1:26" ht="15.75" customHeight="1">
      <c r="A199" s="257"/>
      <c r="B199" s="258"/>
      <c r="C199" s="259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</row>
    <row r="200" spans="1:26" ht="15.75" customHeight="1">
      <c r="A200" s="257"/>
      <c r="B200" s="258"/>
      <c r="C200" s="259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</row>
    <row r="201" spans="1:26" ht="15.75" customHeight="1">
      <c r="A201" s="257"/>
      <c r="B201" s="258"/>
      <c r="C201" s="259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</row>
    <row r="202" spans="1:26" ht="15.75" customHeight="1">
      <c r="A202" s="257"/>
      <c r="B202" s="258"/>
      <c r="C202" s="259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</row>
    <row r="203" spans="1:26" ht="15.75" customHeight="1">
      <c r="A203" s="257"/>
      <c r="B203" s="258"/>
      <c r="C203" s="259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</row>
    <row r="204" spans="1:26" ht="15.75" customHeight="1">
      <c r="A204" s="257"/>
      <c r="B204" s="258"/>
      <c r="C204" s="259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</row>
    <row r="205" spans="1:26" ht="15.75" customHeight="1">
      <c r="A205" s="257"/>
      <c r="B205" s="258"/>
      <c r="C205" s="259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</row>
    <row r="206" spans="1:26" ht="15.75" customHeight="1">
      <c r="A206" s="257"/>
      <c r="B206" s="258"/>
      <c r="C206" s="259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</row>
    <row r="207" spans="1:26" ht="15.75" customHeight="1">
      <c r="A207" s="257"/>
      <c r="B207" s="258"/>
      <c r="C207" s="259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</row>
    <row r="208" spans="1:26" ht="15.75" customHeight="1">
      <c r="A208" s="257"/>
      <c r="B208" s="258"/>
      <c r="C208" s="259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</row>
    <row r="209" spans="1:26" ht="15.75" customHeight="1">
      <c r="A209" s="257"/>
      <c r="B209" s="258"/>
      <c r="C209" s="259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</row>
    <row r="210" spans="1:26" ht="15.75" customHeight="1">
      <c r="A210" s="257"/>
      <c r="B210" s="258"/>
      <c r="C210" s="259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</row>
    <row r="211" spans="1:26" ht="15.75" customHeight="1">
      <c r="A211" s="257"/>
      <c r="B211" s="258"/>
      <c r="C211" s="259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</row>
    <row r="212" spans="1:26" ht="15.75" customHeight="1">
      <c r="A212" s="257"/>
      <c r="B212" s="258"/>
      <c r="C212" s="259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</row>
    <row r="213" spans="1:26" ht="15.75" customHeight="1">
      <c r="A213" s="257"/>
      <c r="B213" s="258"/>
      <c r="C213" s="259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</row>
    <row r="214" spans="1:26" ht="15.75" customHeight="1">
      <c r="A214" s="257"/>
      <c r="B214" s="258"/>
      <c r="C214" s="259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</row>
    <row r="215" spans="1:26" ht="15.75" customHeight="1">
      <c r="A215" s="257"/>
      <c r="B215" s="258"/>
      <c r="C215" s="259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</row>
    <row r="216" spans="1:26" ht="15.75" customHeight="1">
      <c r="A216" s="257"/>
      <c r="B216" s="258"/>
      <c r="C216" s="259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</row>
    <row r="217" spans="1:26" ht="15.75" customHeight="1">
      <c r="A217" s="257"/>
      <c r="B217" s="258"/>
      <c r="C217" s="259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</row>
    <row r="218" spans="1:26" ht="15.75" customHeight="1">
      <c r="A218" s="257"/>
      <c r="B218" s="258"/>
      <c r="C218" s="259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</row>
    <row r="219" spans="1:26" ht="15.75" customHeight="1">
      <c r="A219" s="257"/>
      <c r="B219" s="258"/>
      <c r="C219" s="259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</row>
    <row r="220" spans="1:26" ht="15.75" customHeight="1">
      <c r="A220" s="257"/>
      <c r="B220" s="258"/>
      <c r="C220" s="259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</row>
    <row r="221" spans="1:26" ht="15.75" customHeight="1">
      <c r="A221" s="257"/>
      <c r="B221" s="258"/>
      <c r="C221" s="259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</row>
    <row r="222" spans="1:26" ht="15.75" customHeight="1">
      <c r="A222" s="257"/>
      <c r="B222" s="258"/>
      <c r="C222" s="259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</row>
    <row r="223" spans="1:26" ht="15.75" customHeight="1">
      <c r="A223" s="257"/>
      <c r="B223" s="258"/>
      <c r="C223" s="259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</row>
    <row r="224" spans="1:26" ht="15.75" customHeight="1">
      <c r="A224" s="257"/>
      <c r="B224" s="258"/>
      <c r="C224" s="259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</row>
    <row r="225" spans="1:26" ht="15.75" customHeight="1">
      <c r="A225" s="257"/>
      <c r="B225" s="258"/>
      <c r="C225" s="259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</row>
    <row r="226" spans="1:26" ht="15.75" customHeight="1">
      <c r="A226" s="257"/>
      <c r="B226" s="258"/>
      <c r="C226" s="259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</row>
    <row r="227" spans="1:26" ht="15.75" customHeight="1">
      <c r="A227" s="257"/>
      <c r="B227" s="258"/>
      <c r="C227" s="259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</row>
    <row r="228" spans="1:26" ht="15.75" customHeight="1">
      <c r="A228" s="257"/>
      <c r="B228" s="258"/>
      <c r="C228" s="259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</row>
    <row r="229" spans="1:26" ht="15.75" customHeight="1">
      <c r="A229" s="257"/>
      <c r="B229" s="258"/>
      <c r="C229" s="259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</row>
    <row r="230" spans="1:26" ht="15.75" customHeight="1">
      <c r="A230" s="257"/>
      <c r="B230" s="258"/>
      <c r="C230" s="259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</row>
    <row r="231" spans="1:26" ht="15.75" customHeight="1">
      <c r="A231" s="257"/>
      <c r="B231" s="258"/>
      <c r="C231" s="259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</row>
    <row r="232" spans="1:26" ht="15.75" customHeight="1">
      <c r="A232" s="257"/>
      <c r="B232" s="258"/>
      <c r="C232" s="259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</row>
    <row r="233" spans="1:26" ht="15.75" customHeight="1">
      <c r="A233" s="257"/>
      <c r="B233" s="258"/>
      <c r="C233" s="259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</row>
    <row r="234" spans="1:26" ht="15.75" customHeight="1">
      <c r="A234" s="257"/>
      <c r="B234" s="258"/>
      <c r="C234" s="259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</row>
    <row r="235" spans="1:26" ht="15.75" customHeight="1">
      <c r="A235" s="257"/>
      <c r="B235" s="258"/>
      <c r="C235" s="259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</row>
    <row r="236" spans="1:26" ht="15.75" customHeight="1">
      <c r="A236" s="257"/>
      <c r="B236" s="258"/>
      <c r="C236" s="259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</row>
    <row r="237" spans="1:26" ht="15.75" customHeight="1">
      <c r="A237" s="257"/>
      <c r="B237" s="258"/>
      <c r="C237" s="259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</row>
    <row r="238" spans="1:26" ht="15.75" customHeight="1">
      <c r="A238" s="257"/>
      <c r="B238" s="258"/>
      <c r="C238" s="259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</row>
    <row r="239" spans="1:26" ht="15.75" customHeight="1">
      <c r="A239" s="257"/>
      <c r="B239" s="258"/>
      <c r="C239" s="259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</row>
    <row r="240" spans="1:26" ht="15.75" customHeight="1">
      <c r="A240" s="257"/>
      <c r="B240" s="258"/>
      <c r="C240" s="259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</row>
    <row r="241" spans="1:26" ht="15.75" customHeight="1">
      <c r="A241" s="257"/>
      <c r="B241" s="258"/>
      <c r="C241" s="259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</row>
    <row r="242" spans="1:26" ht="15.75" customHeight="1">
      <c r="A242" s="257"/>
      <c r="B242" s="258"/>
      <c r="C242" s="259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</row>
    <row r="243" spans="1:26" ht="15.75" customHeight="1">
      <c r="A243" s="257"/>
      <c r="B243" s="258"/>
      <c r="C243" s="259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</row>
    <row r="244" spans="1:26" ht="15.75" customHeight="1">
      <c r="A244" s="257"/>
      <c r="B244" s="258"/>
      <c r="C244" s="259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</row>
    <row r="245" spans="1:26" ht="15.75" customHeight="1">
      <c r="A245" s="257"/>
      <c r="B245" s="258"/>
      <c r="C245" s="259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</row>
    <row r="246" spans="1:26" ht="15.75" customHeight="1">
      <c r="A246" s="257"/>
      <c r="B246" s="258"/>
      <c r="C246" s="259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</row>
    <row r="247" spans="1:26" ht="15.75" customHeight="1">
      <c r="A247" s="257"/>
      <c r="B247" s="258"/>
      <c r="C247" s="259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</row>
    <row r="248" spans="1:26" ht="15.75" customHeight="1">
      <c r="A248" s="257"/>
      <c r="B248" s="258"/>
      <c r="C248" s="259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</row>
    <row r="249" spans="1:26" ht="15.75" customHeight="1">
      <c r="A249" s="257"/>
      <c r="B249" s="258"/>
      <c r="C249" s="259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</row>
    <row r="250" spans="1:26" ht="15.75" customHeight="1">
      <c r="A250" s="257"/>
      <c r="B250" s="258"/>
      <c r="C250" s="259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</row>
    <row r="251" spans="1:26" ht="15.75" customHeight="1">
      <c r="A251" s="257"/>
      <c r="B251" s="258"/>
      <c r="C251" s="259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</row>
    <row r="252" spans="1:26" ht="15.75" customHeight="1">
      <c r="A252" s="257"/>
      <c r="B252" s="258"/>
      <c r="C252" s="259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</row>
    <row r="253" spans="1:26" ht="15.75" customHeight="1">
      <c r="A253" s="257"/>
      <c r="B253" s="258"/>
      <c r="C253" s="259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</row>
    <row r="254" spans="1:26" ht="15.75" customHeight="1">
      <c r="A254" s="257"/>
      <c r="B254" s="258"/>
      <c r="C254" s="259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</row>
    <row r="255" spans="1:26" ht="15.75" customHeight="1">
      <c r="A255" s="257"/>
      <c r="B255" s="258"/>
      <c r="C255" s="259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</row>
    <row r="256" spans="1:26" ht="15.75" customHeight="1">
      <c r="A256" s="257"/>
      <c r="B256" s="258"/>
      <c r="C256" s="259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</row>
    <row r="257" spans="1:26" ht="15.75" customHeight="1">
      <c r="A257" s="257"/>
      <c r="B257" s="258"/>
      <c r="C257" s="259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</row>
    <row r="258" spans="1:26" ht="15.75" customHeight="1">
      <c r="A258" s="257"/>
      <c r="B258" s="258"/>
      <c r="C258" s="259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</row>
    <row r="259" spans="1:26" ht="15.75" customHeight="1">
      <c r="A259" s="257"/>
      <c r="B259" s="258"/>
      <c r="C259" s="259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</row>
    <row r="260" spans="1:26" ht="15.75" customHeight="1">
      <c r="A260" s="257"/>
      <c r="B260" s="258"/>
      <c r="C260" s="259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</row>
    <row r="261" spans="1:26" ht="15.75" customHeight="1">
      <c r="A261" s="257"/>
      <c r="B261" s="258"/>
      <c r="C261" s="259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</row>
    <row r="262" spans="1:26" ht="15.75" customHeight="1">
      <c r="A262" s="257"/>
      <c r="B262" s="258"/>
      <c r="C262" s="259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</row>
    <row r="263" spans="1:26" ht="15.75" customHeight="1">
      <c r="A263" s="257"/>
      <c r="B263" s="258"/>
      <c r="C263" s="259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</row>
    <row r="264" spans="1:26" ht="15.75" customHeight="1">
      <c r="A264" s="257"/>
      <c r="B264" s="258"/>
      <c r="C264" s="259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</row>
    <row r="265" spans="1:26" ht="15.75" customHeight="1">
      <c r="A265" s="257"/>
      <c r="B265" s="258"/>
      <c r="C265" s="259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</row>
    <row r="266" spans="1:26" ht="15.75" customHeight="1">
      <c r="A266" s="257"/>
      <c r="B266" s="258"/>
      <c r="C266" s="259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</row>
    <row r="267" spans="1:26" ht="15.75" customHeight="1">
      <c r="A267" s="257"/>
      <c r="B267" s="258"/>
      <c r="C267" s="259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</row>
    <row r="268" spans="1:26" ht="15.75" customHeight="1">
      <c r="A268" s="257"/>
      <c r="B268" s="258"/>
      <c r="C268" s="259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</row>
    <row r="269" spans="1:26" ht="15.75" customHeight="1">
      <c r="A269" s="257"/>
      <c r="B269" s="258"/>
      <c r="C269" s="259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</row>
    <row r="270" spans="1:26" ht="15.75" customHeight="1">
      <c r="A270" s="257"/>
      <c r="B270" s="258"/>
      <c r="C270" s="259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</row>
    <row r="271" spans="1:26" ht="15.75" customHeight="1">
      <c r="A271" s="257"/>
      <c r="B271" s="258"/>
      <c r="C271" s="259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</row>
    <row r="272" spans="1:26" ht="15.75" customHeight="1">
      <c r="A272" s="257"/>
      <c r="B272" s="258"/>
      <c r="C272" s="259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</row>
    <row r="273" spans="1:26" ht="15.75" customHeight="1">
      <c r="A273" s="257"/>
      <c r="B273" s="258"/>
      <c r="C273" s="259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</row>
    <row r="274" spans="1:26" ht="15.75" customHeight="1">
      <c r="A274" s="257"/>
      <c r="B274" s="258"/>
      <c r="C274" s="259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</row>
    <row r="275" spans="1:26" ht="15.75" customHeight="1">
      <c r="A275" s="257"/>
      <c r="B275" s="258"/>
      <c r="C275" s="259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</row>
    <row r="276" spans="1:26" ht="15.75" customHeight="1">
      <c r="A276" s="257"/>
      <c r="B276" s="258"/>
      <c r="C276" s="259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</row>
    <row r="277" spans="1:26" ht="15.75" customHeight="1">
      <c r="A277" s="257"/>
      <c r="B277" s="258"/>
      <c r="C277" s="259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</row>
    <row r="278" spans="1:26" ht="15.75" customHeight="1">
      <c r="A278" s="257"/>
      <c r="B278" s="258"/>
      <c r="C278" s="259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</row>
    <row r="279" spans="1:26" ht="15.75" customHeight="1">
      <c r="A279" s="257"/>
      <c r="B279" s="258"/>
      <c r="C279" s="259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</row>
    <row r="280" spans="1:26" ht="15.75" customHeight="1">
      <c r="A280" s="257"/>
      <c r="B280" s="258"/>
      <c r="C280" s="259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</row>
    <row r="281" spans="1:26" ht="15.75" customHeight="1">
      <c r="A281" s="257"/>
      <c r="B281" s="258"/>
      <c r="C281" s="259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</row>
    <row r="282" spans="1:26" ht="15.75" customHeight="1">
      <c r="A282" s="257"/>
      <c r="B282" s="258"/>
      <c r="C282" s="259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</row>
    <row r="283" spans="1:26" ht="15.75" customHeight="1">
      <c r="A283" s="257"/>
      <c r="B283" s="258"/>
      <c r="C283" s="259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</row>
    <row r="284" spans="1:26" ht="15.75" customHeight="1">
      <c r="A284" s="257"/>
      <c r="B284" s="258"/>
      <c r="C284" s="259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</row>
    <row r="285" spans="1:26" ht="15.75" customHeight="1">
      <c r="A285" s="257"/>
      <c r="B285" s="258"/>
      <c r="C285" s="259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</row>
    <row r="286" spans="1:26" ht="15.75" customHeight="1">
      <c r="A286" s="257"/>
      <c r="B286" s="258"/>
      <c r="C286" s="259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</row>
    <row r="287" spans="1:26" ht="15.75" customHeight="1">
      <c r="A287" s="257"/>
      <c r="B287" s="258"/>
      <c r="C287" s="259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</row>
    <row r="288" spans="1:26" ht="15.75" customHeight="1">
      <c r="A288" s="257"/>
      <c r="B288" s="258"/>
      <c r="C288" s="259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</row>
    <row r="289" spans="1:26" ht="15.75" customHeight="1">
      <c r="A289" s="257"/>
      <c r="B289" s="258"/>
      <c r="C289" s="259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</row>
    <row r="290" spans="1:26" ht="15.75" customHeight="1">
      <c r="A290" s="257"/>
      <c r="B290" s="258"/>
      <c r="C290" s="259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</row>
    <row r="291" spans="1:26" ht="15.75" customHeight="1">
      <c r="A291" s="257"/>
      <c r="B291" s="258"/>
      <c r="C291" s="259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</row>
    <row r="292" spans="1:26" ht="15.75" customHeight="1">
      <c r="A292" s="257"/>
      <c r="B292" s="258"/>
      <c r="C292" s="259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</row>
    <row r="293" spans="1:26" ht="15.75" customHeight="1">
      <c r="A293" s="257"/>
      <c r="B293" s="258"/>
      <c r="C293" s="259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</row>
    <row r="294" spans="1:26" ht="15.75" customHeight="1">
      <c r="A294" s="257"/>
      <c r="B294" s="258"/>
      <c r="C294" s="259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</row>
    <row r="295" spans="1:26" ht="15.75" customHeight="1">
      <c r="A295" s="257"/>
      <c r="B295" s="258"/>
      <c r="C295" s="259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</row>
    <row r="296" spans="1:26" ht="15.75" customHeight="1">
      <c r="A296" s="257"/>
      <c r="B296" s="258"/>
      <c r="C296" s="259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</row>
    <row r="297" spans="1:26" ht="15.75" customHeight="1">
      <c r="A297" s="257"/>
      <c r="B297" s="258"/>
      <c r="C297" s="259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</row>
    <row r="298" spans="1:26" ht="15.75" customHeight="1">
      <c r="A298" s="257"/>
      <c r="B298" s="258"/>
      <c r="C298" s="259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</row>
    <row r="299" spans="1:26" ht="15.75" customHeight="1">
      <c r="A299" s="257"/>
      <c r="B299" s="258"/>
      <c r="C299" s="259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</row>
    <row r="300" spans="1:26" ht="15.75" customHeight="1">
      <c r="A300" s="257"/>
      <c r="B300" s="258"/>
      <c r="C300" s="259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</row>
    <row r="301" spans="1:26" ht="15.75" customHeight="1">
      <c r="A301" s="257"/>
      <c r="B301" s="258"/>
      <c r="C301" s="259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</row>
    <row r="302" spans="1:26" ht="15.75" customHeight="1">
      <c r="A302" s="257"/>
      <c r="B302" s="258"/>
      <c r="C302" s="259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</row>
    <row r="303" spans="1:26" ht="15.75" customHeight="1">
      <c r="A303" s="257"/>
      <c r="B303" s="258"/>
      <c r="C303" s="259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</row>
    <row r="304" spans="1:26" ht="15.75" customHeight="1">
      <c r="A304" s="257"/>
      <c r="B304" s="258"/>
      <c r="C304" s="259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</row>
    <row r="305" spans="1:26" ht="15.75" customHeight="1">
      <c r="A305" s="257"/>
      <c r="B305" s="258"/>
      <c r="C305" s="259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</row>
    <row r="306" spans="1:26" ht="15.75" customHeight="1">
      <c r="A306" s="257"/>
      <c r="B306" s="258"/>
      <c r="C306" s="259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</row>
    <row r="307" spans="1:26" ht="15.75" customHeight="1">
      <c r="A307" s="257"/>
      <c r="B307" s="258"/>
      <c r="C307" s="259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</row>
    <row r="308" spans="1:26" ht="15.75" customHeight="1">
      <c r="A308" s="257"/>
      <c r="B308" s="258"/>
      <c r="C308" s="259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</row>
    <row r="309" spans="1:26" ht="15.75" customHeight="1">
      <c r="A309" s="257"/>
      <c r="B309" s="258"/>
      <c r="C309" s="259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</row>
    <row r="310" spans="1:26" ht="15.75" customHeight="1">
      <c r="A310" s="257"/>
      <c r="B310" s="258"/>
      <c r="C310" s="259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</row>
    <row r="311" spans="1:26" ht="15.75" customHeight="1">
      <c r="A311" s="257"/>
      <c r="B311" s="258"/>
      <c r="C311" s="259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</row>
    <row r="312" spans="1:26" ht="15.75" customHeight="1">
      <c r="A312" s="257"/>
      <c r="B312" s="258"/>
      <c r="C312" s="259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</row>
    <row r="313" spans="1:26" ht="15.75" customHeight="1">
      <c r="A313" s="257"/>
      <c r="B313" s="258"/>
      <c r="C313" s="259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</row>
    <row r="314" spans="1:26" ht="15.75" customHeight="1">
      <c r="A314" s="257"/>
      <c r="B314" s="258"/>
      <c r="C314" s="259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</row>
    <row r="315" spans="1:26" ht="15.75" customHeight="1">
      <c r="A315" s="257"/>
      <c r="B315" s="258"/>
      <c r="C315" s="259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</row>
    <row r="316" spans="1:26" ht="15.75" customHeight="1">
      <c r="A316" s="257"/>
      <c r="B316" s="258"/>
      <c r="C316" s="259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</row>
    <row r="317" spans="1:26" ht="15.75" customHeight="1">
      <c r="A317" s="257"/>
      <c r="B317" s="258"/>
      <c r="C317" s="259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</row>
    <row r="318" spans="1:26" ht="15.75" customHeight="1">
      <c r="A318" s="257"/>
      <c r="B318" s="258"/>
      <c r="C318" s="259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</row>
    <row r="319" spans="1:26" ht="15.75" customHeight="1">
      <c r="A319" s="257"/>
      <c r="B319" s="258"/>
      <c r="C319" s="259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</row>
    <row r="320" spans="1:26" ht="15.75" customHeight="1">
      <c r="A320" s="257"/>
      <c r="B320" s="258"/>
      <c r="C320" s="259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</row>
    <row r="321" spans="1:26" ht="15.75" customHeight="1">
      <c r="A321" s="257"/>
      <c r="B321" s="258"/>
      <c r="C321" s="259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</row>
    <row r="322" spans="1:26" ht="15.75" customHeight="1">
      <c r="A322" s="257"/>
      <c r="B322" s="258"/>
      <c r="C322" s="259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</row>
    <row r="323" spans="1:26" ht="15.75" customHeight="1">
      <c r="A323" s="257"/>
      <c r="B323" s="258"/>
      <c r="C323" s="259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</row>
    <row r="324" spans="1:26" ht="15.75" customHeight="1">
      <c r="A324" s="257"/>
      <c r="B324" s="258"/>
      <c r="C324" s="259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</row>
    <row r="325" spans="1:26" ht="15.75" customHeight="1">
      <c r="A325" s="257"/>
      <c r="B325" s="258"/>
      <c r="C325" s="259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</row>
    <row r="326" spans="1:26" ht="15.75" customHeight="1">
      <c r="A326" s="257"/>
      <c r="B326" s="258"/>
      <c r="C326" s="259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</row>
    <row r="327" spans="1:26" ht="15.75" customHeight="1">
      <c r="A327" s="257"/>
      <c r="B327" s="258"/>
      <c r="C327" s="259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</row>
    <row r="328" spans="1:26" ht="15.75" customHeight="1">
      <c r="A328" s="257"/>
      <c r="B328" s="258"/>
      <c r="C328" s="259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</row>
    <row r="329" spans="1:26" ht="15.75" customHeight="1">
      <c r="A329" s="257"/>
      <c r="B329" s="258"/>
      <c r="C329" s="259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</row>
    <row r="330" spans="1:26" ht="15.75" customHeight="1">
      <c r="A330" s="257"/>
      <c r="B330" s="258"/>
      <c r="C330" s="259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</row>
    <row r="331" spans="1:26" ht="15.75" customHeight="1">
      <c r="A331" s="257"/>
      <c r="B331" s="258"/>
      <c r="C331" s="259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</row>
    <row r="332" spans="1:26" ht="15.75" customHeight="1">
      <c r="A332" s="257"/>
      <c r="B332" s="258"/>
      <c r="C332" s="259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</row>
    <row r="333" spans="1:26" ht="15.75" customHeight="1">
      <c r="A333" s="257"/>
      <c r="B333" s="258"/>
      <c r="C333" s="259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</row>
    <row r="334" spans="1:26" ht="15.75" customHeight="1">
      <c r="A334" s="257"/>
      <c r="B334" s="258"/>
      <c r="C334" s="259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</row>
    <row r="335" spans="1:26" ht="15.75" customHeight="1">
      <c r="A335" s="257"/>
      <c r="B335" s="258"/>
      <c r="C335" s="259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</row>
    <row r="336" spans="1:26" ht="15.75" customHeight="1">
      <c r="A336" s="257"/>
      <c r="B336" s="258"/>
      <c r="C336" s="259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</row>
    <row r="337" spans="1:26" ht="15.75" customHeight="1">
      <c r="A337" s="257"/>
      <c r="B337" s="258"/>
      <c r="C337" s="259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</row>
    <row r="338" spans="1:26" ht="15.75" customHeight="1">
      <c r="A338" s="257"/>
      <c r="B338" s="258"/>
      <c r="C338" s="259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</row>
    <row r="339" spans="1:26" ht="15.75" customHeight="1">
      <c r="A339" s="257"/>
      <c r="B339" s="258"/>
      <c r="C339" s="259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</row>
    <row r="340" spans="1:26" ht="15.75" customHeight="1">
      <c r="A340" s="257"/>
      <c r="B340" s="258"/>
      <c r="C340" s="259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</row>
    <row r="341" spans="1:26" ht="15.75" customHeight="1">
      <c r="A341" s="257"/>
      <c r="B341" s="258"/>
      <c r="C341" s="259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</row>
    <row r="342" spans="1:26" ht="15.75" customHeight="1">
      <c r="A342" s="257"/>
      <c r="B342" s="258"/>
      <c r="C342" s="259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</row>
    <row r="343" spans="1:26" ht="15.75" customHeight="1">
      <c r="A343" s="257"/>
      <c r="B343" s="258"/>
      <c r="C343" s="259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</row>
    <row r="344" spans="1:26" ht="15.75" customHeight="1">
      <c r="A344" s="257"/>
      <c r="B344" s="258"/>
      <c r="C344" s="259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</row>
    <row r="345" spans="1:26" ht="15.75" customHeight="1">
      <c r="A345" s="257"/>
      <c r="B345" s="258"/>
      <c r="C345" s="259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</row>
    <row r="346" spans="1:26" ht="15.75" customHeight="1">
      <c r="A346" s="257"/>
      <c r="B346" s="258"/>
      <c r="C346" s="259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</row>
    <row r="347" spans="1:26" ht="15.75" customHeight="1">
      <c r="A347" s="257"/>
      <c r="B347" s="258"/>
      <c r="C347" s="259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</row>
    <row r="348" spans="1:26" ht="15.75" customHeight="1">
      <c r="A348" s="257"/>
      <c r="B348" s="258"/>
      <c r="C348" s="259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</row>
    <row r="349" spans="1:26" ht="15.75" customHeight="1">
      <c r="A349" s="257"/>
      <c r="B349" s="258"/>
      <c r="C349" s="259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</row>
    <row r="350" spans="1:26" ht="15.75" customHeight="1">
      <c r="A350" s="257"/>
      <c r="B350" s="258"/>
      <c r="C350" s="259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</row>
    <row r="351" spans="1:26" ht="15.75" customHeight="1">
      <c r="A351" s="257"/>
      <c r="B351" s="258"/>
      <c r="C351" s="259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</row>
    <row r="352" spans="1:26" ht="15.75" customHeight="1">
      <c r="A352" s="257"/>
      <c r="B352" s="258"/>
      <c r="C352" s="259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</row>
    <row r="353" spans="1:26" ht="15.75" customHeight="1">
      <c r="A353" s="257"/>
      <c r="B353" s="258"/>
      <c r="C353" s="259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</row>
    <row r="354" spans="1:26" ht="15.75" customHeight="1">
      <c r="A354" s="257"/>
      <c r="B354" s="258"/>
      <c r="C354" s="259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</row>
    <row r="355" spans="1:26" ht="15.75" customHeight="1">
      <c r="A355" s="257"/>
      <c r="B355" s="258"/>
      <c r="C355" s="259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</row>
    <row r="356" spans="1:26" ht="15.75" customHeight="1">
      <c r="A356" s="257"/>
      <c r="B356" s="258"/>
      <c r="C356" s="259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</row>
    <row r="357" spans="1:26" ht="15.75" customHeight="1">
      <c r="A357" s="257"/>
      <c r="B357" s="258"/>
      <c r="C357" s="259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</row>
    <row r="358" spans="1:26" ht="15.75" customHeight="1">
      <c r="A358" s="257"/>
      <c r="B358" s="258"/>
      <c r="C358" s="259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</row>
    <row r="359" spans="1:26" ht="15.75" customHeight="1">
      <c r="A359" s="257"/>
      <c r="B359" s="258"/>
      <c r="C359" s="259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</row>
    <row r="360" spans="1:26" ht="15.75" customHeight="1">
      <c r="A360" s="257"/>
      <c r="B360" s="258"/>
      <c r="C360" s="259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</row>
    <row r="361" spans="1:26" ht="15.75" customHeight="1">
      <c r="A361" s="257"/>
      <c r="B361" s="258"/>
      <c r="C361" s="259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</row>
    <row r="362" spans="1:26" ht="15.75" customHeight="1">
      <c r="A362" s="257"/>
      <c r="B362" s="258"/>
      <c r="C362" s="259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</row>
    <row r="363" spans="1:26" ht="15.75" customHeight="1">
      <c r="A363" s="257"/>
      <c r="B363" s="258"/>
      <c r="C363" s="259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</row>
    <row r="364" spans="1:26" ht="15.75" customHeight="1">
      <c r="A364" s="257"/>
      <c r="B364" s="258"/>
      <c r="C364" s="259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</row>
    <row r="365" spans="1:26" ht="15.75" customHeight="1">
      <c r="A365" s="257"/>
      <c r="B365" s="258"/>
      <c r="C365" s="259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</row>
    <row r="366" spans="1:26" ht="15.75" customHeight="1">
      <c r="A366" s="257"/>
      <c r="B366" s="258"/>
      <c r="C366" s="259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</row>
    <row r="367" spans="1:26" ht="15.75" customHeight="1">
      <c r="A367" s="257"/>
      <c r="B367" s="258"/>
      <c r="C367" s="259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</row>
    <row r="368" spans="1:26" ht="15.75" customHeight="1">
      <c r="A368" s="257"/>
      <c r="B368" s="258"/>
      <c r="C368" s="259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</row>
    <row r="369" spans="1:26" ht="15.75" customHeight="1">
      <c r="A369" s="257"/>
      <c r="B369" s="258"/>
      <c r="C369" s="259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</row>
    <row r="370" spans="1:26" ht="15.75" customHeight="1">
      <c r="A370" s="257"/>
      <c r="B370" s="258"/>
      <c r="C370" s="259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</row>
    <row r="371" spans="1:26" ht="15.75" customHeight="1">
      <c r="A371" s="257"/>
      <c r="B371" s="258"/>
      <c r="C371" s="259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</row>
    <row r="372" spans="1:26" ht="15.75" customHeight="1">
      <c r="A372" s="257"/>
      <c r="B372" s="258"/>
      <c r="C372" s="259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</row>
    <row r="373" spans="1:26" ht="15.75" customHeight="1">
      <c r="A373" s="257"/>
      <c r="B373" s="258"/>
      <c r="C373" s="259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</row>
    <row r="374" spans="1:26" ht="15.75" customHeight="1">
      <c r="A374" s="257"/>
      <c r="B374" s="258"/>
      <c r="C374" s="259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</row>
    <row r="375" spans="1:26" ht="15.75" customHeight="1">
      <c r="A375" s="257"/>
      <c r="B375" s="258"/>
      <c r="C375" s="259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</row>
    <row r="376" spans="1:26" ht="15.75" customHeight="1">
      <c r="A376" s="257"/>
      <c r="B376" s="258"/>
      <c r="C376" s="259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</row>
    <row r="377" spans="1:26" ht="15.75" customHeight="1">
      <c r="A377" s="257"/>
      <c r="B377" s="258"/>
      <c r="C377" s="259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</row>
    <row r="378" spans="1:26" ht="15.75" customHeight="1">
      <c r="A378" s="257"/>
      <c r="B378" s="258"/>
      <c r="C378" s="259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</row>
    <row r="379" spans="1:26" ht="15.75" customHeight="1">
      <c r="A379" s="257"/>
      <c r="B379" s="258"/>
      <c r="C379" s="259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</row>
    <row r="380" spans="1:26" ht="15.75" customHeight="1">
      <c r="A380" s="257"/>
      <c r="B380" s="258"/>
      <c r="C380" s="259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</row>
    <row r="381" spans="1:26" ht="15.75" customHeight="1">
      <c r="A381" s="257"/>
      <c r="B381" s="258"/>
      <c r="C381" s="259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</row>
    <row r="382" spans="1:26" ht="15.75" customHeight="1">
      <c r="A382" s="257"/>
      <c r="B382" s="258"/>
      <c r="C382" s="259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</row>
    <row r="383" spans="1:26" ht="15.75" customHeight="1">
      <c r="A383" s="257"/>
      <c r="B383" s="258"/>
      <c r="C383" s="259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</row>
    <row r="384" spans="1:26" ht="15.75" customHeight="1">
      <c r="A384" s="257"/>
      <c r="B384" s="258"/>
      <c r="C384" s="259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</row>
    <row r="385" spans="1:26" ht="15.75" customHeight="1">
      <c r="A385" s="257"/>
      <c r="B385" s="258"/>
      <c r="C385" s="259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</row>
    <row r="386" spans="1:26" ht="15.75" customHeight="1">
      <c r="A386" s="257"/>
      <c r="B386" s="258"/>
      <c r="C386" s="259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</row>
    <row r="387" spans="1:26" ht="15.75" customHeight="1">
      <c r="A387" s="257"/>
      <c r="B387" s="258"/>
      <c r="C387" s="259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</row>
    <row r="388" spans="1:26" ht="15.75" customHeight="1">
      <c r="A388" s="257"/>
      <c r="B388" s="258"/>
      <c r="C388" s="259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</row>
    <row r="389" spans="1:26" ht="15.75" customHeight="1">
      <c r="A389" s="257"/>
      <c r="B389" s="258"/>
      <c r="C389" s="259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</row>
    <row r="390" spans="1:26" ht="15.75" customHeight="1">
      <c r="A390" s="257"/>
      <c r="B390" s="258"/>
      <c r="C390" s="259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</row>
    <row r="391" spans="1:26" ht="15.75" customHeight="1">
      <c r="A391" s="257"/>
      <c r="B391" s="258"/>
      <c r="C391" s="259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</row>
    <row r="392" spans="1:26" ht="15.75" customHeight="1">
      <c r="A392" s="257"/>
      <c r="B392" s="258"/>
      <c r="C392" s="259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</row>
    <row r="393" spans="1:26" ht="15.75" customHeight="1">
      <c r="A393" s="257"/>
      <c r="B393" s="258"/>
      <c r="C393" s="259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</row>
    <row r="394" spans="1:26" ht="15.75" customHeight="1">
      <c r="A394" s="257"/>
      <c r="B394" s="258"/>
      <c r="C394" s="259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</row>
    <row r="395" spans="1:26" ht="15.75" customHeight="1">
      <c r="A395" s="257"/>
      <c r="B395" s="258"/>
      <c r="C395" s="259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</row>
    <row r="396" spans="1:26" ht="15.75" customHeight="1">
      <c r="A396" s="257"/>
      <c r="B396" s="258"/>
      <c r="C396" s="259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</row>
    <row r="397" spans="1:26" ht="15.75" customHeight="1">
      <c r="A397" s="257"/>
      <c r="B397" s="258"/>
      <c r="C397" s="259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</row>
    <row r="398" spans="1:26" ht="15.75" customHeight="1">
      <c r="A398" s="257"/>
      <c r="B398" s="258"/>
      <c r="C398" s="259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</row>
    <row r="399" spans="1:26" ht="15.75" customHeight="1">
      <c r="A399" s="257"/>
      <c r="B399" s="258"/>
      <c r="C399" s="259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</row>
    <row r="400" spans="1:26" ht="15.75" customHeight="1">
      <c r="A400" s="257"/>
      <c r="B400" s="258"/>
      <c r="C400" s="259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</row>
    <row r="401" spans="1:26" ht="15.75" customHeight="1">
      <c r="A401" s="257"/>
      <c r="B401" s="258"/>
      <c r="C401" s="259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</row>
    <row r="402" spans="1:26" ht="15.75" customHeight="1">
      <c r="A402" s="257"/>
      <c r="B402" s="258"/>
      <c r="C402" s="259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</row>
    <row r="403" spans="1:26" ht="15.75" customHeight="1">
      <c r="A403" s="257"/>
      <c r="B403" s="258"/>
      <c r="C403" s="259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</row>
    <row r="404" spans="1:26" ht="15.75" customHeight="1">
      <c r="A404" s="257"/>
      <c r="B404" s="258"/>
      <c r="C404" s="259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</row>
    <row r="405" spans="1:26" ht="15.75" customHeight="1">
      <c r="A405" s="257"/>
      <c r="B405" s="258"/>
      <c r="C405" s="259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</row>
    <row r="406" spans="1:26" ht="15.75" customHeight="1">
      <c r="A406" s="257"/>
      <c r="B406" s="258"/>
      <c r="C406" s="259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</row>
    <row r="407" spans="1:26" ht="15.75" customHeight="1">
      <c r="A407" s="257"/>
      <c r="B407" s="258"/>
      <c r="C407" s="259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</row>
    <row r="408" spans="1:26" ht="15.75" customHeight="1">
      <c r="A408" s="257"/>
      <c r="B408" s="258"/>
      <c r="C408" s="259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</row>
    <row r="409" spans="1:26" ht="15.75" customHeight="1">
      <c r="A409" s="257"/>
      <c r="B409" s="258"/>
      <c r="C409" s="259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</row>
    <row r="410" spans="1:26" ht="15.75" customHeight="1">
      <c r="A410" s="257"/>
      <c r="B410" s="258"/>
      <c r="C410" s="259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</row>
    <row r="411" spans="1:26" ht="15.75" customHeight="1">
      <c r="A411" s="257"/>
      <c r="B411" s="258"/>
      <c r="C411" s="259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</row>
    <row r="412" spans="1:26" ht="15.75" customHeight="1">
      <c r="A412" s="257"/>
      <c r="B412" s="258"/>
      <c r="C412" s="259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</row>
    <row r="413" spans="1:26" ht="15.75" customHeight="1">
      <c r="A413" s="257"/>
      <c r="B413" s="258"/>
      <c r="C413" s="259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</row>
    <row r="414" spans="1:26" ht="15.75" customHeight="1">
      <c r="A414" s="257"/>
      <c r="B414" s="258"/>
      <c r="C414" s="259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</row>
    <row r="415" spans="1:26" ht="15.75" customHeight="1">
      <c r="A415" s="257"/>
      <c r="B415" s="258"/>
      <c r="C415" s="259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</row>
    <row r="416" spans="1:26" ht="15.75" customHeight="1">
      <c r="A416" s="257"/>
      <c r="B416" s="258"/>
      <c r="C416" s="259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</row>
    <row r="417" spans="1:26" ht="15.75" customHeight="1">
      <c r="A417" s="257"/>
      <c r="B417" s="258"/>
      <c r="C417" s="259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</row>
    <row r="418" spans="1:26" ht="15.75" customHeight="1">
      <c r="A418" s="257"/>
      <c r="B418" s="258"/>
      <c r="C418" s="259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</row>
    <row r="419" spans="1:26" ht="15.75" customHeight="1">
      <c r="A419" s="257"/>
      <c r="B419" s="258"/>
      <c r="C419" s="259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</row>
    <row r="420" spans="1:26" ht="15.75" customHeight="1">
      <c r="A420" s="257"/>
      <c r="B420" s="258"/>
      <c r="C420" s="259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</row>
    <row r="421" spans="1:26" ht="15.75" customHeight="1">
      <c r="A421" s="257"/>
      <c r="B421" s="258"/>
      <c r="C421" s="259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</row>
    <row r="422" spans="1:26" ht="15.75" customHeight="1">
      <c r="A422" s="257"/>
      <c r="B422" s="258"/>
      <c r="C422" s="259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</row>
    <row r="423" spans="1:26" ht="15.75" customHeight="1">
      <c r="A423" s="257"/>
      <c r="B423" s="258"/>
      <c r="C423" s="259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</row>
    <row r="424" spans="1:26" ht="15.75" customHeight="1">
      <c r="A424" s="257"/>
      <c r="B424" s="258"/>
      <c r="C424" s="259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</row>
    <row r="425" spans="1:26" ht="15.75" customHeight="1">
      <c r="A425" s="257"/>
      <c r="B425" s="258"/>
      <c r="C425" s="259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</row>
    <row r="426" spans="1:26" ht="15.75" customHeight="1">
      <c r="A426" s="257"/>
      <c r="B426" s="258"/>
      <c r="C426" s="259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</row>
    <row r="427" spans="1:26" ht="15.75" customHeight="1">
      <c r="A427" s="257"/>
      <c r="B427" s="258"/>
      <c r="C427" s="259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</row>
    <row r="428" spans="1:26" ht="15.75" customHeight="1">
      <c r="A428" s="257"/>
      <c r="B428" s="258"/>
      <c r="C428" s="259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</row>
    <row r="429" spans="1:26" ht="15.75" customHeight="1">
      <c r="A429" s="257"/>
      <c r="B429" s="258"/>
      <c r="C429" s="259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</row>
    <row r="430" spans="1:26" ht="15.75" customHeight="1">
      <c r="A430" s="257"/>
      <c r="B430" s="258"/>
      <c r="C430" s="259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</row>
    <row r="431" spans="1:26" ht="15.75" customHeight="1">
      <c r="A431" s="257"/>
      <c r="B431" s="258"/>
      <c r="C431" s="259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</row>
    <row r="432" spans="1:26" ht="15.75" customHeight="1">
      <c r="A432" s="257"/>
      <c r="B432" s="258"/>
      <c r="C432" s="259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</row>
    <row r="433" spans="1:26" ht="15.75" customHeight="1">
      <c r="A433" s="257"/>
      <c r="B433" s="258"/>
      <c r="C433" s="259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</row>
    <row r="434" spans="1:26" ht="15.75" customHeight="1">
      <c r="A434" s="257"/>
      <c r="B434" s="258"/>
      <c r="C434" s="259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</row>
    <row r="435" spans="1:26" ht="15.75" customHeight="1">
      <c r="A435" s="257"/>
      <c r="B435" s="258"/>
      <c r="C435" s="259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</row>
    <row r="436" spans="1:26" ht="15.75" customHeight="1">
      <c r="A436" s="257"/>
      <c r="B436" s="258"/>
      <c r="C436" s="259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</row>
    <row r="437" spans="1:26" ht="15.75" customHeight="1">
      <c r="A437" s="257"/>
      <c r="B437" s="258"/>
      <c r="C437" s="259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</row>
    <row r="438" spans="1:26" ht="15.75" customHeight="1">
      <c r="A438" s="257"/>
      <c r="B438" s="258"/>
      <c r="C438" s="259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</row>
    <row r="439" spans="1:26" ht="15.75" customHeight="1">
      <c r="A439" s="257"/>
      <c r="B439" s="258"/>
      <c r="C439" s="259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</row>
    <row r="440" spans="1:26" ht="15.75" customHeight="1">
      <c r="A440" s="257"/>
      <c r="B440" s="258"/>
      <c r="C440" s="259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</row>
    <row r="441" spans="1:26" ht="15.75" customHeight="1">
      <c r="A441" s="257"/>
      <c r="B441" s="258"/>
      <c r="C441" s="259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</row>
    <row r="442" spans="1:26" ht="15.75" customHeight="1">
      <c r="A442" s="257"/>
      <c r="B442" s="258"/>
      <c r="C442" s="259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</row>
    <row r="443" spans="1:26" ht="15.75" customHeight="1">
      <c r="A443" s="257"/>
      <c r="B443" s="258"/>
      <c r="C443" s="259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</row>
    <row r="444" spans="1:26" ht="15.75" customHeight="1">
      <c r="A444" s="257"/>
      <c r="B444" s="258"/>
      <c r="C444" s="259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</row>
    <row r="445" spans="1:26" ht="15.75" customHeight="1">
      <c r="A445" s="257"/>
      <c r="B445" s="258"/>
      <c r="C445" s="259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</row>
    <row r="446" spans="1:26" ht="15.75" customHeight="1">
      <c r="A446" s="257"/>
      <c r="B446" s="258"/>
      <c r="C446" s="259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</row>
    <row r="447" spans="1:26" ht="15.75" customHeight="1">
      <c r="A447" s="257"/>
      <c r="B447" s="258"/>
      <c r="C447" s="259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</row>
    <row r="448" spans="1:26" ht="15.75" customHeight="1">
      <c r="A448" s="257"/>
      <c r="B448" s="258"/>
      <c r="C448" s="259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</row>
    <row r="449" spans="1:26" ht="15.75" customHeight="1">
      <c r="A449" s="257"/>
      <c r="B449" s="258"/>
      <c r="C449" s="259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</row>
    <row r="450" spans="1:26" ht="15.75" customHeight="1">
      <c r="A450" s="257"/>
      <c r="B450" s="258"/>
      <c r="C450" s="259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</row>
    <row r="451" spans="1:26" ht="15.75" customHeight="1">
      <c r="A451" s="257"/>
      <c r="B451" s="258"/>
      <c r="C451" s="259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</row>
    <row r="452" spans="1:26" ht="15.75" customHeight="1">
      <c r="A452" s="257"/>
      <c r="B452" s="258"/>
      <c r="C452" s="259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</row>
    <row r="453" spans="1:26" ht="15.75" customHeight="1">
      <c r="A453" s="257"/>
      <c r="B453" s="258"/>
      <c r="C453" s="259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</row>
    <row r="454" spans="1:26" ht="15.75" customHeight="1">
      <c r="A454" s="257"/>
      <c r="B454" s="258"/>
      <c r="C454" s="259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</row>
    <row r="455" spans="1:26" ht="15.75" customHeight="1">
      <c r="A455" s="257"/>
      <c r="B455" s="258"/>
      <c r="C455" s="259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</row>
    <row r="456" spans="1:26" ht="15.75" customHeight="1">
      <c r="A456" s="257"/>
      <c r="B456" s="258"/>
      <c r="C456" s="259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</row>
    <row r="457" spans="1:26" ht="15.75" customHeight="1">
      <c r="A457" s="257"/>
      <c r="B457" s="258"/>
      <c r="C457" s="259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</row>
    <row r="458" spans="1:26" ht="15.75" customHeight="1">
      <c r="A458" s="257"/>
      <c r="B458" s="258"/>
      <c r="C458" s="259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</row>
    <row r="459" spans="1:26" ht="15.75" customHeight="1">
      <c r="A459" s="257"/>
      <c r="B459" s="258"/>
      <c r="C459" s="259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</row>
    <row r="460" spans="1:26" ht="15.75" customHeight="1">
      <c r="A460" s="257"/>
      <c r="B460" s="258"/>
      <c r="C460" s="259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</row>
    <row r="461" spans="1:26" ht="15.75" customHeight="1">
      <c r="A461" s="257"/>
      <c r="B461" s="258"/>
      <c r="C461" s="259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</row>
    <row r="462" spans="1:26" ht="15.75" customHeight="1">
      <c r="A462" s="257"/>
      <c r="B462" s="258"/>
      <c r="C462" s="259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</row>
    <row r="463" spans="1:26" ht="15.75" customHeight="1">
      <c r="A463" s="257"/>
      <c r="B463" s="258"/>
      <c r="C463" s="259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</row>
    <row r="464" spans="1:26" ht="15.75" customHeight="1">
      <c r="A464" s="257"/>
      <c r="B464" s="258"/>
      <c r="C464" s="259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</row>
    <row r="465" spans="1:26" ht="15.75" customHeight="1">
      <c r="A465" s="257"/>
      <c r="B465" s="258"/>
      <c r="C465" s="259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</row>
    <row r="466" spans="1:26" ht="15.75" customHeight="1">
      <c r="A466" s="257"/>
      <c r="B466" s="258"/>
      <c r="C466" s="259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</row>
    <row r="467" spans="1:26" ht="15.75" customHeight="1">
      <c r="A467" s="257"/>
      <c r="B467" s="258"/>
      <c r="C467" s="259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</row>
    <row r="468" spans="1:26" ht="15.75" customHeight="1">
      <c r="A468" s="257"/>
      <c r="B468" s="258"/>
      <c r="C468" s="259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</row>
    <row r="469" spans="1:26" ht="15.75" customHeight="1">
      <c r="A469" s="257"/>
      <c r="B469" s="258"/>
      <c r="C469" s="259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</row>
    <row r="470" spans="1:26" ht="15.75" customHeight="1">
      <c r="A470" s="257"/>
      <c r="B470" s="258"/>
      <c r="C470" s="259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</row>
    <row r="471" spans="1:26" ht="15.75" customHeight="1">
      <c r="A471" s="257"/>
      <c r="B471" s="258"/>
      <c r="C471" s="259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</row>
    <row r="472" spans="1:26" ht="15.75" customHeight="1">
      <c r="A472" s="257"/>
      <c r="B472" s="258"/>
      <c r="C472" s="259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</row>
    <row r="473" spans="1:26" ht="15.75" customHeight="1">
      <c r="A473" s="257"/>
      <c r="B473" s="258"/>
      <c r="C473" s="259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</row>
    <row r="474" spans="1:26" ht="15.75" customHeight="1">
      <c r="A474" s="257"/>
      <c r="B474" s="258"/>
      <c r="C474" s="259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</row>
    <row r="475" spans="1:26" ht="15.75" customHeight="1">
      <c r="A475" s="257"/>
      <c r="B475" s="258"/>
      <c r="C475" s="259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</row>
    <row r="476" spans="1:26" ht="15.75" customHeight="1">
      <c r="A476" s="257"/>
      <c r="B476" s="258"/>
      <c r="C476" s="259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</row>
    <row r="477" spans="1:26" ht="15.75" customHeight="1">
      <c r="A477" s="257"/>
      <c r="B477" s="258"/>
      <c r="C477" s="259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</row>
    <row r="478" spans="1:26" ht="15.75" customHeight="1">
      <c r="A478" s="257"/>
      <c r="B478" s="258"/>
      <c r="C478" s="259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</row>
    <row r="479" spans="1:26" ht="15.75" customHeight="1">
      <c r="A479" s="257"/>
      <c r="B479" s="258"/>
      <c r="C479" s="259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</row>
    <row r="480" spans="1:26" ht="15.75" customHeight="1">
      <c r="A480" s="257"/>
      <c r="B480" s="258"/>
      <c r="C480" s="259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</row>
    <row r="481" spans="1:26" ht="15.75" customHeight="1">
      <c r="A481" s="257"/>
      <c r="B481" s="258"/>
      <c r="C481" s="259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</row>
    <row r="482" spans="1:26" ht="15.75" customHeight="1">
      <c r="A482" s="257"/>
      <c r="B482" s="258"/>
      <c r="C482" s="259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</row>
    <row r="483" spans="1:26" ht="15.75" customHeight="1">
      <c r="A483" s="257"/>
      <c r="B483" s="258"/>
      <c r="C483" s="259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</row>
    <row r="484" spans="1:26" ht="15.75" customHeight="1">
      <c r="A484" s="257"/>
      <c r="B484" s="258"/>
      <c r="C484" s="259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</row>
    <row r="485" spans="1:26" ht="15.75" customHeight="1">
      <c r="A485" s="257"/>
      <c r="B485" s="258"/>
      <c r="C485" s="259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</row>
    <row r="486" spans="1:26" ht="15.75" customHeight="1">
      <c r="A486" s="257"/>
      <c r="B486" s="258"/>
      <c r="C486" s="259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</row>
    <row r="487" spans="1:26" ht="15.75" customHeight="1">
      <c r="A487" s="257"/>
      <c r="B487" s="258"/>
      <c r="C487" s="259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</row>
    <row r="488" spans="1:26" ht="15.75" customHeight="1">
      <c r="A488" s="257"/>
      <c r="B488" s="258"/>
      <c r="C488" s="259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</row>
    <row r="489" spans="1:26" ht="15.75" customHeight="1">
      <c r="A489" s="257"/>
      <c r="B489" s="258"/>
      <c r="C489" s="259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</row>
    <row r="490" spans="1:26" ht="15.75" customHeight="1">
      <c r="A490" s="257"/>
      <c r="B490" s="258"/>
      <c r="C490" s="259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</row>
    <row r="491" spans="1:26" ht="15.75" customHeight="1">
      <c r="A491" s="257"/>
      <c r="B491" s="258"/>
      <c r="C491" s="259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</row>
    <row r="492" spans="1:26" ht="15.75" customHeight="1">
      <c r="A492" s="257"/>
      <c r="B492" s="258"/>
      <c r="C492" s="259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</row>
    <row r="493" spans="1:26" ht="15.75" customHeight="1">
      <c r="A493" s="257"/>
      <c r="B493" s="258"/>
      <c r="C493" s="259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</row>
    <row r="494" spans="1:26" ht="15.75" customHeight="1">
      <c r="A494" s="257"/>
      <c r="B494" s="258"/>
      <c r="C494" s="259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</row>
    <row r="495" spans="1:26" ht="15.75" customHeight="1">
      <c r="A495" s="257"/>
      <c r="B495" s="258"/>
      <c r="C495" s="259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</row>
    <row r="496" spans="1:26" ht="15.75" customHeight="1">
      <c r="A496" s="257"/>
      <c r="B496" s="258"/>
      <c r="C496" s="259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</row>
    <row r="497" spans="1:26" ht="15.75" customHeight="1">
      <c r="A497" s="257"/>
      <c r="B497" s="258"/>
      <c r="C497" s="259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</row>
    <row r="498" spans="1:26" ht="15.75" customHeight="1">
      <c r="A498" s="257"/>
      <c r="B498" s="258"/>
      <c r="C498" s="259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</row>
    <row r="499" spans="1:26" ht="15.75" customHeight="1">
      <c r="A499" s="257"/>
      <c r="B499" s="258"/>
      <c r="C499" s="259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</row>
    <row r="500" spans="1:26" ht="15.75" customHeight="1">
      <c r="A500" s="257"/>
      <c r="B500" s="258"/>
      <c r="C500" s="259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</row>
    <row r="501" spans="1:26" ht="15.75" customHeight="1">
      <c r="A501" s="257"/>
      <c r="B501" s="258"/>
      <c r="C501" s="259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</row>
    <row r="502" spans="1:26" ht="15.75" customHeight="1">
      <c r="A502" s="257"/>
      <c r="B502" s="258"/>
      <c r="C502" s="259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</row>
    <row r="503" spans="1:26" ht="15.75" customHeight="1">
      <c r="A503" s="257"/>
      <c r="B503" s="258"/>
      <c r="C503" s="259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</row>
    <row r="504" spans="1:26" ht="15.75" customHeight="1">
      <c r="A504" s="257"/>
      <c r="B504" s="258"/>
      <c r="C504" s="259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</row>
    <row r="505" spans="1:26" ht="15.75" customHeight="1">
      <c r="A505" s="257"/>
      <c r="B505" s="258"/>
      <c r="C505" s="259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</row>
    <row r="506" spans="1:26" ht="15.75" customHeight="1">
      <c r="A506" s="257"/>
      <c r="B506" s="258"/>
      <c r="C506" s="259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</row>
    <row r="507" spans="1:26" ht="15.75" customHeight="1">
      <c r="A507" s="257"/>
      <c r="B507" s="258"/>
      <c r="C507" s="259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</row>
    <row r="508" spans="1:26" ht="15.75" customHeight="1">
      <c r="A508" s="257"/>
      <c r="B508" s="258"/>
      <c r="C508" s="259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</row>
    <row r="509" spans="1:26" ht="15.75" customHeight="1">
      <c r="A509" s="257"/>
      <c r="B509" s="258"/>
      <c r="C509" s="259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</row>
    <row r="510" spans="1:26" ht="15.75" customHeight="1">
      <c r="A510" s="257"/>
      <c r="B510" s="258"/>
      <c r="C510" s="259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</row>
    <row r="511" spans="1:26" ht="15.75" customHeight="1">
      <c r="A511" s="257"/>
      <c r="B511" s="258"/>
      <c r="C511" s="259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</row>
    <row r="512" spans="1:26" ht="15.75" customHeight="1">
      <c r="A512" s="257"/>
      <c r="B512" s="258"/>
      <c r="C512" s="259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</row>
    <row r="513" spans="1:26" ht="15.75" customHeight="1">
      <c r="A513" s="257"/>
      <c r="B513" s="258"/>
      <c r="C513" s="259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</row>
    <row r="514" spans="1:26" ht="15.75" customHeight="1">
      <c r="A514" s="257"/>
      <c r="B514" s="258"/>
      <c r="C514" s="259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</row>
    <row r="515" spans="1:26" ht="15.75" customHeight="1">
      <c r="A515" s="257"/>
      <c r="B515" s="258"/>
      <c r="C515" s="259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</row>
    <row r="516" spans="1:26" ht="15.75" customHeight="1">
      <c r="A516" s="257"/>
      <c r="B516" s="258"/>
      <c r="C516" s="259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</row>
    <row r="517" spans="1:26" ht="15.75" customHeight="1">
      <c r="A517" s="257"/>
      <c r="B517" s="258"/>
      <c r="C517" s="259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</row>
    <row r="518" spans="1:26" ht="15.75" customHeight="1">
      <c r="A518" s="257"/>
      <c r="B518" s="258"/>
      <c r="C518" s="259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</row>
    <row r="519" spans="1:26" ht="15.75" customHeight="1">
      <c r="A519" s="257"/>
      <c r="B519" s="258"/>
      <c r="C519" s="259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</row>
    <row r="520" spans="1:26" ht="15.75" customHeight="1">
      <c r="A520" s="257"/>
      <c r="B520" s="258"/>
      <c r="C520" s="259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</row>
    <row r="521" spans="1:26" ht="15.75" customHeight="1">
      <c r="A521" s="257"/>
      <c r="B521" s="258"/>
      <c r="C521" s="259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</row>
    <row r="522" spans="1:26" ht="15.75" customHeight="1">
      <c r="A522" s="257"/>
      <c r="B522" s="258"/>
      <c r="C522" s="259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</row>
    <row r="523" spans="1:26" ht="15.75" customHeight="1">
      <c r="A523" s="257"/>
      <c r="B523" s="258"/>
      <c r="C523" s="259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</row>
    <row r="524" spans="1:26" ht="15.75" customHeight="1">
      <c r="A524" s="257"/>
      <c r="B524" s="258"/>
      <c r="C524" s="259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</row>
    <row r="525" spans="1:26" ht="15.75" customHeight="1">
      <c r="A525" s="257"/>
      <c r="B525" s="258"/>
      <c r="C525" s="259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</row>
    <row r="526" spans="1:26" ht="15.75" customHeight="1">
      <c r="A526" s="257"/>
      <c r="B526" s="258"/>
      <c r="C526" s="259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</row>
    <row r="527" spans="1:26" ht="15.75" customHeight="1">
      <c r="A527" s="257"/>
      <c r="B527" s="258"/>
      <c r="C527" s="259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</row>
    <row r="528" spans="1:26" ht="15.75" customHeight="1">
      <c r="A528" s="257"/>
      <c r="B528" s="258"/>
      <c r="C528" s="259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</row>
    <row r="529" spans="1:26" ht="15.75" customHeight="1">
      <c r="A529" s="257"/>
      <c r="B529" s="258"/>
      <c r="C529" s="259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</row>
    <row r="530" spans="1:26" ht="15.75" customHeight="1">
      <c r="A530" s="257"/>
      <c r="B530" s="258"/>
      <c r="C530" s="259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</row>
    <row r="531" spans="1:26" ht="15.75" customHeight="1">
      <c r="A531" s="257"/>
      <c r="B531" s="258"/>
      <c r="C531" s="259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</row>
    <row r="532" spans="1:26" ht="15.75" customHeight="1">
      <c r="A532" s="257"/>
      <c r="B532" s="258"/>
      <c r="C532" s="259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</row>
    <row r="533" spans="1:26" ht="15.75" customHeight="1">
      <c r="A533" s="257"/>
      <c r="B533" s="258"/>
      <c r="C533" s="259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</row>
    <row r="534" spans="1:26" ht="15.75" customHeight="1">
      <c r="A534" s="257"/>
      <c r="B534" s="258"/>
      <c r="C534" s="259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</row>
    <row r="535" spans="1:26" ht="15.75" customHeight="1">
      <c r="A535" s="257"/>
      <c r="B535" s="258"/>
      <c r="C535" s="259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</row>
    <row r="536" spans="1:26" ht="15.75" customHeight="1">
      <c r="A536" s="257"/>
      <c r="B536" s="258"/>
      <c r="C536" s="259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</row>
    <row r="537" spans="1:26" ht="15.75" customHeight="1">
      <c r="A537" s="257"/>
      <c r="B537" s="258"/>
      <c r="C537" s="259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</row>
    <row r="538" spans="1:26" ht="15.75" customHeight="1">
      <c r="A538" s="257"/>
      <c r="B538" s="258"/>
      <c r="C538" s="259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</row>
    <row r="539" spans="1:26" ht="15.75" customHeight="1">
      <c r="A539" s="257"/>
      <c r="B539" s="258"/>
      <c r="C539" s="259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</row>
    <row r="540" spans="1:26" ht="15.75" customHeight="1">
      <c r="A540" s="257"/>
      <c r="B540" s="258"/>
      <c r="C540" s="259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</row>
    <row r="541" spans="1:26" ht="15.75" customHeight="1">
      <c r="A541" s="257"/>
      <c r="B541" s="258"/>
      <c r="C541" s="259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</row>
    <row r="542" spans="1:26" ht="15.75" customHeight="1">
      <c r="A542" s="257"/>
      <c r="B542" s="258"/>
      <c r="C542" s="259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</row>
    <row r="543" spans="1:26" ht="15.75" customHeight="1">
      <c r="A543" s="257"/>
      <c r="B543" s="258"/>
      <c r="C543" s="259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</row>
    <row r="544" spans="1:26" ht="15.75" customHeight="1">
      <c r="A544" s="257"/>
      <c r="B544" s="258"/>
      <c r="C544" s="259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</row>
    <row r="545" spans="1:26" ht="15.75" customHeight="1">
      <c r="A545" s="257"/>
      <c r="B545" s="258"/>
      <c r="C545" s="259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</row>
    <row r="546" spans="1:26" ht="15.75" customHeight="1">
      <c r="A546" s="257"/>
      <c r="B546" s="258"/>
      <c r="C546" s="259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</row>
    <row r="547" spans="1:26" ht="15.75" customHeight="1">
      <c r="A547" s="257"/>
      <c r="B547" s="258"/>
      <c r="C547" s="259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</row>
    <row r="548" spans="1:26" ht="15.75" customHeight="1">
      <c r="A548" s="257"/>
      <c r="B548" s="258"/>
      <c r="C548" s="259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</row>
    <row r="549" spans="1:26" ht="15.75" customHeight="1">
      <c r="A549" s="257"/>
      <c r="B549" s="258"/>
      <c r="C549" s="259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</row>
    <row r="550" spans="1:26" ht="15.75" customHeight="1">
      <c r="A550" s="257"/>
      <c r="B550" s="258"/>
      <c r="C550" s="259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</row>
    <row r="551" spans="1:26" ht="15.75" customHeight="1">
      <c r="A551" s="257"/>
      <c r="B551" s="258"/>
      <c r="C551" s="259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</row>
    <row r="552" spans="1:26" ht="15.75" customHeight="1">
      <c r="A552" s="257"/>
      <c r="B552" s="258"/>
      <c r="C552" s="259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</row>
    <row r="553" spans="1:26" ht="15.75" customHeight="1">
      <c r="A553" s="257"/>
      <c r="B553" s="258"/>
      <c r="C553" s="259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</row>
    <row r="554" spans="1:26" ht="15.75" customHeight="1">
      <c r="A554" s="257"/>
      <c r="B554" s="258"/>
      <c r="C554" s="259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</row>
    <row r="555" spans="1:26" ht="15.75" customHeight="1">
      <c r="A555" s="257"/>
      <c r="B555" s="258"/>
      <c r="C555" s="259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</row>
    <row r="556" spans="1:26" ht="15.75" customHeight="1">
      <c r="A556" s="257"/>
      <c r="B556" s="258"/>
      <c r="C556" s="259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</row>
    <row r="557" spans="1:26" ht="15.75" customHeight="1">
      <c r="A557" s="257"/>
      <c r="B557" s="258"/>
      <c r="C557" s="259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</row>
    <row r="558" spans="1:26" ht="15.75" customHeight="1">
      <c r="A558" s="257"/>
      <c r="B558" s="258"/>
      <c r="C558" s="259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</row>
    <row r="559" spans="1:26" ht="15.75" customHeight="1">
      <c r="A559" s="257"/>
      <c r="B559" s="258"/>
      <c r="C559" s="259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</row>
    <row r="560" spans="1:26" ht="15.75" customHeight="1">
      <c r="A560" s="257"/>
      <c r="B560" s="258"/>
      <c r="C560" s="259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</row>
    <row r="561" spans="1:26" ht="15.75" customHeight="1">
      <c r="A561" s="257"/>
      <c r="B561" s="258"/>
      <c r="C561" s="259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</row>
    <row r="562" spans="1:26" ht="15.75" customHeight="1">
      <c r="A562" s="257"/>
      <c r="B562" s="258"/>
      <c r="C562" s="259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</row>
    <row r="563" spans="1:26" ht="15.75" customHeight="1">
      <c r="A563" s="257"/>
      <c r="B563" s="258"/>
      <c r="C563" s="259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</row>
    <row r="564" spans="1:26" ht="15.75" customHeight="1">
      <c r="A564" s="257"/>
      <c r="B564" s="258"/>
      <c r="C564" s="259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</row>
    <row r="565" spans="1:26" ht="15.75" customHeight="1">
      <c r="A565" s="257"/>
      <c r="B565" s="258"/>
      <c r="C565" s="259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</row>
    <row r="566" spans="1:26" ht="15.75" customHeight="1">
      <c r="A566" s="257"/>
      <c r="B566" s="258"/>
      <c r="C566" s="259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</row>
    <row r="567" spans="1:26" ht="15.75" customHeight="1">
      <c r="A567" s="257"/>
      <c r="B567" s="258"/>
      <c r="C567" s="259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</row>
    <row r="568" spans="1:26" ht="15.75" customHeight="1">
      <c r="A568" s="257"/>
      <c r="B568" s="258"/>
      <c r="C568" s="259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</row>
    <row r="569" spans="1:26" ht="15.75" customHeight="1">
      <c r="A569" s="257"/>
      <c r="B569" s="258"/>
      <c r="C569" s="259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</row>
    <row r="570" spans="1:26" ht="15.75" customHeight="1">
      <c r="A570" s="257"/>
      <c r="B570" s="258"/>
      <c r="C570" s="259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</row>
    <row r="571" spans="1:26" ht="15.75" customHeight="1">
      <c r="A571" s="257"/>
      <c r="B571" s="258"/>
      <c r="C571" s="259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</row>
    <row r="572" spans="1:26" ht="15.75" customHeight="1">
      <c r="A572" s="257"/>
      <c r="B572" s="258"/>
      <c r="C572" s="259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</row>
    <row r="573" spans="1:26" ht="15.75" customHeight="1">
      <c r="A573" s="257"/>
      <c r="B573" s="258"/>
      <c r="C573" s="259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</row>
    <row r="574" spans="1:26" ht="15.75" customHeight="1">
      <c r="A574" s="257"/>
      <c r="B574" s="258"/>
      <c r="C574" s="259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</row>
    <row r="575" spans="1:26" ht="15.75" customHeight="1">
      <c r="A575" s="257"/>
      <c r="B575" s="258"/>
      <c r="C575" s="259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</row>
    <row r="576" spans="1:26" ht="15.75" customHeight="1">
      <c r="A576" s="257"/>
      <c r="B576" s="258"/>
      <c r="C576" s="259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</row>
    <row r="577" spans="1:26" ht="15.75" customHeight="1">
      <c r="A577" s="257"/>
      <c r="B577" s="258"/>
      <c r="C577" s="259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</row>
    <row r="578" spans="1:26" ht="15.75" customHeight="1">
      <c r="A578" s="257"/>
      <c r="B578" s="258"/>
      <c r="C578" s="259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</row>
    <row r="579" spans="1:26" ht="15.75" customHeight="1">
      <c r="A579" s="257"/>
      <c r="B579" s="258"/>
      <c r="C579" s="259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</row>
    <row r="580" spans="1:26" ht="15.75" customHeight="1">
      <c r="A580" s="257"/>
      <c r="B580" s="258"/>
      <c r="C580" s="259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</row>
    <row r="581" spans="1:26" ht="15.75" customHeight="1">
      <c r="A581" s="257"/>
      <c r="B581" s="258"/>
      <c r="C581" s="259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</row>
    <row r="582" spans="1:26" ht="15.75" customHeight="1">
      <c r="A582" s="257"/>
      <c r="B582" s="258"/>
      <c r="C582" s="259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</row>
    <row r="583" spans="1:26" ht="15.75" customHeight="1">
      <c r="A583" s="257"/>
      <c r="B583" s="258"/>
      <c r="C583" s="259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</row>
    <row r="584" spans="1:26" ht="15.75" customHeight="1">
      <c r="A584" s="257"/>
      <c r="B584" s="258"/>
      <c r="C584" s="259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</row>
    <row r="585" spans="1:26" ht="15.75" customHeight="1">
      <c r="A585" s="257"/>
      <c r="B585" s="258"/>
      <c r="C585" s="259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</row>
    <row r="586" spans="1:26" ht="15.75" customHeight="1">
      <c r="A586" s="257"/>
      <c r="B586" s="258"/>
      <c r="C586" s="259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</row>
    <row r="587" spans="1:26" ht="15.75" customHeight="1">
      <c r="A587" s="257"/>
      <c r="B587" s="258"/>
      <c r="C587" s="259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</row>
    <row r="588" spans="1:26" ht="15.75" customHeight="1">
      <c r="A588" s="257"/>
      <c r="B588" s="258"/>
      <c r="C588" s="259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</row>
    <row r="589" spans="1:26" ht="15.75" customHeight="1">
      <c r="A589" s="257"/>
      <c r="B589" s="258"/>
      <c r="C589" s="259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</row>
    <row r="590" spans="1:26" ht="15.75" customHeight="1">
      <c r="A590" s="257"/>
      <c r="B590" s="258"/>
      <c r="C590" s="259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</row>
    <row r="591" spans="1:26" ht="15.75" customHeight="1">
      <c r="A591" s="257"/>
      <c r="B591" s="258"/>
      <c r="C591" s="259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</row>
    <row r="592" spans="1:26" ht="15.75" customHeight="1">
      <c r="A592" s="257"/>
      <c r="B592" s="258"/>
      <c r="C592" s="259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</row>
    <row r="593" spans="1:26" ht="15.75" customHeight="1">
      <c r="A593" s="257"/>
      <c r="B593" s="258"/>
      <c r="C593" s="259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</row>
    <row r="594" spans="1:26" ht="15.75" customHeight="1">
      <c r="A594" s="257"/>
      <c r="B594" s="258"/>
      <c r="C594" s="259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</row>
    <row r="595" spans="1:26" ht="15.75" customHeight="1">
      <c r="A595" s="257"/>
      <c r="B595" s="258"/>
      <c r="C595" s="259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</row>
    <row r="596" spans="1:26" ht="15.75" customHeight="1">
      <c r="A596" s="257"/>
      <c r="B596" s="258"/>
      <c r="C596" s="259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</row>
    <row r="597" spans="1:26" ht="15.75" customHeight="1">
      <c r="A597" s="257"/>
      <c r="B597" s="258"/>
      <c r="C597" s="259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</row>
    <row r="598" spans="1:26" ht="15.75" customHeight="1">
      <c r="A598" s="257"/>
      <c r="B598" s="258"/>
      <c r="C598" s="259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</row>
    <row r="599" spans="1:26" ht="15.75" customHeight="1">
      <c r="A599" s="257"/>
      <c r="B599" s="258"/>
      <c r="C599" s="259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</row>
    <row r="600" spans="1:26" ht="15.75" customHeight="1">
      <c r="A600" s="257"/>
      <c r="B600" s="258"/>
      <c r="C600" s="259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</row>
    <row r="601" spans="1:26" ht="15.75" customHeight="1">
      <c r="A601" s="257"/>
      <c r="B601" s="258"/>
      <c r="C601" s="259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</row>
    <row r="602" spans="1:26" ht="15.75" customHeight="1">
      <c r="A602" s="257"/>
      <c r="B602" s="258"/>
      <c r="C602" s="259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</row>
    <row r="603" spans="1:26" ht="15.75" customHeight="1">
      <c r="A603" s="257"/>
      <c r="B603" s="258"/>
      <c r="C603" s="259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</row>
    <row r="604" spans="1:26" ht="15.75" customHeight="1">
      <c r="A604" s="257"/>
      <c r="B604" s="258"/>
      <c r="C604" s="259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</row>
    <row r="605" spans="1:26" ht="15.75" customHeight="1">
      <c r="A605" s="257"/>
      <c r="B605" s="258"/>
      <c r="C605" s="259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</row>
    <row r="606" spans="1:26" ht="15.75" customHeight="1">
      <c r="A606" s="257"/>
      <c r="B606" s="258"/>
      <c r="C606" s="259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</row>
    <row r="607" spans="1:26" ht="15.75" customHeight="1">
      <c r="A607" s="257"/>
      <c r="B607" s="258"/>
      <c r="C607" s="259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</row>
    <row r="608" spans="1:26" ht="15.75" customHeight="1">
      <c r="A608" s="257"/>
      <c r="B608" s="258"/>
      <c r="C608" s="259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</row>
    <row r="609" spans="1:26" ht="15.75" customHeight="1">
      <c r="A609" s="257"/>
      <c r="B609" s="258"/>
      <c r="C609" s="259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</row>
    <row r="610" spans="1:26" ht="15.75" customHeight="1">
      <c r="A610" s="257"/>
      <c r="B610" s="258"/>
      <c r="C610" s="259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</row>
    <row r="611" spans="1:26" ht="15.75" customHeight="1">
      <c r="A611" s="257"/>
      <c r="B611" s="258"/>
      <c r="C611" s="259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</row>
    <row r="612" spans="1:26" ht="15.75" customHeight="1">
      <c r="A612" s="257"/>
      <c r="B612" s="258"/>
      <c r="C612" s="259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</row>
    <row r="613" spans="1:26" ht="15.75" customHeight="1">
      <c r="A613" s="257"/>
      <c r="B613" s="258"/>
      <c r="C613" s="259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</row>
    <row r="614" spans="1:26" ht="15.75" customHeight="1">
      <c r="A614" s="257"/>
      <c r="B614" s="258"/>
      <c r="C614" s="259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</row>
    <row r="615" spans="1:26" ht="15.75" customHeight="1">
      <c r="A615" s="257"/>
      <c r="B615" s="258"/>
      <c r="C615" s="259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</row>
    <row r="616" spans="1:26" ht="15.75" customHeight="1">
      <c r="A616" s="257"/>
      <c r="B616" s="258"/>
      <c r="C616" s="259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</row>
    <row r="617" spans="1:26" ht="15.75" customHeight="1">
      <c r="A617" s="257"/>
      <c r="B617" s="258"/>
      <c r="C617" s="259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</row>
    <row r="618" spans="1:26" ht="15.75" customHeight="1">
      <c r="A618" s="257"/>
      <c r="B618" s="258"/>
      <c r="C618" s="259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</row>
    <row r="619" spans="1:26" ht="15.75" customHeight="1">
      <c r="A619" s="257"/>
      <c r="B619" s="258"/>
      <c r="C619" s="259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</row>
    <row r="620" spans="1:26" ht="15.75" customHeight="1">
      <c r="A620" s="257"/>
      <c r="B620" s="258"/>
      <c r="C620" s="259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</row>
    <row r="621" spans="1:26" ht="15.75" customHeight="1">
      <c r="A621" s="257"/>
      <c r="B621" s="258"/>
      <c r="C621" s="259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</row>
    <row r="622" spans="1:26" ht="15.75" customHeight="1">
      <c r="A622" s="257"/>
      <c r="B622" s="258"/>
      <c r="C622" s="259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</row>
    <row r="623" spans="1:26" ht="15.75" customHeight="1">
      <c r="A623" s="257"/>
      <c r="B623" s="258"/>
      <c r="C623" s="259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</row>
    <row r="624" spans="1:26" ht="15.75" customHeight="1">
      <c r="A624" s="257"/>
      <c r="B624" s="258"/>
      <c r="C624" s="259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</row>
    <row r="625" spans="1:26" ht="15.75" customHeight="1">
      <c r="A625" s="257"/>
      <c r="B625" s="258"/>
      <c r="C625" s="259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</row>
    <row r="626" spans="1:26" ht="15.75" customHeight="1">
      <c r="A626" s="257"/>
      <c r="B626" s="258"/>
      <c r="C626" s="259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</row>
    <row r="627" spans="1:26" ht="15.75" customHeight="1">
      <c r="A627" s="257"/>
      <c r="B627" s="258"/>
      <c r="C627" s="259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</row>
    <row r="628" spans="1:26" ht="15.75" customHeight="1">
      <c r="A628" s="257"/>
      <c r="B628" s="258"/>
      <c r="C628" s="259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</row>
    <row r="629" spans="1:26" ht="15.75" customHeight="1">
      <c r="A629" s="257"/>
      <c r="B629" s="258"/>
      <c r="C629" s="259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</row>
    <row r="630" spans="1:26" ht="15.75" customHeight="1">
      <c r="A630" s="257"/>
      <c r="B630" s="258"/>
      <c r="C630" s="259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</row>
    <row r="631" spans="1:26" ht="15.75" customHeight="1">
      <c r="A631" s="257"/>
      <c r="B631" s="258"/>
      <c r="C631" s="259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</row>
    <row r="632" spans="1:26" ht="15.75" customHeight="1">
      <c r="A632" s="257"/>
      <c r="B632" s="258"/>
      <c r="C632" s="259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</row>
    <row r="633" spans="1:26" ht="15.75" customHeight="1">
      <c r="A633" s="257"/>
      <c r="B633" s="258"/>
      <c r="C633" s="259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</row>
    <row r="634" spans="1:26" ht="15.75" customHeight="1">
      <c r="A634" s="257"/>
      <c r="B634" s="258"/>
      <c r="C634" s="259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</row>
    <row r="635" spans="1:26" ht="15.75" customHeight="1">
      <c r="A635" s="257"/>
      <c r="B635" s="258"/>
      <c r="C635" s="259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</row>
    <row r="636" spans="1:26" ht="15.75" customHeight="1">
      <c r="A636" s="257"/>
      <c r="B636" s="258"/>
      <c r="C636" s="259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</row>
    <row r="637" spans="1:26" ht="15.75" customHeight="1">
      <c r="A637" s="257"/>
      <c r="B637" s="258"/>
      <c r="C637" s="259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</row>
    <row r="638" spans="1:26" ht="15.75" customHeight="1">
      <c r="A638" s="257"/>
      <c r="B638" s="258"/>
      <c r="C638" s="259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</row>
    <row r="639" spans="1:26" ht="15.75" customHeight="1">
      <c r="A639" s="257"/>
      <c r="B639" s="258"/>
      <c r="C639" s="259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</row>
    <row r="640" spans="1:26" ht="15.75" customHeight="1">
      <c r="A640" s="257"/>
      <c r="B640" s="258"/>
      <c r="C640" s="259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</row>
    <row r="641" spans="1:26" ht="15.75" customHeight="1">
      <c r="A641" s="257"/>
      <c r="B641" s="258"/>
      <c r="C641" s="259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</row>
    <row r="642" spans="1:26" ht="15.75" customHeight="1">
      <c r="A642" s="257"/>
      <c r="B642" s="258"/>
      <c r="C642" s="259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</row>
    <row r="643" spans="1:26" ht="15.75" customHeight="1">
      <c r="A643" s="257"/>
      <c r="B643" s="258"/>
      <c r="C643" s="259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</row>
    <row r="644" spans="1:26" ht="15.75" customHeight="1">
      <c r="A644" s="257"/>
      <c r="B644" s="258"/>
      <c r="C644" s="259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</row>
    <row r="645" spans="1:26" ht="15.75" customHeight="1">
      <c r="A645" s="257"/>
      <c r="B645" s="258"/>
      <c r="C645" s="259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</row>
    <row r="646" spans="1:26" ht="15.75" customHeight="1">
      <c r="A646" s="257"/>
      <c r="B646" s="258"/>
      <c r="C646" s="259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</row>
    <row r="647" spans="1:26" ht="15.75" customHeight="1">
      <c r="A647" s="257"/>
      <c r="B647" s="258"/>
      <c r="C647" s="259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</row>
    <row r="648" spans="1:26" ht="15.75" customHeight="1">
      <c r="A648" s="257"/>
      <c r="B648" s="258"/>
      <c r="C648" s="259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</row>
    <row r="649" spans="1:26" ht="15.75" customHeight="1">
      <c r="A649" s="257"/>
      <c r="B649" s="258"/>
      <c r="C649" s="259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</row>
    <row r="650" spans="1:26" ht="15.75" customHeight="1">
      <c r="A650" s="257"/>
      <c r="B650" s="258"/>
      <c r="C650" s="259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</row>
    <row r="651" spans="1:26" ht="15.75" customHeight="1">
      <c r="A651" s="257"/>
      <c r="B651" s="258"/>
      <c r="C651" s="259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</row>
    <row r="652" spans="1:26" ht="15.75" customHeight="1">
      <c r="A652" s="257"/>
      <c r="B652" s="258"/>
      <c r="C652" s="259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</row>
    <row r="653" spans="1:26" ht="15.75" customHeight="1">
      <c r="A653" s="257"/>
      <c r="B653" s="258"/>
      <c r="C653" s="259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</row>
    <row r="654" spans="1:26" ht="15.75" customHeight="1">
      <c r="A654" s="257"/>
      <c r="B654" s="258"/>
      <c r="C654" s="259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</row>
    <row r="655" spans="1:26" ht="15.75" customHeight="1">
      <c r="A655" s="257"/>
      <c r="B655" s="258"/>
      <c r="C655" s="259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</row>
    <row r="656" spans="1:26" ht="15.75" customHeight="1">
      <c r="A656" s="257"/>
      <c r="B656" s="258"/>
      <c r="C656" s="259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</row>
    <row r="657" spans="1:26" ht="15.75" customHeight="1">
      <c r="A657" s="257"/>
      <c r="B657" s="258"/>
      <c r="C657" s="259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</row>
    <row r="658" spans="1:26" ht="15.75" customHeight="1">
      <c r="A658" s="257"/>
      <c r="B658" s="258"/>
      <c r="C658" s="259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</row>
    <row r="659" spans="1:26" ht="15.75" customHeight="1">
      <c r="A659" s="257"/>
      <c r="B659" s="258"/>
      <c r="C659" s="259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</row>
    <row r="660" spans="1:26" ht="15.75" customHeight="1">
      <c r="A660" s="257"/>
      <c r="B660" s="258"/>
      <c r="C660" s="259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</row>
    <row r="661" spans="1:26" ht="15.75" customHeight="1">
      <c r="A661" s="257"/>
      <c r="B661" s="258"/>
      <c r="C661" s="259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</row>
    <row r="662" spans="1:26" ht="15.75" customHeight="1">
      <c r="A662" s="257"/>
      <c r="B662" s="258"/>
      <c r="C662" s="259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</row>
    <row r="663" spans="1:26" ht="15.75" customHeight="1">
      <c r="A663" s="257"/>
      <c r="B663" s="258"/>
      <c r="C663" s="259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</row>
    <row r="664" spans="1:26" ht="15.75" customHeight="1">
      <c r="A664" s="257"/>
      <c r="B664" s="258"/>
      <c r="C664" s="259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</row>
    <row r="665" spans="1:26" ht="15.75" customHeight="1">
      <c r="A665" s="257"/>
      <c r="B665" s="258"/>
      <c r="C665" s="259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</row>
    <row r="666" spans="1:26" ht="15.75" customHeight="1">
      <c r="A666" s="257"/>
      <c r="B666" s="258"/>
      <c r="C666" s="259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</row>
    <row r="667" spans="1:26" ht="15.75" customHeight="1">
      <c r="A667" s="257"/>
      <c r="B667" s="258"/>
      <c r="C667" s="259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</row>
    <row r="668" spans="1:26" ht="15.75" customHeight="1">
      <c r="A668" s="257"/>
      <c r="B668" s="258"/>
      <c r="C668" s="259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</row>
    <row r="669" spans="1:26" ht="15.75" customHeight="1">
      <c r="A669" s="257"/>
      <c r="B669" s="258"/>
      <c r="C669" s="259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</row>
    <row r="670" spans="1:26" ht="15.75" customHeight="1">
      <c r="A670" s="257"/>
      <c r="B670" s="258"/>
      <c r="C670" s="259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</row>
    <row r="671" spans="1:26" ht="15.75" customHeight="1">
      <c r="A671" s="257"/>
      <c r="B671" s="258"/>
      <c r="C671" s="259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</row>
    <row r="672" spans="1:26" ht="15.75" customHeight="1">
      <c r="A672" s="257"/>
      <c r="B672" s="258"/>
      <c r="C672" s="259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</row>
    <row r="673" spans="1:26" ht="15.75" customHeight="1">
      <c r="A673" s="257"/>
      <c r="B673" s="258"/>
      <c r="C673" s="259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</row>
    <row r="674" spans="1:26" ht="15.75" customHeight="1">
      <c r="A674" s="257"/>
      <c r="B674" s="258"/>
      <c r="C674" s="259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</row>
    <row r="675" spans="1:26" ht="15.75" customHeight="1">
      <c r="A675" s="257"/>
      <c r="B675" s="258"/>
      <c r="C675" s="259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</row>
    <row r="676" spans="1:26" ht="15.75" customHeight="1">
      <c r="A676" s="257"/>
      <c r="B676" s="258"/>
      <c r="C676" s="259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</row>
    <row r="677" spans="1:26" ht="15.75" customHeight="1">
      <c r="A677" s="257"/>
      <c r="B677" s="258"/>
      <c r="C677" s="259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</row>
    <row r="678" spans="1:26" ht="15.75" customHeight="1">
      <c r="A678" s="257"/>
      <c r="B678" s="258"/>
      <c r="C678" s="259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</row>
    <row r="679" spans="1:26" ht="15.75" customHeight="1">
      <c r="A679" s="257"/>
      <c r="B679" s="258"/>
      <c r="C679" s="259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</row>
    <row r="680" spans="1:26" ht="15.75" customHeight="1">
      <c r="A680" s="257"/>
      <c r="B680" s="258"/>
      <c r="C680" s="259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</row>
    <row r="681" spans="1:26" ht="15.75" customHeight="1">
      <c r="A681" s="257"/>
      <c r="B681" s="258"/>
      <c r="C681" s="259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</row>
    <row r="682" spans="1:26" ht="15.75" customHeight="1">
      <c r="A682" s="257"/>
      <c r="B682" s="258"/>
      <c r="C682" s="259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</row>
    <row r="683" spans="1:26" ht="15.75" customHeight="1">
      <c r="A683" s="257"/>
      <c r="B683" s="258"/>
      <c r="C683" s="259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</row>
    <row r="684" spans="1:26" ht="15.75" customHeight="1">
      <c r="A684" s="257"/>
      <c r="B684" s="258"/>
      <c r="C684" s="259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</row>
    <row r="685" spans="1:26" ht="15.75" customHeight="1">
      <c r="A685" s="257"/>
      <c r="B685" s="258"/>
      <c r="C685" s="259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</row>
    <row r="686" spans="1:26" ht="15.75" customHeight="1">
      <c r="A686" s="257"/>
      <c r="B686" s="258"/>
      <c r="C686" s="259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</row>
    <row r="687" spans="1:26" ht="15.75" customHeight="1">
      <c r="A687" s="257"/>
      <c r="B687" s="258"/>
      <c r="C687" s="259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</row>
    <row r="688" spans="1:26" ht="15.75" customHeight="1">
      <c r="A688" s="257"/>
      <c r="B688" s="258"/>
      <c r="C688" s="259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</row>
    <row r="689" spans="1:26" ht="15.75" customHeight="1">
      <c r="A689" s="257"/>
      <c r="B689" s="258"/>
      <c r="C689" s="259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</row>
    <row r="690" spans="1:26" ht="15.75" customHeight="1">
      <c r="A690" s="257"/>
      <c r="B690" s="258"/>
      <c r="C690" s="259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</row>
    <row r="691" spans="1:26" ht="15.75" customHeight="1">
      <c r="A691" s="257"/>
      <c r="B691" s="258"/>
      <c r="C691" s="259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</row>
    <row r="692" spans="1:26" ht="15.75" customHeight="1">
      <c r="A692" s="257"/>
      <c r="B692" s="258"/>
      <c r="C692" s="259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</row>
    <row r="693" spans="1:26" ht="15.75" customHeight="1">
      <c r="A693" s="257"/>
      <c r="B693" s="258"/>
      <c r="C693" s="259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</row>
    <row r="694" spans="1:26" ht="15.75" customHeight="1">
      <c r="A694" s="257"/>
      <c r="B694" s="258"/>
      <c r="C694" s="259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</row>
    <row r="695" spans="1:26" ht="15.75" customHeight="1">
      <c r="A695" s="257"/>
      <c r="B695" s="258"/>
      <c r="C695" s="259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</row>
    <row r="696" spans="1:26" ht="15.75" customHeight="1">
      <c r="A696" s="257"/>
      <c r="B696" s="258"/>
      <c r="C696" s="259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</row>
    <row r="697" spans="1:26" ht="15.75" customHeight="1">
      <c r="A697" s="257"/>
      <c r="B697" s="258"/>
      <c r="C697" s="259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</row>
    <row r="698" spans="1:26" ht="15.75" customHeight="1">
      <c r="A698" s="257"/>
      <c r="B698" s="258"/>
      <c r="C698" s="259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</row>
    <row r="699" spans="1:26" ht="15.75" customHeight="1">
      <c r="A699" s="257"/>
      <c r="B699" s="258"/>
      <c r="C699" s="259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</row>
    <row r="700" spans="1:26" ht="15.75" customHeight="1">
      <c r="A700" s="257"/>
      <c r="B700" s="258"/>
      <c r="C700" s="259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</row>
    <row r="701" spans="1:26" ht="15.75" customHeight="1">
      <c r="A701" s="257"/>
      <c r="B701" s="258"/>
      <c r="C701" s="259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</row>
    <row r="702" spans="1:26" ht="15.75" customHeight="1">
      <c r="A702" s="257"/>
      <c r="B702" s="258"/>
      <c r="C702" s="259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</row>
    <row r="703" spans="1:26" ht="15.75" customHeight="1">
      <c r="A703" s="257"/>
      <c r="B703" s="258"/>
      <c r="C703" s="259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</row>
    <row r="704" spans="1:26" ht="15.75" customHeight="1">
      <c r="A704" s="257"/>
      <c r="B704" s="258"/>
      <c r="C704" s="259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</row>
    <row r="705" spans="1:26" ht="15.75" customHeight="1">
      <c r="A705" s="257"/>
      <c r="B705" s="258"/>
      <c r="C705" s="259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</row>
    <row r="706" spans="1:26" ht="15.75" customHeight="1">
      <c r="A706" s="257"/>
      <c r="B706" s="258"/>
      <c r="C706" s="259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</row>
    <row r="707" spans="1:26" ht="15.75" customHeight="1">
      <c r="A707" s="257"/>
      <c r="B707" s="258"/>
      <c r="C707" s="259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</row>
    <row r="708" spans="1:26" ht="15.75" customHeight="1">
      <c r="A708" s="257"/>
      <c r="B708" s="258"/>
      <c r="C708" s="259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</row>
    <row r="709" spans="1:26" ht="15.75" customHeight="1">
      <c r="A709" s="257"/>
      <c r="B709" s="258"/>
      <c r="C709" s="259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</row>
    <row r="710" spans="1:26" ht="15.75" customHeight="1">
      <c r="A710" s="257"/>
      <c r="B710" s="258"/>
      <c r="C710" s="259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</row>
    <row r="711" spans="1:26" ht="15.75" customHeight="1">
      <c r="A711" s="257"/>
      <c r="B711" s="258"/>
      <c r="C711" s="259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</row>
    <row r="712" spans="1:26" ht="15.75" customHeight="1">
      <c r="A712" s="257"/>
      <c r="B712" s="258"/>
      <c r="C712" s="259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</row>
    <row r="713" spans="1:26" ht="15.75" customHeight="1">
      <c r="A713" s="257"/>
      <c r="B713" s="258"/>
      <c r="C713" s="259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</row>
    <row r="714" spans="1:26" ht="15.75" customHeight="1">
      <c r="A714" s="257"/>
      <c r="B714" s="258"/>
      <c r="C714" s="259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</row>
    <row r="715" spans="1:26" ht="15.75" customHeight="1">
      <c r="A715" s="257"/>
      <c r="B715" s="258"/>
      <c r="C715" s="259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</row>
    <row r="716" spans="1:26" ht="15.75" customHeight="1">
      <c r="A716" s="257"/>
      <c r="B716" s="258"/>
      <c r="C716" s="259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</row>
    <row r="717" spans="1:26" ht="15.75" customHeight="1">
      <c r="A717" s="257"/>
      <c r="B717" s="258"/>
      <c r="C717" s="259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</row>
    <row r="718" spans="1:26" ht="15.75" customHeight="1">
      <c r="A718" s="257"/>
      <c r="B718" s="258"/>
      <c r="C718" s="259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</row>
    <row r="719" spans="1:26" ht="15.75" customHeight="1">
      <c r="A719" s="257"/>
      <c r="B719" s="258"/>
      <c r="C719" s="259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</row>
    <row r="720" spans="1:26" ht="15.75" customHeight="1">
      <c r="A720" s="257"/>
      <c r="B720" s="258"/>
      <c r="C720" s="259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</row>
    <row r="721" spans="1:26" ht="15.75" customHeight="1">
      <c r="A721" s="257"/>
      <c r="B721" s="258"/>
      <c r="C721" s="259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</row>
    <row r="722" spans="1:26" ht="15.75" customHeight="1">
      <c r="A722" s="257"/>
      <c r="B722" s="258"/>
      <c r="C722" s="259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</row>
    <row r="723" spans="1:26" ht="15.75" customHeight="1">
      <c r="A723" s="257"/>
      <c r="B723" s="258"/>
      <c r="C723" s="259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</row>
    <row r="724" spans="1:26" ht="15.75" customHeight="1">
      <c r="A724" s="257"/>
      <c r="B724" s="258"/>
      <c r="C724" s="259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</row>
    <row r="725" spans="1:26" ht="15.75" customHeight="1">
      <c r="A725" s="257"/>
      <c r="B725" s="258"/>
      <c r="C725" s="259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</row>
    <row r="726" spans="1:26" ht="15.75" customHeight="1">
      <c r="A726" s="257"/>
      <c r="B726" s="258"/>
      <c r="C726" s="259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</row>
    <row r="727" spans="1:26" ht="15.75" customHeight="1">
      <c r="A727" s="257"/>
      <c r="B727" s="258"/>
      <c r="C727" s="259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</row>
    <row r="728" spans="1:26" ht="15.75" customHeight="1">
      <c r="A728" s="257"/>
      <c r="B728" s="258"/>
      <c r="C728" s="259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</row>
    <row r="729" spans="1:26" ht="15.75" customHeight="1">
      <c r="A729" s="257"/>
      <c r="B729" s="258"/>
      <c r="C729" s="259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</row>
    <row r="730" spans="1:26" ht="15.75" customHeight="1">
      <c r="A730" s="257"/>
      <c r="B730" s="258"/>
      <c r="C730" s="259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</row>
    <row r="731" spans="1:26" ht="15.75" customHeight="1">
      <c r="A731" s="257"/>
      <c r="B731" s="258"/>
      <c r="C731" s="259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</row>
    <row r="732" spans="1:26" ht="15.75" customHeight="1">
      <c r="A732" s="257"/>
      <c r="B732" s="258"/>
      <c r="C732" s="259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</row>
    <row r="733" spans="1:26" ht="15.75" customHeight="1">
      <c r="A733" s="257"/>
      <c r="B733" s="258"/>
      <c r="C733" s="259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</row>
    <row r="734" spans="1:26" ht="15.75" customHeight="1">
      <c r="A734" s="257"/>
      <c r="B734" s="258"/>
      <c r="C734" s="259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</row>
    <row r="735" spans="1:26" ht="15.75" customHeight="1">
      <c r="A735" s="257"/>
      <c r="B735" s="258"/>
      <c r="C735" s="259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</row>
    <row r="736" spans="1:26" ht="15.75" customHeight="1">
      <c r="A736" s="257"/>
      <c r="B736" s="258"/>
      <c r="C736" s="259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</row>
    <row r="737" spans="1:26" ht="15.75" customHeight="1">
      <c r="A737" s="257"/>
      <c r="B737" s="258"/>
      <c r="C737" s="259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</row>
    <row r="738" spans="1:26" ht="15.75" customHeight="1">
      <c r="A738" s="257"/>
      <c r="B738" s="258"/>
      <c r="C738" s="259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</row>
    <row r="739" spans="1:26" ht="15.75" customHeight="1">
      <c r="A739" s="257"/>
      <c r="B739" s="258"/>
      <c r="C739" s="259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</row>
    <row r="740" spans="1:26" ht="15.75" customHeight="1">
      <c r="A740" s="257"/>
      <c r="B740" s="258"/>
      <c r="C740" s="259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</row>
    <row r="741" spans="1:26" ht="15.75" customHeight="1">
      <c r="A741" s="257"/>
      <c r="B741" s="258"/>
      <c r="C741" s="259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</row>
    <row r="742" spans="1:26" ht="15.75" customHeight="1">
      <c r="A742" s="257"/>
      <c r="B742" s="258"/>
      <c r="C742" s="259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</row>
    <row r="743" spans="1:26" ht="15.75" customHeight="1">
      <c r="A743" s="257"/>
      <c r="B743" s="258"/>
      <c r="C743" s="259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</row>
    <row r="744" spans="1:26" ht="15.75" customHeight="1">
      <c r="A744" s="257"/>
      <c r="B744" s="258"/>
      <c r="C744" s="259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</row>
    <row r="745" spans="1:26" ht="15.75" customHeight="1">
      <c r="A745" s="257"/>
      <c r="B745" s="258"/>
      <c r="C745" s="259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</row>
    <row r="746" spans="1:26" ht="15.75" customHeight="1">
      <c r="A746" s="257"/>
      <c r="B746" s="258"/>
      <c r="C746" s="259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</row>
    <row r="747" spans="1:26" ht="15.75" customHeight="1">
      <c r="A747" s="257"/>
      <c r="B747" s="258"/>
      <c r="C747" s="259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</row>
    <row r="748" spans="1:26" ht="15.75" customHeight="1">
      <c r="A748" s="257"/>
      <c r="B748" s="258"/>
      <c r="C748" s="259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</row>
    <row r="749" spans="1:26" ht="15.75" customHeight="1">
      <c r="A749" s="257"/>
      <c r="B749" s="258"/>
      <c r="C749" s="259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</row>
    <row r="750" spans="1:26" ht="15.75" customHeight="1">
      <c r="A750" s="257"/>
      <c r="B750" s="258"/>
      <c r="C750" s="259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</row>
    <row r="751" spans="1:26" ht="15.75" customHeight="1">
      <c r="A751" s="257"/>
      <c r="B751" s="258"/>
      <c r="C751" s="259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</row>
    <row r="752" spans="1:26" ht="15.75" customHeight="1">
      <c r="A752" s="257"/>
      <c r="B752" s="258"/>
      <c r="C752" s="259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</row>
    <row r="753" spans="1:26" ht="15.75" customHeight="1">
      <c r="A753" s="257"/>
      <c r="B753" s="258"/>
      <c r="C753" s="259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</row>
    <row r="754" spans="1:26" ht="15.75" customHeight="1">
      <c r="A754" s="257"/>
      <c r="B754" s="258"/>
      <c r="C754" s="259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</row>
    <row r="755" spans="1:26" ht="15.75" customHeight="1">
      <c r="A755" s="257"/>
      <c r="B755" s="258"/>
      <c r="C755" s="259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</row>
    <row r="756" spans="1:26" ht="15.75" customHeight="1">
      <c r="A756" s="257"/>
      <c r="B756" s="258"/>
      <c r="C756" s="259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</row>
    <row r="757" spans="1:26" ht="15.75" customHeight="1">
      <c r="A757" s="257"/>
      <c r="B757" s="258"/>
      <c r="C757" s="259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</row>
    <row r="758" spans="1:26" ht="15.75" customHeight="1">
      <c r="A758" s="257"/>
      <c r="B758" s="258"/>
      <c r="C758" s="259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</row>
    <row r="759" spans="1:26" ht="15.75" customHeight="1">
      <c r="A759" s="257"/>
      <c r="B759" s="258"/>
      <c r="C759" s="259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</row>
    <row r="760" spans="1:26" ht="15.75" customHeight="1">
      <c r="A760" s="257"/>
      <c r="B760" s="258"/>
      <c r="C760" s="259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</row>
    <row r="761" spans="1:26" ht="15.75" customHeight="1">
      <c r="A761" s="257"/>
      <c r="B761" s="258"/>
      <c r="C761" s="259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</row>
    <row r="762" spans="1:26" ht="15.75" customHeight="1">
      <c r="A762" s="257"/>
      <c r="B762" s="258"/>
      <c r="C762" s="259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</row>
    <row r="763" spans="1:26" ht="15.75" customHeight="1">
      <c r="A763" s="257"/>
      <c r="B763" s="258"/>
      <c r="C763" s="259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</row>
    <row r="764" spans="1:26" ht="15.75" customHeight="1">
      <c r="A764" s="257"/>
      <c r="B764" s="258"/>
      <c r="C764" s="259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</row>
    <row r="765" spans="1:26" ht="15.75" customHeight="1">
      <c r="A765" s="257"/>
      <c r="B765" s="258"/>
      <c r="C765" s="259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</row>
    <row r="766" spans="1:26" ht="15.75" customHeight="1">
      <c r="A766" s="257"/>
      <c r="B766" s="258"/>
      <c r="C766" s="259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</row>
    <row r="767" spans="1:26" ht="15.75" customHeight="1">
      <c r="A767" s="257"/>
      <c r="B767" s="258"/>
      <c r="C767" s="259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</row>
    <row r="768" spans="1:26" ht="15.75" customHeight="1">
      <c r="A768" s="257"/>
      <c r="B768" s="258"/>
      <c r="C768" s="259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</row>
    <row r="769" spans="1:26" ht="15.75" customHeight="1">
      <c r="A769" s="257"/>
      <c r="B769" s="258"/>
      <c r="C769" s="259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</row>
    <row r="770" spans="1:26" ht="15.75" customHeight="1">
      <c r="A770" s="257"/>
      <c r="B770" s="258"/>
      <c r="C770" s="259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</row>
    <row r="771" spans="1:26" ht="15.75" customHeight="1">
      <c r="A771" s="257"/>
      <c r="B771" s="258"/>
      <c r="C771" s="259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</row>
    <row r="772" spans="1:26" ht="15.75" customHeight="1">
      <c r="A772" s="257"/>
      <c r="B772" s="258"/>
      <c r="C772" s="259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</row>
    <row r="773" spans="1:26" ht="15.75" customHeight="1">
      <c r="A773" s="257"/>
      <c r="B773" s="258"/>
      <c r="C773" s="259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</row>
    <row r="774" spans="1:26" ht="15.75" customHeight="1">
      <c r="A774" s="257"/>
      <c r="B774" s="258"/>
      <c r="C774" s="259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</row>
    <row r="775" spans="1:26" ht="15.75" customHeight="1">
      <c r="A775" s="257"/>
      <c r="B775" s="258"/>
      <c r="C775" s="259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</row>
    <row r="776" spans="1:26" ht="15.75" customHeight="1">
      <c r="A776" s="257"/>
      <c r="B776" s="258"/>
      <c r="C776" s="259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</row>
    <row r="777" spans="1:26" ht="15.75" customHeight="1">
      <c r="A777" s="257"/>
      <c r="B777" s="258"/>
      <c r="C777" s="259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</row>
    <row r="778" spans="1:26" ht="15.75" customHeight="1">
      <c r="A778" s="257"/>
      <c r="B778" s="258"/>
      <c r="C778" s="259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</row>
    <row r="779" spans="1:26" ht="15.75" customHeight="1">
      <c r="A779" s="257"/>
      <c r="B779" s="258"/>
      <c r="C779" s="259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</row>
    <row r="780" spans="1:26" ht="15.75" customHeight="1">
      <c r="A780" s="257"/>
      <c r="B780" s="258"/>
      <c r="C780" s="259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</row>
    <row r="781" spans="1:26" ht="15.75" customHeight="1">
      <c r="A781" s="257"/>
      <c r="B781" s="258"/>
      <c r="C781" s="259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</row>
    <row r="782" spans="1:26" ht="15.75" customHeight="1">
      <c r="A782" s="257"/>
      <c r="B782" s="258"/>
      <c r="C782" s="259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</row>
    <row r="783" spans="1:26" ht="15.75" customHeight="1">
      <c r="A783" s="257"/>
      <c r="B783" s="258"/>
      <c r="C783" s="259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</row>
    <row r="784" spans="1:26" ht="15.75" customHeight="1">
      <c r="A784" s="257"/>
      <c r="B784" s="258"/>
      <c r="C784" s="259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</row>
    <row r="785" spans="1:26" ht="15.75" customHeight="1">
      <c r="A785" s="257"/>
      <c r="B785" s="258"/>
      <c r="C785" s="259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</row>
    <row r="786" spans="1:26" ht="15.75" customHeight="1">
      <c r="A786" s="257"/>
      <c r="B786" s="258"/>
      <c r="C786" s="259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</row>
    <row r="787" spans="1:26" ht="15.75" customHeight="1">
      <c r="A787" s="257"/>
      <c r="B787" s="258"/>
      <c r="C787" s="259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</row>
    <row r="788" spans="1:26" ht="15.75" customHeight="1">
      <c r="A788" s="257"/>
      <c r="B788" s="258"/>
      <c r="C788" s="259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</row>
    <row r="789" spans="1:26" ht="15.75" customHeight="1">
      <c r="A789" s="257"/>
      <c r="B789" s="258"/>
      <c r="C789" s="259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</row>
    <row r="790" spans="1:26" ht="15.75" customHeight="1">
      <c r="A790" s="257"/>
      <c r="B790" s="258"/>
      <c r="C790" s="259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</row>
    <row r="791" spans="1:26" ht="15.75" customHeight="1">
      <c r="A791" s="257"/>
      <c r="B791" s="258"/>
      <c r="C791" s="259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</row>
    <row r="792" spans="1:26" ht="15.75" customHeight="1">
      <c r="A792" s="257"/>
      <c r="B792" s="258"/>
      <c r="C792" s="259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</row>
    <row r="793" spans="1:26" ht="15.75" customHeight="1">
      <c r="A793" s="257"/>
      <c r="B793" s="258"/>
      <c r="C793" s="259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</row>
    <row r="794" spans="1:26" ht="15.75" customHeight="1">
      <c r="A794" s="257"/>
      <c r="B794" s="258"/>
      <c r="C794" s="259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</row>
    <row r="795" spans="1:26" ht="15.75" customHeight="1">
      <c r="A795" s="257"/>
      <c r="B795" s="258"/>
      <c r="C795" s="259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</row>
    <row r="796" spans="1:26" ht="15.75" customHeight="1">
      <c r="A796" s="257"/>
      <c r="B796" s="258"/>
      <c r="C796" s="259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</row>
    <row r="797" spans="1:26" ht="15.75" customHeight="1">
      <c r="A797" s="257"/>
      <c r="B797" s="258"/>
      <c r="C797" s="259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</row>
    <row r="798" spans="1:26" ht="15.75" customHeight="1">
      <c r="A798" s="257"/>
      <c r="B798" s="258"/>
      <c r="C798" s="259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</row>
    <row r="799" spans="1:26" ht="15.75" customHeight="1">
      <c r="A799" s="257"/>
      <c r="B799" s="258"/>
      <c r="C799" s="259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</row>
    <row r="800" spans="1:26" ht="15.75" customHeight="1">
      <c r="A800" s="257"/>
      <c r="B800" s="258"/>
      <c r="C800" s="259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</row>
    <row r="801" spans="1:26" ht="15.75" customHeight="1">
      <c r="A801" s="257"/>
      <c r="B801" s="258"/>
      <c r="C801" s="259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</row>
    <row r="802" spans="1:26" ht="15.75" customHeight="1">
      <c r="A802" s="257"/>
      <c r="B802" s="258"/>
      <c r="C802" s="259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</row>
    <row r="803" spans="1:26" ht="15.75" customHeight="1">
      <c r="A803" s="257"/>
      <c r="B803" s="258"/>
      <c r="C803" s="259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</row>
    <row r="804" spans="1:26" ht="15.75" customHeight="1">
      <c r="A804" s="257"/>
      <c r="B804" s="258"/>
      <c r="C804" s="259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</row>
    <row r="805" spans="1:26" ht="15.75" customHeight="1">
      <c r="A805" s="257"/>
      <c r="B805" s="258"/>
      <c r="C805" s="259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</row>
    <row r="806" spans="1:26" ht="15.75" customHeight="1">
      <c r="A806" s="257"/>
      <c r="B806" s="258"/>
      <c r="C806" s="259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</row>
    <row r="807" spans="1:26" ht="15.75" customHeight="1">
      <c r="A807" s="257"/>
      <c r="B807" s="258"/>
      <c r="C807" s="259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</row>
    <row r="808" spans="1:26" ht="15.75" customHeight="1">
      <c r="A808" s="257"/>
      <c r="B808" s="258"/>
      <c r="C808" s="259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</row>
    <row r="809" spans="1:26" ht="15.75" customHeight="1">
      <c r="A809" s="257"/>
      <c r="B809" s="258"/>
      <c r="C809" s="259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</row>
    <row r="810" spans="1:26" ht="15.75" customHeight="1">
      <c r="A810" s="257"/>
      <c r="B810" s="258"/>
      <c r="C810" s="259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</row>
    <row r="811" spans="1:26" ht="15.75" customHeight="1">
      <c r="A811" s="257"/>
      <c r="B811" s="258"/>
      <c r="C811" s="259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</row>
    <row r="812" spans="1:26" ht="15.75" customHeight="1">
      <c r="A812" s="257"/>
      <c r="B812" s="258"/>
      <c r="C812" s="259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</row>
    <row r="813" spans="1:26" ht="15.75" customHeight="1">
      <c r="A813" s="257"/>
      <c r="B813" s="258"/>
      <c r="C813" s="259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</row>
    <row r="814" spans="1:26" ht="15.75" customHeight="1">
      <c r="A814" s="257"/>
      <c r="B814" s="258"/>
      <c r="C814" s="259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</row>
    <row r="815" spans="1:26" ht="15.75" customHeight="1">
      <c r="A815" s="257"/>
      <c r="B815" s="258"/>
      <c r="C815" s="259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</row>
    <row r="816" spans="1:26" ht="15.75" customHeight="1">
      <c r="A816" s="257"/>
      <c r="B816" s="258"/>
      <c r="C816" s="259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</row>
    <row r="817" spans="1:26" ht="15.75" customHeight="1">
      <c r="A817" s="257"/>
      <c r="B817" s="258"/>
      <c r="C817" s="259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</row>
    <row r="818" spans="1:26" ht="15.75" customHeight="1">
      <c r="A818" s="257"/>
      <c r="B818" s="258"/>
      <c r="C818" s="259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</row>
    <row r="819" spans="1:26" ht="15.75" customHeight="1">
      <c r="A819" s="257"/>
      <c r="B819" s="258"/>
      <c r="C819" s="259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</row>
    <row r="820" spans="1:26" ht="15.75" customHeight="1">
      <c r="A820" s="257"/>
      <c r="B820" s="258"/>
      <c r="C820" s="259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</row>
    <row r="821" spans="1:26" ht="15.75" customHeight="1">
      <c r="A821" s="257"/>
      <c r="B821" s="258"/>
      <c r="C821" s="259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</row>
    <row r="822" spans="1:26" ht="15.75" customHeight="1">
      <c r="A822" s="257"/>
      <c r="B822" s="258"/>
      <c r="C822" s="259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</row>
    <row r="823" spans="1:26" ht="15.75" customHeight="1">
      <c r="A823" s="257"/>
      <c r="B823" s="258"/>
      <c r="C823" s="259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</row>
    <row r="824" spans="1:26" ht="15.75" customHeight="1">
      <c r="A824" s="257"/>
      <c r="B824" s="258"/>
      <c r="C824" s="259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</row>
    <row r="825" spans="1:26" ht="15.75" customHeight="1">
      <c r="A825" s="257"/>
      <c r="B825" s="258"/>
      <c r="C825" s="259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</row>
    <row r="826" spans="1:26" ht="15.75" customHeight="1">
      <c r="A826" s="257"/>
      <c r="B826" s="258"/>
      <c r="C826" s="259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</row>
    <row r="827" spans="1:26" ht="15.75" customHeight="1">
      <c r="A827" s="257"/>
      <c r="B827" s="258"/>
      <c r="C827" s="259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</row>
    <row r="828" spans="1:26" ht="15.75" customHeight="1">
      <c r="A828" s="257"/>
      <c r="B828" s="258"/>
      <c r="C828" s="259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</row>
    <row r="829" spans="1:26" ht="15.75" customHeight="1">
      <c r="A829" s="257"/>
      <c r="B829" s="258"/>
      <c r="C829" s="259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</row>
    <row r="830" spans="1:26" ht="15.75" customHeight="1">
      <c r="A830" s="257"/>
      <c r="B830" s="258"/>
      <c r="C830" s="259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</row>
    <row r="831" spans="1:26" ht="15.75" customHeight="1">
      <c r="A831" s="257"/>
      <c r="B831" s="258"/>
      <c r="C831" s="259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</row>
    <row r="832" spans="1:26" ht="15.75" customHeight="1">
      <c r="A832" s="257"/>
      <c r="B832" s="258"/>
      <c r="C832" s="259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</row>
    <row r="833" spans="1:26" ht="15.75" customHeight="1">
      <c r="A833" s="257"/>
      <c r="B833" s="258"/>
      <c r="C833" s="259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</row>
    <row r="834" spans="1:26" ht="15.75" customHeight="1">
      <c r="A834" s="257"/>
      <c r="B834" s="258"/>
      <c r="C834" s="259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</row>
    <row r="835" spans="1:26" ht="15.75" customHeight="1">
      <c r="A835" s="257"/>
      <c r="B835" s="258"/>
      <c r="C835" s="259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</row>
    <row r="836" spans="1:26" ht="15.75" customHeight="1">
      <c r="A836" s="257"/>
      <c r="B836" s="258"/>
      <c r="C836" s="259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</row>
    <row r="837" spans="1:26" ht="15.75" customHeight="1">
      <c r="A837" s="257"/>
      <c r="B837" s="258"/>
      <c r="C837" s="259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</row>
    <row r="838" spans="1:26" ht="15.75" customHeight="1">
      <c r="A838" s="257"/>
      <c r="B838" s="258"/>
      <c r="C838" s="259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</row>
    <row r="839" spans="1:26" ht="15.75" customHeight="1">
      <c r="A839" s="257"/>
      <c r="B839" s="258"/>
      <c r="C839" s="259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</row>
    <row r="840" spans="1:26" ht="15.75" customHeight="1">
      <c r="A840" s="257"/>
      <c r="B840" s="258"/>
      <c r="C840" s="259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</row>
    <row r="841" spans="1:26" ht="15.75" customHeight="1">
      <c r="A841" s="257"/>
      <c r="B841" s="258"/>
      <c r="C841" s="259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</row>
    <row r="842" spans="1:26" ht="15.75" customHeight="1">
      <c r="A842" s="257"/>
      <c r="B842" s="258"/>
      <c r="C842" s="259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</row>
    <row r="843" spans="1:26" ht="15.75" customHeight="1">
      <c r="A843" s="257"/>
      <c r="B843" s="258"/>
      <c r="C843" s="259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</row>
    <row r="844" spans="1:26" ht="15.75" customHeight="1">
      <c r="A844" s="257"/>
      <c r="B844" s="258"/>
      <c r="C844" s="259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</row>
    <row r="845" spans="1:26" ht="15.75" customHeight="1">
      <c r="A845" s="257"/>
      <c r="B845" s="258"/>
      <c r="C845" s="259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</row>
    <row r="846" spans="1:26" ht="15.75" customHeight="1">
      <c r="A846" s="257"/>
      <c r="B846" s="258"/>
      <c r="C846" s="259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</row>
    <row r="847" spans="1:26" ht="15.75" customHeight="1">
      <c r="A847" s="257"/>
      <c r="B847" s="258"/>
      <c r="C847" s="259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</row>
    <row r="848" spans="1:26" ht="15.75" customHeight="1">
      <c r="A848" s="257"/>
      <c r="B848" s="258"/>
      <c r="C848" s="259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</row>
    <row r="849" spans="1:26" ht="15.75" customHeight="1">
      <c r="A849" s="257"/>
      <c r="B849" s="258"/>
      <c r="C849" s="259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</row>
    <row r="850" spans="1:26" ht="15.75" customHeight="1">
      <c r="A850" s="257"/>
      <c r="B850" s="258"/>
      <c r="C850" s="259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</row>
    <row r="851" spans="1:26" ht="15.75" customHeight="1">
      <c r="A851" s="257"/>
      <c r="B851" s="258"/>
      <c r="C851" s="259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</row>
    <row r="852" spans="1:26" ht="15.75" customHeight="1">
      <c r="A852" s="257"/>
      <c r="B852" s="258"/>
      <c r="C852" s="259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</row>
    <row r="853" spans="1:26" ht="15.75" customHeight="1">
      <c r="A853" s="257"/>
      <c r="B853" s="258"/>
      <c r="C853" s="259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</row>
    <row r="854" spans="1:26" ht="15.75" customHeight="1">
      <c r="A854" s="257"/>
      <c r="B854" s="258"/>
      <c r="C854" s="259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</row>
    <row r="855" spans="1:26" ht="15.75" customHeight="1">
      <c r="A855" s="257"/>
      <c r="B855" s="258"/>
      <c r="C855" s="259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</row>
    <row r="856" spans="1:26" ht="15.75" customHeight="1">
      <c r="A856" s="257"/>
      <c r="B856" s="258"/>
      <c r="C856" s="259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</row>
    <row r="857" spans="1:26" ht="15.75" customHeight="1">
      <c r="A857" s="257"/>
      <c r="B857" s="258"/>
      <c r="C857" s="259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</row>
    <row r="858" spans="1:26" ht="15.75" customHeight="1">
      <c r="A858" s="257"/>
      <c r="B858" s="258"/>
      <c r="C858" s="259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</row>
    <row r="859" spans="1:26" ht="15.75" customHeight="1">
      <c r="A859" s="257"/>
      <c r="B859" s="258"/>
      <c r="C859" s="259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</row>
    <row r="860" spans="1:26" ht="15.75" customHeight="1">
      <c r="A860" s="257"/>
      <c r="B860" s="258"/>
      <c r="C860" s="259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</row>
    <row r="861" spans="1:26" ht="15.75" customHeight="1">
      <c r="A861" s="257"/>
      <c r="B861" s="258"/>
      <c r="C861" s="259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</row>
    <row r="862" spans="1:26" ht="15.75" customHeight="1">
      <c r="A862" s="257"/>
      <c r="B862" s="258"/>
      <c r="C862" s="259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</row>
    <row r="863" spans="1:26" ht="15.75" customHeight="1">
      <c r="A863" s="257"/>
      <c r="B863" s="258"/>
      <c r="C863" s="259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</row>
    <row r="864" spans="1:26" ht="15.75" customHeight="1">
      <c r="A864" s="257"/>
      <c r="B864" s="258"/>
      <c r="C864" s="259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</row>
    <row r="865" spans="1:26" ht="15.75" customHeight="1">
      <c r="A865" s="257"/>
      <c r="B865" s="258"/>
      <c r="C865" s="259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</row>
    <row r="866" spans="1:26" ht="15.75" customHeight="1">
      <c r="A866" s="257"/>
      <c r="B866" s="258"/>
      <c r="C866" s="259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</row>
    <row r="867" spans="1:26" ht="15.75" customHeight="1">
      <c r="A867" s="257"/>
      <c r="B867" s="258"/>
      <c r="C867" s="259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</row>
    <row r="868" spans="1:26" ht="15.75" customHeight="1">
      <c r="A868" s="257"/>
      <c r="B868" s="258"/>
      <c r="C868" s="259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</row>
    <row r="869" spans="1:26" ht="15.75" customHeight="1">
      <c r="A869" s="257"/>
      <c r="B869" s="258"/>
      <c r="C869" s="259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</row>
    <row r="870" spans="1:26" ht="15.75" customHeight="1">
      <c r="A870" s="257"/>
      <c r="B870" s="258"/>
      <c r="C870" s="259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</row>
    <row r="871" spans="1:26" ht="15.75" customHeight="1">
      <c r="A871" s="257"/>
      <c r="B871" s="258"/>
      <c r="C871" s="259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</row>
    <row r="872" spans="1:26" ht="15.75" customHeight="1">
      <c r="A872" s="257"/>
      <c r="B872" s="258"/>
      <c r="C872" s="259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</row>
    <row r="873" spans="1:26" ht="15.75" customHeight="1">
      <c r="A873" s="257"/>
      <c r="B873" s="258"/>
      <c r="C873" s="259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</row>
    <row r="874" spans="1:26" ht="15.75" customHeight="1">
      <c r="A874" s="257"/>
      <c r="B874" s="258"/>
      <c r="C874" s="259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</row>
    <row r="875" spans="1:26" ht="15.75" customHeight="1">
      <c r="A875" s="257"/>
      <c r="B875" s="258"/>
      <c r="C875" s="259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</row>
    <row r="876" spans="1:26" ht="15.75" customHeight="1">
      <c r="A876" s="257"/>
      <c r="B876" s="258"/>
      <c r="C876" s="259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</row>
    <row r="877" spans="1:26" ht="15.75" customHeight="1">
      <c r="A877" s="257"/>
      <c r="B877" s="258"/>
      <c r="C877" s="259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</row>
    <row r="878" spans="1:26" ht="15.75" customHeight="1">
      <c r="A878" s="257"/>
      <c r="B878" s="258"/>
      <c r="C878" s="259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</row>
    <row r="879" spans="1:26" ht="15.75" customHeight="1">
      <c r="A879" s="257"/>
      <c r="B879" s="258"/>
      <c r="C879" s="259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</row>
    <row r="880" spans="1:26" ht="15.75" customHeight="1">
      <c r="A880" s="257"/>
      <c r="B880" s="258"/>
      <c r="C880" s="259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</row>
    <row r="881" spans="1:26" ht="15.75" customHeight="1">
      <c r="A881" s="257"/>
      <c r="B881" s="258"/>
      <c r="C881" s="259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</row>
    <row r="882" spans="1:26" ht="15.75" customHeight="1">
      <c r="A882" s="257"/>
      <c r="B882" s="258"/>
      <c r="C882" s="259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</row>
    <row r="883" spans="1:26" ht="15.75" customHeight="1">
      <c r="A883" s="257"/>
      <c r="B883" s="258"/>
      <c r="C883" s="259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</row>
    <row r="884" spans="1:26" ht="15.75" customHeight="1">
      <c r="A884" s="257"/>
      <c r="B884" s="258"/>
      <c r="C884" s="259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</row>
    <row r="885" spans="1:26" ht="15.75" customHeight="1">
      <c r="A885" s="257"/>
      <c r="B885" s="258"/>
      <c r="C885" s="259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</row>
    <row r="886" spans="1:26" ht="15.75" customHeight="1">
      <c r="A886" s="257"/>
      <c r="B886" s="258"/>
      <c r="C886" s="259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</row>
    <row r="887" spans="1:26" ht="15.75" customHeight="1">
      <c r="A887" s="257"/>
      <c r="B887" s="258"/>
      <c r="C887" s="259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</row>
    <row r="888" spans="1:26" ht="15.75" customHeight="1">
      <c r="A888" s="257"/>
      <c r="B888" s="258"/>
      <c r="C888" s="259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</row>
    <row r="889" spans="1:26" ht="15.75" customHeight="1">
      <c r="A889" s="257"/>
      <c r="B889" s="258"/>
      <c r="C889" s="259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</row>
    <row r="890" spans="1:26" ht="15.75" customHeight="1">
      <c r="A890" s="257"/>
      <c r="B890" s="258"/>
      <c r="C890" s="259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</row>
    <row r="891" spans="1:26" ht="15.75" customHeight="1">
      <c r="A891" s="257"/>
      <c r="B891" s="258"/>
      <c r="C891" s="259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</row>
    <row r="892" spans="1:26" ht="15.75" customHeight="1">
      <c r="A892" s="257"/>
      <c r="B892" s="258"/>
      <c r="C892" s="259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</row>
    <row r="893" spans="1:26" ht="15.75" customHeight="1">
      <c r="A893" s="257"/>
      <c r="B893" s="258"/>
      <c r="C893" s="259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</row>
    <row r="894" spans="1:26" ht="15.75" customHeight="1">
      <c r="A894" s="257"/>
      <c r="B894" s="258"/>
      <c r="C894" s="259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</row>
    <row r="895" spans="1:26" ht="15.75" customHeight="1">
      <c r="A895" s="257"/>
      <c r="B895" s="258"/>
      <c r="C895" s="259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</row>
    <row r="896" spans="1:26" ht="15.75" customHeight="1">
      <c r="A896" s="257"/>
      <c r="B896" s="258"/>
      <c r="C896" s="259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</row>
    <row r="897" spans="1:26" ht="15.75" customHeight="1">
      <c r="A897" s="257"/>
      <c r="B897" s="258"/>
      <c r="C897" s="259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</row>
    <row r="898" spans="1:26" ht="15.75" customHeight="1">
      <c r="A898" s="257"/>
      <c r="B898" s="258"/>
      <c r="C898" s="259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</row>
    <row r="899" spans="1:26" ht="15.75" customHeight="1">
      <c r="A899" s="257"/>
      <c r="B899" s="258"/>
      <c r="C899" s="259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</row>
    <row r="900" spans="1:26" ht="15.75" customHeight="1">
      <c r="A900" s="257"/>
      <c r="B900" s="258"/>
      <c r="C900" s="259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</row>
    <row r="901" spans="1:26" ht="15.75" customHeight="1">
      <c r="A901" s="257"/>
      <c r="B901" s="258"/>
      <c r="C901" s="259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</row>
    <row r="902" spans="1:26" ht="15.75" customHeight="1">
      <c r="A902" s="257"/>
      <c r="B902" s="258"/>
      <c r="C902" s="259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</row>
    <row r="903" spans="1:26" ht="15.75" customHeight="1">
      <c r="A903" s="257"/>
      <c r="B903" s="258"/>
      <c r="C903" s="259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</row>
    <row r="904" spans="1:26" ht="15.75" customHeight="1">
      <c r="A904" s="257"/>
      <c r="B904" s="258"/>
      <c r="C904" s="259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</row>
    <row r="905" spans="1:26" ht="15.75" customHeight="1">
      <c r="A905" s="257"/>
      <c r="B905" s="258"/>
      <c r="C905" s="259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</row>
    <row r="906" spans="1:26" ht="15.75" customHeight="1">
      <c r="A906" s="257"/>
      <c r="B906" s="258"/>
      <c r="C906" s="259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</row>
    <row r="907" spans="1:26" ht="15.75" customHeight="1">
      <c r="A907" s="257"/>
      <c r="B907" s="258"/>
      <c r="C907" s="259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</row>
    <row r="908" spans="1:26" ht="15.75" customHeight="1">
      <c r="A908" s="257"/>
      <c r="B908" s="258"/>
      <c r="C908" s="259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</row>
    <row r="909" spans="1:26" ht="15.75" customHeight="1">
      <c r="A909" s="257"/>
      <c r="B909" s="258"/>
      <c r="C909" s="259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</row>
    <row r="910" spans="1:26" ht="15.75" customHeight="1">
      <c r="A910" s="257"/>
      <c r="B910" s="258"/>
      <c r="C910" s="259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</row>
    <row r="911" spans="1:26" ht="15.75" customHeight="1">
      <c r="A911" s="257"/>
      <c r="B911" s="258"/>
      <c r="C911" s="259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</row>
    <row r="912" spans="1:26" ht="15.75" customHeight="1">
      <c r="A912" s="257"/>
      <c r="B912" s="258"/>
      <c r="C912" s="259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</row>
    <row r="913" spans="1:26" ht="15.75" customHeight="1">
      <c r="A913" s="257"/>
      <c r="B913" s="258"/>
      <c r="C913" s="259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</row>
    <row r="914" spans="1:26" ht="15.75" customHeight="1">
      <c r="A914" s="257"/>
      <c r="B914" s="258"/>
      <c r="C914" s="259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</row>
    <row r="915" spans="1:26" ht="15.75" customHeight="1">
      <c r="A915" s="257"/>
      <c r="B915" s="258"/>
      <c r="C915" s="259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</row>
    <row r="916" spans="1:26" ht="15.75" customHeight="1">
      <c r="A916" s="257"/>
      <c r="B916" s="258"/>
      <c r="C916" s="259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</row>
    <row r="917" spans="1:26" ht="15.75" customHeight="1">
      <c r="A917" s="257"/>
      <c r="B917" s="258"/>
      <c r="C917" s="259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</row>
    <row r="918" spans="1:26" ht="15.75" customHeight="1">
      <c r="A918" s="257"/>
      <c r="B918" s="258"/>
      <c r="C918" s="259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</row>
    <row r="919" spans="1:26" ht="15.75" customHeight="1">
      <c r="A919" s="257"/>
      <c r="B919" s="258"/>
      <c r="C919" s="259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</row>
    <row r="920" spans="1:26" ht="15.75" customHeight="1">
      <c r="A920" s="257"/>
      <c r="B920" s="258"/>
      <c r="C920" s="259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</row>
    <row r="921" spans="1:26" ht="15.75" customHeight="1">
      <c r="A921" s="257"/>
      <c r="B921" s="258"/>
      <c r="C921" s="259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</row>
    <row r="922" spans="1:26" ht="15.75" customHeight="1">
      <c r="A922" s="257"/>
      <c r="B922" s="258"/>
      <c r="C922" s="259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</row>
    <row r="923" spans="1:26" ht="15.75" customHeight="1">
      <c r="A923" s="257"/>
      <c r="B923" s="258"/>
      <c r="C923" s="259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</row>
    <row r="924" spans="1:26" ht="15.75" customHeight="1">
      <c r="A924" s="257"/>
      <c r="B924" s="258"/>
      <c r="C924" s="259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</row>
    <row r="925" spans="1:26" ht="15.75" customHeight="1">
      <c r="A925" s="257"/>
      <c r="B925" s="258"/>
      <c r="C925" s="259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</row>
    <row r="926" spans="1:26" ht="15.75" customHeight="1">
      <c r="A926" s="257"/>
      <c r="B926" s="258"/>
      <c r="C926" s="259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</row>
    <row r="927" spans="1:26" ht="15.75" customHeight="1">
      <c r="A927" s="257"/>
      <c r="B927" s="258"/>
      <c r="C927" s="259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</row>
    <row r="928" spans="1:26" ht="15.75" customHeight="1">
      <c r="A928" s="257"/>
      <c r="B928" s="258"/>
      <c r="C928" s="259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</row>
    <row r="929" spans="1:26" ht="15.75" customHeight="1">
      <c r="A929" s="257"/>
      <c r="B929" s="258"/>
      <c r="C929" s="259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</row>
    <row r="930" spans="1:26" ht="15.75" customHeight="1">
      <c r="A930" s="257"/>
      <c r="B930" s="258"/>
      <c r="C930" s="259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</row>
    <row r="931" spans="1:26" ht="15.75" customHeight="1">
      <c r="A931" s="257"/>
      <c r="B931" s="258"/>
      <c r="C931" s="259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</row>
    <row r="932" spans="1:26" ht="15.75" customHeight="1">
      <c r="A932" s="257"/>
      <c r="B932" s="258"/>
      <c r="C932" s="259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</row>
    <row r="933" spans="1:26" ht="15.75" customHeight="1">
      <c r="A933" s="257"/>
      <c r="B933" s="258"/>
      <c r="C933" s="259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</row>
    <row r="934" spans="1:26" ht="15.75" customHeight="1">
      <c r="A934" s="257"/>
      <c r="B934" s="258"/>
      <c r="C934" s="259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</row>
    <row r="935" spans="1:26" ht="15.75" customHeight="1">
      <c r="A935" s="257"/>
      <c r="B935" s="258"/>
      <c r="C935" s="259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</row>
    <row r="936" spans="1:26" ht="15.75" customHeight="1">
      <c r="A936" s="257"/>
      <c r="B936" s="258"/>
      <c r="C936" s="259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</row>
    <row r="937" spans="1:26" ht="15.75" customHeight="1">
      <c r="A937" s="257"/>
      <c r="B937" s="258"/>
      <c r="C937" s="259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</row>
    <row r="938" spans="1:26" ht="15.75" customHeight="1">
      <c r="A938" s="257"/>
      <c r="B938" s="258"/>
      <c r="C938" s="259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</row>
    <row r="939" spans="1:26" ht="15.75" customHeight="1">
      <c r="A939" s="257"/>
      <c r="B939" s="258"/>
      <c r="C939" s="259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</row>
    <row r="940" spans="1:26" ht="15.75" customHeight="1">
      <c r="A940" s="257"/>
      <c r="B940" s="258"/>
      <c r="C940" s="259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</row>
    <row r="941" spans="1:26" ht="15.75" customHeight="1">
      <c r="A941" s="257"/>
      <c r="B941" s="258"/>
      <c r="C941" s="259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</row>
    <row r="942" spans="1:26" ht="15.75" customHeight="1">
      <c r="A942" s="257"/>
      <c r="B942" s="258"/>
      <c r="C942" s="259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</row>
    <row r="943" spans="1:26" ht="15.75" customHeight="1">
      <c r="A943" s="257"/>
      <c r="B943" s="258"/>
      <c r="C943" s="259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</row>
    <row r="944" spans="1:26" ht="15.75" customHeight="1">
      <c r="A944" s="257"/>
      <c r="B944" s="258"/>
      <c r="C944" s="259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</row>
    <row r="945" spans="1:26" ht="15.75" customHeight="1">
      <c r="A945" s="257"/>
      <c r="B945" s="258"/>
      <c r="C945" s="259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</row>
    <row r="946" spans="1:26" ht="15.75" customHeight="1">
      <c r="A946" s="257"/>
      <c r="B946" s="258"/>
      <c r="C946" s="259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</row>
    <row r="947" spans="1:26" ht="15.75" customHeight="1">
      <c r="A947" s="257"/>
      <c r="B947" s="258"/>
      <c r="C947" s="259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</row>
    <row r="948" spans="1:26" ht="15.75" customHeight="1">
      <c r="A948" s="257"/>
      <c r="B948" s="258"/>
      <c r="C948" s="259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</row>
    <row r="949" spans="1:26" ht="15.75" customHeight="1">
      <c r="A949" s="257"/>
      <c r="B949" s="258"/>
      <c r="C949" s="259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</row>
    <row r="950" spans="1:26" ht="15.75" customHeight="1">
      <c r="A950" s="257"/>
      <c r="B950" s="258"/>
      <c r="C950" s="259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</row>
    <row r="951" spans="1:26" ht="15.75" customHeight="1">
      <c r="A951" s="257"/>
      <c r="B951" s="258"/>
      <c r="C951" s="259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</row>
    <row r="952" spans="1:26" ht="15.75" customHeight="1">
      <c r="A952" s="257"/>
      <c r="B952" s="258"/>
      <c r="C952" s="259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</row>
    <row r="953" spans="1:26" ht="15.75" customHeight="1">
      <c r="A953" s="257"/>
      <c r="B953" s="258"/>
      <c r="C953" s="259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</row>
    <row r="954" spans="1:26" ht="15.75" customHeight="1">
      <c r="A954" s="257"/>
      <c r="B954" s="258"/>
      <c r="C954" s="259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</row>
    <row r="955" spans="1:26" ht="15.75" customHeight="1">
      <c r="A955" s="257"/>
      <c r="B955" s="258"/>
      <c r="C955" s="259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</row>
    <row r="956" spans="1:26" ht="15.75" customHeight="1">
      <c r="A956" s="257"/>
      <c r="B956" s="258"/>
      <c r="C956" s="259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</row>
    <row r="957" spans="1:26" ht="15.75" customHeight="1">
      <c r="A957" s="257"/>
      <c r="B957" s="258"/>
      <c r="C957" s="259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</row>
    <row r="958" spans="1:26" ht="15.75" customHeight="1">
      <c r="A958" s="257"/>
      <c r="B958" s="258"/>
      <c r="C958" s="259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</row>
    <row r="959" spans="1:26" ht="15.75" customHeight="1">
      <c r="A959" s="257"/>
      <c r="B959" s="258"/>
      <c r="C959" s="259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</row>
    <row r="960" spans="1:26" ht="15.75" customHeight="1">
      <c r="A960" s="257"/>
      <c r="B960" s="258"/>
      <c r="C960" s="259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</row>
    <row r="961" spans="1:26" ht="15.75" customHeight="1">
      <c r="A961" s="257"/>
      <c r="B961" s="258"/>
      <c r="C961" s="259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</row>
    <row r="962" spans="1:26" ht="15.75" customHeight="1">
      <c r="A962" s="257"/>
      <c r="B962" s="258"/>
      <c r="C962" s="259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</row>
    <row r="963" spans="1:26" ht="15.75" customHeight="1">
      <c r="A963" s="257"/>
      <c r="B963" s="258"/>
      <c r="C963" s="259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</row>
    <row r="964" spans="1:26" ht="15.75" customHeight="1">
      <c r="A964" s="257"/>
      <c r="B964" s="258"/>
      <c r="C964" s="259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</row>
    <row r="965" spans="1:26" ht="15.75" customHeight="1">
      <c r="A965" s="257"/>
      <c r="B965" s="258"/>
      <c r="C965" s="259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</row>
    <row r="966" spans="1:26" ht="15.75" customHeight="1">
      <c r="A966" s="257"/>
      <c r="B966" s="258"/>
      <c r="C966" s="259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</row>
    <row r="967" spans="1:26" ht="15.75" customHeight="1">
      <c r="A967" s="257"/>
      <c r="B967" s="258"/>
      <c r="C967" s="259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</row>
    <row r="968" spans="1:26" ht="15.75" customHeight="1">
      <c r="A968" s="257"/>
      <c r="B968" s="258"/>
      <c r="C968" s="259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</row>
    <row r="969" spans="1:26" ht="15.75" customHeight="1">
      <c r="A969" s="257"/>
      <c r="B969" s="258"/>
      <c r="C969" s="259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</row>
    <row r="970" spans="1:26" ht="15.75" customHeight="1">
      <c r="A970" s="257"/>
      <c r="B970" s="258"/>
      <c r="C970" s="259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</row>
    <row r="971" spans="1:26" ht="15.75" customHeight="1">
      <c r="A971" s="257"/>
      <c r="B971" s="258"/>
      <c r="C971" s="259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</row>
    <row r="972" spans="1:26" ht="15.75" customHeight="1">
      <c r="A972" s="257"/>
      <c r="B972" s="258"/>
      <c r="C972" s="259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</row>
    <row r="973" spans="1:26" ht="15.75" customHeight="1">
      <c r="A973" s="257"/>
      <c r="B973" s="258"/>
      <c r="C973" s="259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</row>
    <row r="974" spans="1:26" ht="15.75" customHeight="1">
      <c r="A974" s="257"/>
      <c r="B974" s="258"/>
      <c r="C974" s="259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</row>
    <row r="975" spans="1:26" ht="15.75" customHeight="1">
      <c r="A975" s="257"/>
      <c r="B975" s="258"/>
      <c r="C975" s="259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</row>
    <row r="976" spans="1:26" ht="15.75" customHeight="1">
      <c r="A976" s="257"/>
      <c r="B976" s="258"/>
      <c r="C976" s="259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</row>
    <row r="977" spans="1:26" ht="15.75" customHeight="1">
      <c r="A977" s="257"/>
      <c r="B977" s="258"/>
      <c r="C977" s="259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</row>
    <row r="978" spans="1:26" ht="15.75" customHeight="1">
      <c r="A978" s="257"/>
      <c r="B978" s="258"/>
      <c r="C978" s="259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</row>
    <row r="979" spans="1:26" ht="15.75" customHeight="1">
      <c r="A979" s="257"/>
      <c r="B979" s="258"/>
      <c r="C979" s="259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</row>
    <row r="980" spans="1:26" ht="15.75" customHeight="1">
      <c r="A980" s="257"/>
      <c r="B980" s="258"/>
      <c r="C980" s="259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</row>
    <row r="981" spans="1:26" ht="15.75" customHeight="1">
      <c r="A981" s="257"/>
      <c r="B981" s="258"/>
      <c r="C981" s="259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</row>
    <row r="982" spans="1:26" ht="15.75" customHeight="1">
      <c r="A982" s="257"/>
      <c r="B982" s="258"/>
      <c r="C982" s="259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</row>
    <row r="983" spans="1:26" ht="15.75" customHeight="1">
      <c r="A983" s="257"/>
      <c r="B983" s="258"/>
      <c r="C983" s="259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</row>
    <row r="984" spans="1:26" ht="15.75" customHeight="1">
      <c r="A984" s="257"/>
      <c r="B984" s="258"/>
      <c r="C984" s="259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</row>
    <row r="985" spans="1:26" ht="15.75" customHeight="1">
      <c r="A985" s="257"/>
      <c r="B985" s="258"/>
      <c r="C985" s="259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</row>
    <row r="986" spans="1:26" ht="15.75" customHeight="1">
      <c r="A986" s="257"/>
      <c r="B986" s="258"/>
      <c r="C986" s="259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</row>
    <row r="987" spans="1:26" ht="15.75" customHeight="1">
      <c r="A987" s="257"/>
      <c r="B987" s="258"/>
      <c r="C987" s="259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</row>
    <row r="988" spans="1:26" ht="15.75" customHeight="1">
      <c r="A988" s="257"/>
      <c r="B988" s="258"/>
      <c r="C988" s="259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</row>
    <row r="989" spans="1:26" ht="15.75" customHeight="1">
      <c r="A989" s="257"/>
      <c r="B989" s="258"/>
      <c r="C989" s="259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</row>
    <row r="990" spans="1:26" ht="15.75" customHeight="1">
      <c r="A990" s="257"/>
      <c r="B990" s="258"/>
      <c r="C990" s="259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</row>
    <row r="991" spans="1:26" ht="15.75" customHeight="1">
      <c r="A991" s="257"/>
      <c r="B991" s="258"/>
      <c r="C991" s="259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</row>
    <row r="992" spans="1:26" ht="15.75" customHeight="1">
      <c r="A992" s="257"/>
      <c r="B992" s="258"/>
      <c r="C992" s="259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</row>
    <row r="993" spans="1:26" ht="15.75" customHeight="1">
      <c r="A993" s="257"/>
      <c r="B993" s="258"/>
      <c r="C993" s="259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</row>
    <row r="994" spans="1:26" ht="15.75" customHeight="1">
      <c r="A994" s="257"/>
      <c r="B994" s="258"/>
      <c r="C994" s="259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</row>
    <row r="995" spans="1:26" ht="15.75" customHeight="1">
      <c r="A995" s="257"/>
      <c r="B995" s="258"/>
      <c r="C995" s="259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</row>
    <row r="996" spans="1:26" ht="15.75" customHeight="1">
      <c r="A996" s="257"/>
      <c r="B996" s="258"/>
      <c r="C996" s="259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</row>
    <row r="997" spans="1:26" ht="15.75" customHeight="1">
      <c r="A997" s="257"/>
      <c r="B997" s="258"/>
      <c r="C997" s="259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</row>
    <row r="998" spans="1:26" ht="15.75" customHeight="1">
      <c r="A998" s="257"/>
      <c r="B998" s="258"/>
      <c r="C998" s="259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</row>
    <row r="999" spans="1:26" ht="15.75" customHeight="1">
      <c r="A999" s="257"/>
      <c r="B999" s="258"/>
      <c r="C999" s="259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</row>
    <row r="1000" spans="1:26" ht="15.75" customHeight="1">
      <c r="A1000" s="257"/>
      <c r="B1000" s="258"/>
      <c r="C1000" s="259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</row>
  </sheetData>
  <mergeCells count="11">
    <mergeCell ref="B36:H36"/>
    <mergeCell ref="C38:D38"/>
    <mergeCell ref="B45:H45"/>
    <mergeCell ref="C47:D47"/>
    <mergeCell ref="B2:H2"/>
    <mergeCell ref="B7:H7"/>
    <mergeCell ref="C9:D9"/>
    <mergeCell ref="B17:H17"/>
    <mergeCell ref="C19:D19"/>
    <mergeCell ref="C26:D26"/>
    <mergeCell ref="B28:H28"/>
  </mergeCells>
  <pageMargins left="0.7" right="0.7" top="0.75" bottom="0.75" header="0" footer="0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Z1000"/>
  <sheetViews>
    <sheetView showGridLines="0" workbookViewId="0">
      <selection activeCell="G24" sqref="G24"/>
    </sheetView>
  </sheetViews>
  <sheetFormatPr baseColWidth="10" defaultColWidth="12.625" defaultRowHeight="15" customHeight="1"/>
  <cols>
    <col min="1" max="1" width="3.125" customWidth="1"/>
    <col min="2" max="2" width="30.875" customWidth="1"/>
    <col min="3" max="8" width="12.75" customWidth="1"/>
    <col min="9" max="26" width="10" customWidth="1"/>
  </cols>
  <sheetData>
    <row r="1" spans="1:26">
      <c r="A1" s="23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39"/>
      <c r="B2" s="458" t="s">
        <v>885</v>
      </c>
      <c r="C2" s="436"/>
      <c r="D2" s="436"/>
      <c r="E2" s="436"/>
      <c r="F2" s="436"/>
      <c r="G2" s="436"/>
      <c r="H2" s="43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23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239"/>
      <c r="B4" s="29" t="s">
        <v>798</v>
      </c>
      <c r="C4" s="5" t="s">
        <v>813</v>
      </c>
      <c r="D4" s="5" t="s">
        <v>454</v>
      </c>
      <c r="E4" s="5" t="s">
        <v>456</v>
      </c>
      <c r="F4" s="5" t="s">
        <v>458</v>
      </c>
      <c r="G4" s="5" t="s">
        <v>460</v>
      </c>
      <c r="H4" s="5" t="s">
        <v>462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239"/>
      <c r="B5" s="11" t="s">
        <v>886</v>
      </c>
      <c r="C5" s="79">
        <f>'Flujo_Deuda Frances 2'!D2</f>
        <v>18000</v>
      </c>
      <c r="D5" s="40"/>
      <c r="E5" s="40"/>
      <c r="F5" s="40"/>
      <c r="G5" s="40"/>
      <c r="H5" s="40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239" t="s">
        <v>710</v>
      </c>
      <c r="B6" s="11" t="s">
        <v>887</v>
      </c>
      <c r="C6" s="40"/>
      <c r="D6" s="79">
        <f>-'Flujo_Deuda Frances 2'!F3</f>
        <v>-7768.0507390194516</v>
      </c>
      <c r="E6" s="79">
        <f>-'Flujo_Deuda Frances 2'!G3</f>
        <v>-7768.0507390194516</v>
      </c>
      <c r="F6" s="79">
        <f>-'Flujo_Deuda Frances 2'!H3</f>
        <v>-7768.0507390194516</v>
      </c>
      <c r="G6" s="40"/>
      <c r="H6" s="40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239" t="s">
        <v>710</v>
      </c>
      <c r="B7" s="11" t="s">
        <v>472</v>
      </c>
      <c r="C7" s="40"/>
      <c r="D7" s="79">
        <f>-'Flujo_Deuda Frances 2'!F4</f>
        <v>-2782.0086854640645</v>
      </c>
      <c r="E7" s="79">
        <f>-'Flujo_Deuda Frances 2'!G4</f>
        <v>-1828.7947634608331</v>
      </c>
      <c r="F7" s="79">
        <f>-'Flujo_Deuda Frances 2'!H4</f>
        <v>-693.34876813345613</v>
      </c>
      <c r="G7" s="40"/>
      <c r="H7" s="40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239" t="s">
        <v>818</v>
      </c>
      <c r="B8" s="11" t="s">
        <v>888</v>
      </c>
      <c r="C8" s="40"/>
      <c r="D8" s="40">
        <f t="shared" ref="D8:F8" si="0">(D6+D7)*0%</f>
        <v>0</v>
      </c>
      <c r="E8" s="40">
        <f t="shared" si="0"/>
        <v>0</v>
      </c>
      <c r="F8" s="40">
        <f t="shared" si="0"/>
        <v>0</v>
      </c>
      <c r="G8" s="40"/>
      <c r="H8" s="40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239"/>
      <c r="B9" s="78" t="s">
        <v>889</v>
      </c>
      <c r="C9" s="43">
        <f t="shared" ref="C9:H9" si="1">SUM(C5:C8)</f>
        <v>18000</v>
      </c>
      <c r="D9" s="43">
        <f t="shared" si="1"/>
        <v>-10550.059424483516</v>
      </c>
      <c r="E9" s="43">
        <f t="shared" si="1"/>
        <v>-9596.8455024802843</v>
      </c>
      <c r="F9" s="43">
        <f t="shared" si="1"/>
        <v>-8461.399507152908</v>
      </c>
      <c r="G9" s="43">
        <f t="shared" si="1"/>
        <v>0</v>
      </c>
      <c r="H9" s="43">
        <f t="shared" si="1"/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239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23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3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23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23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239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239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239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239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23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23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3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3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3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3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39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39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239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239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23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23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23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23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23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23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23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23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23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23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23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23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23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23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23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23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23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23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23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23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23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23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23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239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239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239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239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239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239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239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239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239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239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239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239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239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239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239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239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239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239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239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239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239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239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239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239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239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239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239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239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239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239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239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239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239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239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239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239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239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239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239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239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239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239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239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239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239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239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239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239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239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239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239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239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239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239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239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239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239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239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239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239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239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239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239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239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239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239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239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239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239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239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239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239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239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239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239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239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239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239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239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239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239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239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239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239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239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239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239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239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239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239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239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239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239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239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239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239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239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239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239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239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239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239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239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239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239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239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239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239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239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239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239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239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239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239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239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239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239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239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239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239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239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239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239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239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239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239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239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239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239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239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239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239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239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239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239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239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239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239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239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239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239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239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239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239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239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239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239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239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239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239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239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239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239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239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239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239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239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239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239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239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239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239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239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239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239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239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239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239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239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239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239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239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239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239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239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239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239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239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239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239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239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239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239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239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239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239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239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239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239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239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239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239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239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239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239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239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239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239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239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239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239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239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239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239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239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239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239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239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239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239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239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239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239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239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239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239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239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239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239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239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239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239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239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239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239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239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239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239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239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239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239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239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239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239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239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39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239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239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239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239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239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239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239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39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239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239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239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239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239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239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239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239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239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239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239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239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239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239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239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239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239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239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239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239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239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239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239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239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239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239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239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239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239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239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239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239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239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239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239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239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239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239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239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239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239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239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239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239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239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239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239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239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239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239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239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239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239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239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239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239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239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239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239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239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239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239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239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239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239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239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239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239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239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239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239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239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239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239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239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239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239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239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239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239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239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239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239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239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239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239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239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239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239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239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239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239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239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239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239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239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239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239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239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239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239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239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239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239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239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239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239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239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239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239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239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239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239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239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239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239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239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239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239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239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239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239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239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239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239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239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239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239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239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239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239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239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239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239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239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239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239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239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239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239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239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239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239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239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239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239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239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239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239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239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239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239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239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239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239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239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239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239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239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239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239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239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239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239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239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239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239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239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239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239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239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239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239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239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239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239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239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239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239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239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239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239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239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239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239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239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239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239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239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239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239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239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239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239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239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239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239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239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239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239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239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239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239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239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239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239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239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239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239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239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239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239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239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239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239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239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239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239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239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239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239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239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239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239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239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239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239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239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239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239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239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239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239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239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239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239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239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239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239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239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239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239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239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239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239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239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239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239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239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239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239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239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239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239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239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239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239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239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239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239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239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239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239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239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239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239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239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239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239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239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239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239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239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239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239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239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239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239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239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239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239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239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239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239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239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239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239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239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239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239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239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239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239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239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239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239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239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239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239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239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239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239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239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239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239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239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239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239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239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239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239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239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239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239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239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239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239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239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239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239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239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239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239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239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239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239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239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23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239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239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239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239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239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239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239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239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239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239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239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239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239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239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239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239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239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239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239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239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239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239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239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239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239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239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239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239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239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239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239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239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239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239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239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239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239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239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239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239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239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239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239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239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239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239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239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239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239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239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239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239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239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239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239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239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239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239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239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239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239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239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239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239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239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239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239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239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239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239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239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239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239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239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239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239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239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239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239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239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239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239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239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239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239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239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239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239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239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239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239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239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239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239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239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239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239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239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239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239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239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239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239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239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239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239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239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239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239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239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239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239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239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239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239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239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239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239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239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239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239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239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239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239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239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239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239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239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239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239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239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23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239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239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239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239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239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239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239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239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239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239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239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239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239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239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239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239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239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239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239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239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239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239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239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239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239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239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239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239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239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239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239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239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239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239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239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239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239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239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239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239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239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239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239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239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239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239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239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239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239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239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239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239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239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239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239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239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239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239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239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239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239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239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239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239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239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239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239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239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239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239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239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239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239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239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239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239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239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239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239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239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239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239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239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239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239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239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239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239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239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239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239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239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239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239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239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239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239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239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239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239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239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239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239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239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239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239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239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239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239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239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239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239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239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239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239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239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239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239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239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239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239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239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239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239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239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239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239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239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239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239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239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239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239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239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239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239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239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239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239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239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239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239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239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239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239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239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239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239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239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239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239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239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239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239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239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239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239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239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239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239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239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239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239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239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239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239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239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239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239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239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239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239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239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239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239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239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239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239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239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239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239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239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239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239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239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239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239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239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239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239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239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239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239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239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239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239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239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239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239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239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239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239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239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239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239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239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239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239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239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239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239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239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239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239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239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239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239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239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239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239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239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239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239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239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239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239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239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239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239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239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239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239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239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239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239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239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239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239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239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239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239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239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239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239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239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H2"/>
  </mergeCells>
  <pageMargins left="0.7" right="0.7" top="0.75" bottom="0.75" header="0" footer="0"/>
  <pageSetup orientation="landscape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Z1000"/>
  <sheetViews>
    <sheetView showGridLines="0" workbookViewId="0">
      <selection activeCell="G29" sqref="G29"/>
    </sheetView>
  </sheetViews>
  <sheetFormatPr baseColWidth="10" defaultColWidth="12.625" defaultRowHeight="15" customHeight="1"/>
  <cols>
    <col min="1" max="1" width="3.125" customWidth="1"/>
    <col min="2" max="2" width="45.25" customWidth="1"/>
    <col min="3" max="8" width="13.75" customWidth="1"/>
    <col min="9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58" t="s">
        <v>890</v>
      </c>
      <c r="C2" s="436"/>
      <c r="D2" s="436"/>
      <c r="E2" s="436"/>
      <c r="F2" s="436"/>
      <c r="G2" s="436"/>
      <c r="H2" s="43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5" t="s">
        <v>552</v>
      </c>
      <c r="C4" s="29" t="s">
        <v>813</v>
      </c>
      <c r="D4" s="29" t="s">
        <v>454</v>
      </c>
      <c r="E4" s="29" t="s">
        <v>456</v>
      </c>
      <c r="F4" s="29" t="s">
        <v>458</v>
      </c>
      <c r="G4" s="29" t="s">
        <v>460</v>
      </c>
      <c r="H4" s="29" t="s">
        <v>462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3" t="s">
        <v>891</v>
      </c>
      <c r="C5" s="227"/>
      <c r="D5" s="227"/>
      <c r="E5" s="227"/>
      <c r="F5" s="227"/>
      <c r="G5" s="227"/>
      <c r="H5" s="227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1" t="s">
        <v>815</v>
      </c>
      <c r="C6" s="40">
        <f>'Flujo de Caja Económico A'!C6</f>
        <v>-10838</v>
      </c>
      <c r="D6" s="40">
        <f>'Flujo de Caja Económico A'!D6</f>
        <v>-15</v>
      </c>
      <c r="E6" s="40">
        <f>'Flujo de Caja Económico A'!E6</f>
        <v>-5372</v>
      </c>
      <c r="F6" s="40">
        <f>'Flujo de Caja Económico A'!F6</f>
        <v>-3415</v>
      </c>
      <c r="G6" s="40">
        <f>'Flujo de Caja Económico A'!G6</f>
        <v>-5372</v>
      </c>
      <c r="H6" s="40">
        <f>'Flujo de Caja Económico A'!H6</f>
        <v>-15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1" t="s">
        <v>816</v>
      </c>
      <c r="C7" s="40">
        <f>'Flujo de Caja Económico A'!C7</f>
        <v>-1116.99</v>
      </c>
      <c r="D7" s="40">
        <f>'Flujo de Caja Económico A'!D7</f>
        <v>0</v>
      </c>
      <c r="E7" s="40">
        <f>'Flujo de Caja Económico A'!E7</f>
        <v>0</v>
      </c>
      <c r="F7" s="40">
        <f>'Flujo de Caja Económico A'!F7</f>
        <v>0</v>
      </c>
      <c r="G7" s="40">
        <f>'Flujo de Caja Económico A'!G7</f>
        <v>0</v>
      </c>
      <c r="H7" s="40">
        <f>'Flujo de Caja Económico A'!H7</f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1" t="s">
        <v>303</v>
      </c>
      <c r="C8" s="40">
        <f>'Flujo de Caja Económico A'!C8</f>
        <v>-12336.332666666667</v>
      </c>
      <c r="D8" s="40">
        <f>'Flujo de Caja Económico A'!D8</f>
        <v>-2215.4775564435586</v>
      </c>
      <c r="E8" s="40">
        <f>'Flujo de Caja Económico A'!E8</f>
        <v>-2215.4775564435568</v>
      </c>
      <c r="F8" s="40">
        <f>'Flujo de Caja Económico A'!F8</f>
        <v>-2215.4775564435586</v>
      </c>
      <c r="G8" s="40">
        <f>'Flujo de Caja Económico A'!G8</f>
        <v>-2215.4775564435622</v>
      </c>
      <c r="H8" s="40">
        <f>'Flujo de Caja Económico A'!H8</f>
        <v>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1" t="s">
        <v>855</v>
      </c>
      <c r="C9" s="40">
        <f>'Flujo de Caja Económico A'!C9</f>
        <v>0</v>
      </c>
      <c r="D9" s="40">
        <f>'Flujo de Caja Económico A'!D9</f>
        <v>0</v>
      </c>
      <c r="E9" s="40">
        <f>'Flujo de Caja Económico A'!E9</f>
        <v>0</v>
      </c>
      <c r="F9" s="40">
        <f>'Flujo de Caja Económico A'!F9</f>
        <v>0</v>
      </c>
      <c r="G9" s="40">
        <f>'Flujo de Caja Económico A'!G9</f>
        <v>0</v>
      </c>
      <c r="H9" s="40">
        <f>'Flujo de Caja Económico A'!H9</f>
        <v>21198.242892440903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1" t="s">
        <v>892</v>
      </c>
      <c r="C10" s="40">
        <f>'Flujo de Caja Económico A'!C10</f>
        <v>0</v>
      </c>
      <c r="D10" s="40">
        <f>'Flujo de Caja Económico A'!D10</f>
        <v>0</v>
      </c>
      <c r="E10" s="40">
        <f>'Flujo de Caja Económico A'!E10</f>
        <v>0</v>
      </c>
      <c r="F10" s="40">
        <f>'Flujo de Caja Económico A'!F10</f>
        <v>0</v>
      </c>
      <c r="G10" s="40">
        <f>'Flujo de Caja Económico A'!G10</f>
        <v>0</v>
      </c>
      <c r="H10" s="40">
        <f>'Flujo de Caja Económico A'!H10</f>
        <v>3826.1190476190477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54" t="s">
        <v>893</v>
      </c>
      <c r="C11" s="57">
        <f t="shared" ref="C11:H11" si="0">SUM(C6:C10)</f>
        <v>-24291.322666666667</v>
      </c>
      <c r="D11" s="57">
        <f t="shared" si="0"/>
        <v>-2230.4775564435586</v>
      </c>
      <c r="E11" s="57">
        <f t="shared" si="0"/>
        <v>-7587.4775564435568</v>
      </c>
      <c r="F11" s="57">
        <f t="shared" si="0"/>
        <v>-5630.4775564435586</v>
      </c>
      <c r="G11" s="57">
        <f t="shared" si="0"/>
        <v>-7587.4775564435622</v>
      </c>
      <c r="H11" s="57">
        <f t="shared" si="0"/>
        <v>25009.361940059949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1" t="str">
        <f>'Flujo de Caja Económico A'!B13</f>
        <v>Ingreso por ventas</v>
      </c>
      <c r="C12" s="40">
        <f>'Flujo de Caja Económico A'!C13</f>
        <v>0</v>
      </c>
      <c r="D12" s="40">
        <f>'Flujo de Caja Económico A'!D13</f>
        <v>196560</v>
      </c>
      <c r="E12" s="40">
        <f>'Flujo de Caja Económico A'!E13</f>
        <v>231860.13986013987</v>
      </c>
      <c r="F12" s="40">
        <f>'Flujo de Caja Económico A'!F13</f>
        <v>267160.27972027974</v>
      </c>
      <c r="G12" s="40">
        <f>'Flujo de Caja Económico A'!G13</f>
        <v>302460.41958041966</v>
      </c>
      <c r="H12" s="40">
        <f>'Flujo de Caja Económico A'!H13</f>
        <v>337760.55944055953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1" t="str">
        <f>'Flujo de Caja Económico A'!B14</f>
        <v>Costos de producción</v>
      </c>
      <c r="C13" s="40">
        <f>'Flujo de Caja Económico A'!C14</f>
        <v>0</v>
      </c>
      <c r="D13" s="40">
        <f>'Flujo de Caja Económico A'!D14</f>
        <v>-106949.02399999999</v>
      </c>
      <c r="E13" s="40">
        <f>'Flujo de Caja Económico A'!E14</f>
        <v>-126155.96083916085</v>
      </c>
      <c r="F13" s="40">
        <f>'Flujo de Caja Económico A'!F14</f>
        <v>-145362.89767832169</v>
      </c>
      <c r="G13" s="40">
        <f>'Flujo de Caja Económico A'!G14</f>
        <v>-164569.83451748255</v>
      </c>
      <c r="H13" s="40">
        <f>'Flujo de Caja Económico A'!H14</f>
        <v>-183776.77135664341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1" t="str">
        <f>'Flujo de Caja Económico A'!B15</f>
        <v>Gastos de venta</v>
      </c>
      <c r="C14" s="40">
        <f>'Flujo de Caja Económico A'!C15</f>
        <v>0</v>
      </c>
      <c r="D14" s="40">
        <f>'Flujo de Caja Económico A'!D15</f>
        <v>-21420</v>
      </c>
      <c r="E14" s="40">
        <f>'Flujo de Caja Económico A'!E15</f>
        <v>-21420</v>
      </c>
      <c r="F14" s="40">
        <f>'Flujo de Caja Económico A'!F15</f>
        <v>-21420</v>
      </c>
      <c r="G14" s="40">
        <f>'Flujo de Caja Económico A'!G15</f>
        <v>-21420</v>
      </c>
      <c r="H14" s="40">
        <f>'Flujo de Caja Económico A'!H15</f>
        <v>-21420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1" t="str">
        <f>'Flujo de Caja Económico A'!B17</f>
        <v>Pago de IGV</v>
      </c>
      <c r="C15" s="40">
        <f>'Flujo de Caja Económico A'!C17</f>
        <v>0</v>
      </c>
      <c r="D15" s="40">
        <f>'Flujo de Caja Económico A'!D17</f>
        <v>-29440.799999999996</v>
      </c>
      <c r="E15" s="40">
        <f>'Flujo de Caja Económico A'!E17</f>
        <v>-35794.825174825171</v>
      </c>
      <c r="F15" s="40">
        <f>'Flujo de Caja Económico A'!F17</f>
        <v>-42148.850349650354</v>
      </c>
      <c r="G15" s="40">
        <f>'Flujo de Caja Económico A'!G17</f>
        <v>-48502.875524475538</v>
      </c>
      <c r="H15" s="40">
        <f>'Flujo de Caja Económico A'!H17</f>
        <v>-54856.900699300713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1" t="str">
        <f>'Flujo de Caja Económico A'!B18</f>
        <v>Impuestos</v>
      </c>
      <c r="C16" s="40">
        <f>'Flujo de Caja Económico A'!C18</f>
        <v>0</v>
      </c>
      <c r="D16" s="40">
        <f>'Flujo de Caja Económico A'!D18</f>
        <v>-541.95602714285724</v>
      </c>
      <c r="E16" s="40">
        <f>'Flujo de Caja Económico A'!E18</f>
        <v>-783.35407245754232</v>
      </c>
      <c r="F16" s="40">
        <f>'Flujo de Caja Económico A'!F18</f>
        <v>-1024.7521177722276</v>
      </c>
      <c r="G16" s="40">
        <f>'Flujo de Caja Económico A'!G18</f>
        <v>-1266.1501630869136</v>
      </c>
      <c r="H16" s="40">
        <f>'Flujo de Caja Económico A'!H18</f>
        <v>-1507.5482084015989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54" t="s">
        <v>894</v>
      </c>
      <c r="C17" s="57">
        <f>'Flujo de Caja Económico A'!C19</f>
        <v>0</v>
      </c>
      <c r="D17" s="57">
        <f>'Flujo de Caja Económico A'!D19</f>
        <v>10608.219972857158</v>
      </c>
      <c r="E17" s="57">
        <f>'Flujo de Caja Económico A'!E19</f>
        <v>20105.999773696305</v>
      </c>
      <c r="F17" s="57">
        <f>'Flujo de Caja Económico A'!F19</f>
        <v>29603.779574535463</v>
      </c>
      <c r="G17" s="57">
        <f>'Flujo de Caja Económico A'!G19</f>
        <v>39101.559375374658</v>
      </c>
      <c r="H17" s="57">
        <f>'Flujo de Caja Económico A'!H19</f>
        <v>48599.339176213813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76" t="s">
        <v>825</v>
      </c>
      <c r="C18" s="83">
        <f>'Flujo de Caja Económico A'!C20</f>
        <v>-24291.322666666667</v>
      </c>
      <c r="D18" s="83">
        <f>'Flujo de Caja Económico A'!D20</f>
        <v>8377.7424164135991</v>
      </c>
      <c r="E18" s="83">
        <f>'Flujo de Caja Económico A'!E20</f>
        <v>12518.522217252748</v>
      </c>
      <c r="F18" s="83">
        <f>'Flujo de Caja Económico A'!F20</f>
        <v>23973.302018091905</v>
      </c>
      <c r="G18" s="83">
        <f>'Flujo de Caja Económico A'!G20</f>
        <v>31514.081818931096</v>
      </c>
      <c r="H18" s="83">
        <f>'Flujo de Caja Económico A'!H20</f>
        <v>73608.701116273762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51" t="s">
        <v>895</v>
      </c>
      <c r="C19" s="40"/>
      <c r="D19" s="40"/>
      <c r="E19" s="40"/>
      <c r="F19" s="40"/>
      <c r="G19" s="40"/>
      <c r="H19" s="40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1" t="s">
        <v>886</v>
      </c>
      <c r="C20" s="40">
        <f>'Flujo de Caja de la Deuda'!C5</f>
        <v>18000</v>
      </c>
      <c r="D20" s="40">
        <f>'Flujo de Caja de la Deuda'!D5</f>
        <v>0</v>
      </c>
      <c r="E20" s="40">
        <f>'Flujo de Caja de la Deuda'!E5</f>
        <v>0</v>
      </c>
      <c r="F20" s="40">
        <f>'Flujo de Caja de la Deuda'!F5</f>
        <v>0</v>
      </c>
      <c r="G20" s="40">
        <f>'Flujo de Caja de la Deuda'!G5</f>
        <v>0</v>
      </c>
      <c r="H20" s="40">
        <f>'Flujo de Caja de la Deuda'!H5</f>
        <v>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1" t="s">
        <v>887</v>
      </c>
      <c r="C21" s="40">
        <f>'Flujo de Caja de la Deuda'!C6</f>
        <v>0</v>
      </c>
      <c r="D21" s="40">
        <f>'Flujo de Caja de la Deuda'!D6</f>
        <v>-7768.0507390194516</v>
      </c>
      <c r="E21" s="40">
        <f>'Flujo de Caja de la Deuda'!E6</f>
        <v>-7768.0507390194516</v>
      </c>
      <c r="F21" s="40">
        <f>'Flujo de Caja de la Deuda'!F6</f>
        <v>-7768.0507390194516</v>
      </c>
      <c r="G21" s="40">
        <f>'Flujo de Caja de la Deuda'!G6</f>
        <v>0</v>
      </c>
      <c r="H21" s="40">
        <f>'Flujo de Caja de la Deuda'!H6</f>
        <v>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1" t="s">
        <v>472</v>
      </c>
      <c r="C22" s="40">
        <f>'Flujo de Caja de la Deuda'!C7</f>
        <v>0</v>
      </c>
      <c r="D22" s="40">
        <f>'Flujo de Caja de la Deuda'!D7</f>
        <v>-2782.0086854640645</v>
      </c>
      <c r="E22" s="40">
        <f>'Flujo de Caja de la Deuda'!E7</f>
        <v>-1828.7947634608331</v>
      </c>
      <c r="F22" s="40">
        <f>'Flujo de Caja de la Deuda'!F7</f>
        <v>-693.34876813345613</v>
      </c>
      <c r="G22" s="40">
        <f>'Flujo de Caja de la Deuda'!G7</f>
        <v>0</v>
      </c>
      <c r="H22" s="40">
        <f>'Flujo de Caja de la Deuda'!H7</f>
        <v>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1" t="s">
        <v>888</v>
      </c>
      <c r="C23" s="40">
        <f>'Flujo de Caja de la Deuda'!C8</f>
        <v>0</v>
      </c>
      <c r="D23" s="40">
        <f>'Flujo de Caja de la Deuda'!D8</f>
        <v>0</v>
      </c>
      <c r="E23" s="40">
        <f>'Flujo de Caja de la Deuda'!E8</f>
        <v>0</v>
      </c>
      <c r="F23" s="40">
        <f>'Flujo de Caja de la Deuda'!F8</f>
        <v>0</v>
      </c>
      <c r="G23" s="40">
        <f>'Flujo de Caja de la Deuda'!G8</f>
        <v>0</v>
      </c>
      <c r="H23" s="40">
        <f>'Flujo de Caja de la Deuda'!H8</f>
        <v>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0" t="s">
        <v>896</v>
      </c>
      <c r="C24" s="83">
        <f>'Flujo de Caja de la Deuda'!C9</f>
        <v>18000</v>
      </c>
      <c r="D24" s="83">
        <f>'Flujo de Caja de la Deuda'!D9</f>
        <v>-10550.059424483516</v>
      </c>
      <c r="E24" s="83">
        <f>'Flujo de Caja de la Deuda'!E9</f>
        <v>-9596.8455024802843</v>
      </c>
      <c r="F24" s="83">
        <f>'Flujo de Caja de la Deuda'!F9</f>
        <v>-8461.399507152908</v>
      </c>
      <c r="G24" s="83">
        <f>'Flujo de Caja de la Deuda'!G9</f>
        <v>0</v>
      </c>
      <c r="H24" s="83">
        <f>'Flujo de Caja de la Deuda'!H9</f>
        <v>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65" t="s">
        <v>897</v>
      </c>
      <c r="C25" s="178">
        <f t="shared" ref="C25:H25" si="1">C24+C18</f>
        <v>-6291.3226666666669</v>
      </c>
      <c r="D25" s="178">
        <f t="shared" si="1"/>
        <v>-2172.3170080699165</v>
      </c>
      <c r="E25" s="178">
        <f t="shared" si="1"/>
        <v>2921.676714772464</v>
      </c>
      <c r="F25" s="178">
        <f t="shared" si="1"/>
        <v>15511.902510938997</v>
      </c>
      <c r="G25" s="178">
        <f t="shared" si="1"/>
        <v>31514.081818931096</v>
      </c>
      <c r="H25" s="178">
        <f t="shared" si="1"/>
        <v>73608.701116273762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H2"/>
  </mergeCells>
  <pageMargins left="0.7" right="0.7" top="0.75" bottom="0.75" header="0" footer="0"/>
  <pageSetup orientation="landscape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4A9B82"/>
  </sheetPr>
  <dimension ref="A1:Z1000"/>
  <sheetViews>
    <sheetView showGridLines="0" workbookViewId="0"/>
  </sheetViews>
  <sheetFormatPr baseColWidth="10" defaultColWidth="12.625" defaultRowHeight="15" customHeight="1"/>
  <cols>
    <col min="1" max="1" width="3.125" customWidth="1"/>
    <col min="2" max="2" width="20.375" customWidth="1"/>
    <col min="3" max="3" width="7.875" customWidth="1"/>
    <col min="4" max="4" width="8.125" customWidth="1"/>
    <col min="5" max="5" width="8" customWidth="1"/>
    <col min="6" max="6" width="13.125" customWidth="1"/>
    <col min="7" max="7" width="8.125" customWidth="1"/>
    <col min="8" max="8" width="9" customWidth="1"/>
    <col min="9" max="26" width="8" customWidth="1"/>
  </cols>
  <sheetData>
    <row r="1" spans="1:26">
      <c r="A1" s="19"/>
      <c r="B1" s="274"/>
      <c r="C1" s="3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>
      <c r="A2" s="19"/>
      <c r="B2" s="458" t="s">
        <v>898</v>
      </c>
      <c r="C2" s="436"/>
      <c r="D2" s="437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>
      <c r="A3" s="19"/>
      <c r="B3" s="274"/>
      <c r="C3" s="3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>
      <c r="A4" s="19"/>
      <c r="B4" s="274" t="s">
        <v>899</v>
      </c>
      <c r="C4" s="39" t="s">
        <v>900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>
      <c r="A5" s="19"/>
      <c r="B5" s="275" t="s">
        <v>901</v>
      </c>
      <c r="C5" s="276">
        <v>144</v>
      </c>
      <c r="D5" s="20">
        <f t="shared" ref="D5:D121" si="0">C5/10000</f>
        <v>1.44E-2</v>
      </c>
      <c r="E5" s="19"/>
      <c r="F5" s="19" t="s">
        <v>902</v>
      </c>
      <c r="G5" s="277">
        <f>AVERAGE(D5:D121)</f>
        <v>1.2973504273504275E-2</v>
      </c>
      <c r="H5" s="20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19"/>
      <c r="B6" s="278" t="s">
        <v>903</v>
      </c>
      <c r="C6" s="279">
        <v>145</v>
      </c>
      <c r="D6" s="20">
        <f t="shared" si="0"/>
        <v>1.4500000000000001E-2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19"/>
      <c r="B7" s="275" t="s">
        <v>904</v>
      </c>
      <c r="C7" s="276">
        <v>145</v>
      </c>
      <c r="D7" s="20">
        <f t="shared" si="0"/>
        <v>1.4500000000000001E-2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19"/>
      <c r="B8" s="280">
        <v>44506</v>
      </c>
      <c r="C8" s="279">
        <v>147</v>
      </c>
      <c r="D8" s="20">
        <f t="shared" si="0"/>
        <v>1.47E-2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/>
      <c r="B9" s="281">
        <v>44475</v>
      </c>
      <c r="C9" s="276">
        <v>151</v>
      </c>
      <c r="D9" s="20">
        <f t="shared" si="0"/>
        <v>1.5100000000000001E-2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19"/>
      <c r="B10" s="280">
        <v>44445</v>
      </c>
      <c r="C10" s="279">
        <v>149</v>
      </c>
      <c r="D10" s="20">
        <f t="shared" si="0"/>
        <v>1.49E-2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19"/>
      <c r="B11" s="281">
        <v>44414</v>
      </c>
      <c r="C11" s="276">
        <v>152</v>
      </c>
      <c r="D11" s="20">
        <f t="shared" si="0"/>
        <v>1.52E-2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/>
      <c r="B12" s="280">
        <v>44383</v>
      </c>
      <c r="C12" s="279">
        <v>156</v>
      </c>
      <c r="D12" s="20">
        <f t="shared" si="0"/>
        <v>1.5599999999999999E-2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19"/>
      <c r="B13" s="281">
        <v>44292</v>
      </c>
      <c r="C13" s="276">
        <v>142</v>
      </c>
      <c r="D13" s="20">
        <f t="shared" si="0"/>
        <v>1.4200000000000001E-2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>
      <c r="A14" s="19"/>
      <c r="B14" s="280">
        <v>44261</v>
      </c>
      <c r="C14" s="279">
        <v>140</v>
      </c>
      <c r="D14" s="20">
        <f t="shared" si="0"/>
        <v>1.4E-2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/>
      <c r="B15" s="281">
        <v>44233</v>
      </c>
      <c r="C15" s="276">
        <v>142</v>
      </c>
      <c r="D15" s="20">
        <f t="shared" si="0"/>
        <v>1.4200000000000001E-2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/>
      <c r="B16" s="280">
        <v>44202</v>
      </c>
      <c r="C16" s="279">
        <v>142</v>
      </c>
      <c r="D16" s="20">
        <f t="shared" si="0"/>
        <v>1.4200000000000001E-2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/>
      <c r="B17" s="275" t="s">
        <v>905</v>
      </c>
      <c r="C17" s="276">
        <v>144</v>
      </c>
      <c r="D17" s="20">
        <f t="shared" si="0"/>
        <v>1.44E-2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/>
      <c r="B18" s="278" t="s">
        <v>906</v>
      </c>
      <c r="C18" s="279">
        <v>143</v>
      </c>
      <c r="D18" s="20">
        <f t="shared" si="0"/>
        <v>1.43E-2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/>
      <c r="B19" s="275" t="s">
        <v>907</v>
      </c>
      <c r="C19" s="276">
        <v>145</v>
      </c>
      <c r="D19" s="20">
        <f t="shared" si="0"/>
        <v>1.4500000000000001E-2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/>
      <c r="B20" s="278" t="s">
        <v>908</v>
      </c>
      <c r="C20" s="279">
        <v>146</v>
      </c>
      <c r="D20" s="20">
        <f t="shared" si="0"/>
        <v>1.46E-2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/>
      <c r="B21" s="275" t="s">
        <v>909</v>
      </c>
      <c r="C21" s="276">
        <v>150</v>
      </c>
      <c r="D21" s="20">
        <f t="shared" si="0"/>
        <v>1.4999999999999999E-2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/>
      <c r="B22" s="278" t="s">
        <v>910</v>
      </c>
      <c r="C22" s="279">
        <v>147</v>
      </c>
      <c r="D22" s="20">
        <f t="shared" si="0"/>
        <v>1.47E-2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/>
      <c r="B23" s="275" t="s">
        <v>911</v>
      </c>
      <c r="C23" s="276">
        <v>139</v>
      </c>
      <c r="D23" s="20">
        <f t="shared" si="0"/>
        <v>1.3899999999999999E-2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/>
      <c r="B24" s="278" t="s">
        <v>912</v>
      </c>
      <c r="C24" s="279">
        <v>133</v>
      </c>
      <c r="D24" s="20">
        <f t="shared" si="0"/>
        <v>1.3299999999999999E-2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>
      <c r="A25" s="19"/>
      <c r="B25" s="275" t="s">
        <v>913</v>
      </c>
      <c r="C25" s="276">
        <v>131</v>
      </c>
      <c r="D25" s="20">
        <f t="shared" si="0"/>
        <v>1.3100000000000001E-2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.75" customHeight="1">
      <c r="A26" s="19"/>
      <c r="B26" s="278" t="s">
        <v>914</v>
      </c>
      <c r="C26" s="279">
        <v>126</v>
      </c>
      <c r="D26" s="20">
        <f t="shared" si="0"/>
        <v>1.26E-2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.75" customHeight="1">
      <c r="A27" s="19"/>
      <c r="B27" s="275" t="s">
        <v>915</v>
      </c>
      <c r="C27" s="276">
        <v>127</v>
      </c>
      <c r="D27" s="20">
        <f t="shared" si="0"/>
        <v>1.2699999999999999E-2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.75" customHeight="1">
      <c r="A28" s="19"/>
      <c r="B28" s="278" t="s">
        <v>916</v>
      </c>
      <c r="C28" s="279">
        <v>129</v>
      </c>
      <c r="D28" s="20">
        <f t="shared" si="0"/>
        <v>1.29E-2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>
      <c r="A29" s="19"/>
      <c r="B29" s="275" t="s">
        <v>917</v>
      </c>
      <c r="C29" s="276">
        <v>130</v>
      </c>
      <c r="D29" s="20">
        <f t="shared" si="0"/>
        <v>1.2999999999999999E-2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.75" customHeight="1">
      <c r="A30" s="19"/>
      <c r="B30" s="280">
        <v>44535</v>
      </c>
      <c r="C30" s="279">
        <v>131</v>
      </c>
      <c r="D30" s="20">
        <f t="shared" si="0"/>
        <v>1.3100000000000001E-2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.75" customHeight="1">
      <c r="A31" s="19"/>
      <c r="B31" s="281">
        <v>44505</v>
      </c>
      <c r="C31" s="276">
        <v>132</v>
      </c>
      <c r="D31" s="20">
        <f t="shared" si="0"/>
        <v>1.32E-2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.75" customHeight="1">
      <c r="A32" s="19"/>
      <c r="B32" s="280">
        <v>44474</v>
      </c>
      <c r="C32" s="279">
        <v>133</v>
      </c>
      <c r="D32" s="20">
        <f t="shared" si="0"/>
        <v>1.3299999999999999E-2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.75" customHeight="1">
      <c r="A33" s="19"/>
      <c r="B33" s="281">
        <v>44382</v>
      </c>
      <c r="C33" s="276">
        <v>137</v>
      </c>
      <c r="D33" s="20">
        <f t="shared" si="0"/>
        <v>1.37E-2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.75" customHeight="1">
      <c r="A34" s="19"/>
      <c r="B34" s="280">
        <v>44352</v>
      </c>
      <c r="C34" s="279">
        <v>149</v>
      </c>
      <c r="D34" s="20">
        <f t="shared" si="0"/>
        <v>1.49E-2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.75" customHeight="1">
      <c r="A35" s="19"/>
      <c r="B35" s="281">
        <v>44321</v>
      </c>
      <c r="C35" s="276">
        <v>149</v>
      </c>
      <c r="D35" s="20">
        <f t="shared" si="0"/>
        <v>1.49E-2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.75" customHeight="1">
      <c r="A36" s="19"/>
      <c r="B36" s="280">
        <v>44291</v>
      </c>
      <c r="C36" s="279">
        <v>141</v>
      </c>
      <c r="D36" s="20">
        <f t="shared" si="0"/>
        <v>1.41E-2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.75" customHeight="1">
      <c r="A37" s="19"/>
      <c r="B37" s="281">
        <v>44260</v>
      </c>
      <c r="C37" s="276">
        <v>138</v>
      </c>
      <c r="D37" s="20">
        <f t="shared" si="0"/>
        <v>1.38E-2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.75" customHeight="1">
      <c r="A38" s="19"/>
      <c r="B38" s="278" t="s">
        <v>918</v>
      </c>
      <c r="C38" s="279">
        <v>138</v>
      </c>
      <c r="D38" s="20">
        <f t="shared" si="0"/>
        <v>1.38E-2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.75" customHeight="1">
      <c r="A39" s="19"/>
      <c r="B39" s="275" t="s">
        <v>919</v>
      </c>
      <c r="C39" s="276">
        <v>144</v>
      </c>
      <c r="D39" s="20">
        <f t="shared" si="0"/>
        <v>1.44E-2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.75" customHeight="1">
      <c r="A40" s="19"/>
      <c r="B40" s="278" t="s">
        <v>920</v>
      </c>
      <c r="C40" s="279">
        <v>150</v>
      </c>
      <c r="D40" s="20">
        <f t="shared" si="0"/>
        <v>1.4999999999999999E-2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.75" customHeight="1">
      <c r="A41" s="19"/>
      <c r="B41" s="275" t="s">
        <v>921</v>
      </c>
      <c r="C41" s="276">
        <v>154</v>
      </c>
      <c r="D41" s="20">
        <f t="shared" si="0"/>
        <v>1.54E-2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.75" customHeight="1">
      <c r="A42" s="19"/>
      <c r="B42" s="278" t="s">
        <v>922</v>
      </c>
      <c r="C42" s="279">
        <v>157</v>
      </c>
      <c r="D42" s="20">
        <f t="shared" si="0"/>
        <v>1.5699999999999999E-2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.75" customHeight="1">
      <c r="A43" s="19"/>
      <c r="B43" s="275" t="s">
        <v>923</v>
      </c>
      <c r="C43" s="276">
        <v>152</v>
      </c>
      <c r="D43" s="20">
        <f t="shared" si="0"/>
        <v>1.52E-2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.75" customHeight="1">
      <c r="A44" s="19"/>
      <c r="B44" s="278" t="s">
        <v>924</v>
      </c>
      <c r="C44" s="279">
        <v>160</v>
      </c>
      <c r="D44" s="20">
        <f t="shared" si="0"/>
        <v>1.6E-2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.75" customHeight="1">
      <c r="A45" s="19"/>
      <c r="B45" s="275" t="s">
        <v>925</v>
      </c>
      <c r="C45" s="276">
        <v>155</v>
      </c>
      <c r="D45" s="20">
        <f t="shared" si="0"/>
        <v>1.55E-2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.75" customHeight="1">
      <c r="A46" s="19"/>
      <c r="B46" s="278" t="s">
        <v>926</v>
      </c>
      <c r="C46" s="279">
        <v>147</v>
      </c>
      <c r="D46" s="20">
        <f t="shared" si="0"/>
        <v>1.47E-2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.75" customHeight="1">
      <c r="A47" s="19"/>
      <c r="B47" s="275" t="s">
        <v>927</v>
      </c>
      <c r="C47" s="276">
        <v>136</v>
      </c>
      <c r="D47" s="20">
        <f t="shared" si="0"/>
        <v>1.3599999999999999E-2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.75" customHeight="1">
      <c r="A48" s="19"/>
      <c r="B48" s="278" t="s">
        <v>928</v>
      </c>
      <c r="C48" s="279">
        <v>130</v>
      </c>
      <c r="D48" s="20">
        <f t="shared" si="0"/>
        <v>1.2999999999999999E-2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.75" customHeight="1">
      <c r="A49" s="19"/>
      <c r="B49" s="275" t="s">
        <v>929</v>
      </c>
      <c r="C49" s="276">
        <v>135</v>
      </c>
      <c r="D49" s="20">
        <f t="shared" si="0"/>
        <v>1.35E-2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.75" customHeight="1">
      <c r="A50" s="19"/>
      <c r="B50" s="278" t="s">
        <v>930</v>
      </c>
      <c r="C50" s="279">
        <v>134</v>
      </c>
      <c r="D50" s="20">
        <f t="shared" si="0"/>
        <v>1.34E-2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.75" customHeight="1">
      <c r="A51" s="19"/>
      <c r="B51" s="275" t="s">
        <v>931</v>
      </c>
      <c r="C51" s="276">
        <v>138</v>
      </c>
      <c r="D51" s="20">
        <f t="shared" si="0"/>
        <v>1.38E-2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.75" customHeight="1">
      <c r="A52" s="19"/>
      <c r="B52" s="280">
        <v>44534</v>
      </c>
      <c r="C52" s="279">
        <v>133</v>
      </c>
      <c r="D52" s="20">
        <f t="shared" si="0"/>
        <v>1.3299999999999999E-2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.75" customHeight="1">
      <c r="A53" s="19"/>
      <c r="B53" s="281">
        <v>44443</v>
      </c>
      <c r="C53" s="276">
        <v>125</v>
      </c>
      <c r="D53" s="20">
        <f t="shared" si="0"/>
        <v>1.2500000000000001E-2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.75" customHeight="1">
      <c r="A54" s="19"/>
      <c r="B54" s="280">
        <v>44412</v>
      </c>
      <c r="C54" s="279">
        <v>124</v>
      </c>
      <c r="D54" s="20">
        <f t="shared" si="0"/>
        <v>1.24E-2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.75" customHeight="1">
      <c r="A55" s="19"/>
      <c r="B55" s="281">
        <v>44381</v>
      </c>
      <c r="C55" s="276">
        <v>122</v>
      </c>
      <c r="D55" s="20">
        <f t="shared" si="0"/>
        <v>1.2200000000000001E-2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.75" customHeight="1">
      <c r="A56" s="19"/>
      <c r="B56" s="280">
        <v>44351</v>
      </c>
      <c r="C56" s="279">
        <v>121</v>
      </c>
      <c r="D56" s="20">
        <f t="shared" si="0"/>
        <v>1.21E-2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.75" customHeight="1">
      <c r="A57" s="19"/>
      <c r="B57" s="281">
        <v>44320</v>
      </c>
      <c r="C57" s="276">
        <v>121</v>
      </c>
      <c r="D57" s="20">
        <f t="shared" si="0"/>
        <v>1.21E-2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.75" customHeight="1">
      <c r="A58" s="19"/>
      <c r="B58" s="280">
        <v>44200</v>
      </c>
      <c r="C58" s="279">
        <v>124</v>
      </c>
      <c r="D58" s="20">
        <f t="shared" si="0"/>
        <v>1.24E-2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.75" customHeight="1">
      <c r="A59" s="19"/>
      <c r="B59" s="275" t="s">
        <v>932</v>
      </c>
      <c r="C59" s="276">
        <v>125</v>
      </c>
      <c r="D59" s="20">
        <f t="shared" si="0"/>
        <v>1.2500000000000001E-2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.75" customHeight="1">
      <c r="A60" s="19"/>
      <c r="B60" s="278" t="s">
        <v>933</v>
      </c>
      <c r="C60" s="279">
        <v>131</v>
      </c>
      <c r="D60" s="20">
        <f t="shared" si="0"/>
        <v>1.3100000000000001E-2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.75" customHeight="1">
      <c r="A61" s="19"/>
      <c r="B61" s="275" t="s">
        <v>934</v>
      </c>
      <c r="C61" s="276">
        <v>125</v>
      </c>
      <c r="D61" s="20">
        <f t="shared" si="0"/>
        <v>1.2500000000000001E-2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.75" customHeight="1">
      <c r="A62" s="19"/>
      <c r="B62" s="278" t="s">
        <v>935</v>
      </c>
      <c r="C62" s="279">
        <v>130</v>
      </c>
      <c r="D62" s="20">
        <f t="shared" si="0"/>
        <v>1.2999999999999999E-2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.75" customHeight="1">
      <c r="A63" s="19"/>
      <c r="B63" s="275" t="s">
        <v>936</v>
      </c>
      <c r="C63" s="276">
        <v>132</v>
      </c>
      <c r="D63" s="20">
        <f t="shared" si="0"/>
        <v>1.32E-2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.75" customHeight="1">
      <c r="A64" s="19"/>
      <c r="B64" s="278" t="s">
        <v>937</v>
      </c>
      <c r="C64" s="279">
        <v>133</v>
      </c>
      <c r="D64" s="20">
        <f t="shared" si="0"/>
        <v>1.3299999999999999E-2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.75" customHeight="1">
      <c r="A65" s="19"/>
      <c r="B65" s="275" t="s">
        <v>938</v>
      </c>
      <c r="C65" s="276">
        <v>131</v>
      </c>
      <c r="D65" s="20">
        <f t="shared" si="0"/>
        <v>1.3100000000000001E-2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.75" customHeight="1">
      <c r="A66" s="19"/>
      <c r="B66" s="278" t="s">
        <v>939</v>
      </c>
      <c r="C66" s="279">
        <v>131</v>
      </c>
      <c r="D66" s="20">
        <f t="shared" si="0"/>
        <v>1.3100000000000001E-2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>
      <c r="A67" s="19"/>
      <c r="B67" s="275" t="s">
        <v>940</v>
      </c>
      <c r="C67" s="276">
        <v>127</v>
      </c>
      <c r="D67" s="20">
        <f t="shared" si="0"/>
        <v>1.2699999999999999E-2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>
      <c r="A68" s="19"/>
      <c r="B68" s="278" t="s">
        <v>941</v>
      </c>
      <c r="C68" s="279">
        <v>129</v>
      </c>
      <c r="D68" s="20">
        <f t="shared" si="0"/>
        <v>1.29E-2</v>
      </c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>
      <c r="A69" s="19"/>
      <c r="B69" s="275" t="s">
        <v>942</v>
      </c>
      <c r="C69" s="276">
        <v>131</v>
      </c>
      <c r="D69" s="20">
        <f t="shared" si="0"/>
        <v>1.3100000000000001E-2</v>
      </c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.75" customHeight="1">
      <c r="A70" s="19"/>
      <c r="B70" s="278" t="s">
        <v>943</v>
      </c>
      <c r="C70" s="279">
        <v>131</v>
      </c>
      <c r="D70" s="20">
        <f t="shared" si="0"/>
        <v>1.3100000000000001E-2</v>
      </c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.75" customHeight="1">
      <c r="A71" s="19"/>
      <c r="B71" s="275" t="s">
        <v>944</v>
      </c>
      <c r="C71" s="276">
        <v>137</v>
      </c>
      <c r="D71" s="20">
        <f t="shared" si="0"/>
        <v>1.37E-2</v>
      </c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.75" customHeight="1">
      <c r="A72" s="19"/>
      <c r="B72" s="280">
        <v>44533</v>
      </c>
      <c r="C72" s="279">
        <v>138</v>
      </c>
      <c r="D72" s="20">
        <f t="shared" si="0"/>
        <v>1.38E-2</v>
      </c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.75" customHeight="1">
      <c r="A73" s="19"/>
      <c r="B73" s="281">
        <v>44503</v>
      </c>
      <c r="C73" s="276">
        <v>144</v>
      </c>
      <c r="D73" s="20">
        <f t="shared" si="0"/>
        <v>1.44E-2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.75" customHeight="1">
      <c r="A74" s="19"/>
      <c r="B74" s="280">
        <v>44472</v>
      </c>
      <c r="C74" s="279">
        <v>151</v>
      </c>
      <c r="D74" s="20">
        <f t="shared" si="0"/>
        <v>1.5100000000000001E-2</v>
      </c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.75" customHeight="1">
      <c r="A75" s="19"/>
      <c r="B75" s="281">
        <v>44442</v>
      </c>
      <c r="C75" s="276">
        <v>155</v>
      </c>
      <c r="D75" s="20">
        <f t="shared" si="0"/>
        <v>1.55E-2</v>
      </c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.75" customHeight="1">
      <c r="A76" s="19"/>
      <c r="B76" s="280">
        <v>44411</v>
      </c>
      <c r="C76" s="279">
        <v>157</v>
      </c>
      <c r="D76" s="20">
        <f t="shared" si="0"/>
        <v>1.5699999999999999E-2</v>
      </c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.75" customHeight="1">
      <c r="A77" s="19"/>
      <c r="B77" s="281">
        <v>44319</v>
      </c>
      <c r="C77" s="276">
        <v>152</v>
      </c>
      <c r="D77" s="20">
        <f t="shared" si="0"/>
        <v>1.52E-2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.75" customHeight="1">
      <c r="A78" s="19"/>
      <c r="B78" s="280">
        <v>44289</v>
      </c>
      <c r="C78" s="279">
        <v>143</v>
      </c>
      <c r="D78" s="20">
        <f t="shared" si="0"/>
        <v>1.43E-2</v>
      </c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.75" customHeight="1">
      <c r="A79" s="19"/>
      <c r="B79" s="281">
        <v>44258</v>
      </c>
      <c r="C79" s="276">
        <v>139</v>
      </c>
      <c r="D79" s="20">
        <f t="shared" si="0"/>
        <v>1.3899999999999999E-2</v>
      </c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.75" customHeight="1">
      <c r="A80" s="19"/>
      <c r="B80" s="280">
        <v>44230</v>
      </c>
      <c r="C80" s="279">
        <v>135</v>
      </c>
      <c r="D80" s="20">
        <f t="shared" si="0"/>
        <v>1.35E-2</v>
      </c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.75" customHeight="1">
      <c r="A81" s="19"/>
      <c r="B81" s="281">
        <v>44199</v>
      </c>
      <c r="C81" s="276">
        <v>133</v>
      </c>
      <c r="D81" s="20">
        <f t="shared" si="0"/>
        <v>1.3299999999999999E-2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.75" customHeight="1">
      <c r="A82" s="19"/>
      <c r="B82" s="278" t="s">
        <v>945</v>
      </c>
      <c r="C82" s="279">
        <v>135</v>
      </c>
      <c r="D82" s="20">
        <f t="shared" si="0"/>
        <v>1.35E-2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.75" customHeight="1">
      <c r="A83" s="19"/>
      <c r="B83" s="275" t="s">
        <v>946</v>
      </c>
      <c r="C83" s="276">
        <v>125</v>
      </c>
      <c r="D83" s="20">
        <f t="shared" si="0"/>
        <v>1.2500000000000001E-2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.75" customHeight="1">
      <c r="A84" s="19"/>
      <c r="B84" s="278" t="s">
        <v>947</v>
      </c>
      <c r="C84" s="279">
        <v>123</v>
      </c>
      <c r="D84" s="20">
        <f t="shared" si="0"/>
        <v>1.23E-2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.75" customHeight="1">
      <c r="A85" s="19"/>
      <c r="B85" s="275" t="s">
        <v>948</v>
      </c>
      <c r="C85" s="276">
        <v>123</v>
      </c>
      <c r="D85" s="20">
        <f t="shared" si="0"/>
        <v>1.23E-2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.75" customHeight="1">
      <c r="A86" s="19"/>
      <c r="B86" s="278" t="s">
        <v>949</v>
      </c>
      <c r="C86" s="279">
        <v>118</v>
      </c>
      <c r="D86" s="20">
        <f t="shared" si="0"/>
        <v>1.18E-2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.75" customHeight="1">
      <c r="A87" s="19"/>
      <c r="B87" s="275" t="s">
        <v>950</v>
      </c>
      <c r="C87" s="276">
        <v>114</v>
      </c>
      <c r="D87" s="20">
        <f t="shared" si="0"/>
        <v>1.14E-2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.75" customHeight="1">
      <c r="A88" s="19"/>
      <c r="B88" s="278" t="s">
        <v>951</v>
      </c>
      <c r="C88" s="279">
        <v>115</v>
      </c>
      <c r="D88" s="20">
        <f t="shared" si="0"/>
        <v>1.15E-2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.75" customHeight="1">
      <c r="A89" s="19"/>
      <c r="B89" s="275" t="s">
        <v>952</v>
      </c>
      <c r="C89" s="276">
        <v>113</v>
      </c>
      <c r="D89" s="20">
        <f t="shared" si="0"/>
        <v>1.1299999999999999E-2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.75" customHeight="1">
      <c r="A90" s="19"/>
      <c r="B90" s="278" t="s">
        <v>953</v>
      </c>
      <c r="C90" s="279">
        <v>112</v>
      </c>
      <c r="D90" s="20">
        <f t="shared" si="0"/>
        <v>1.12E-2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.75" customHeight="1">
      <c r="A91" s="19"/>
      <c r="B91" s="275" t="s">
        <v>954</v>
      </c>
      <c r="C91" s="276">
        <v>110</v>
      </c>
      <c r="D91" s="20">
        <f t="shared" si="0"/>
        <v>1.0999999999999999E-2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.75" customHeight="1">
      <c r="A92" s="19"/>
      <c r="B92" s="280">
        <v>44532</v>
      </c>
      <c r="C92" s="279">
        <v>110</v>
      </c>
      <c r="D92" s="20">
        <f t="shared" si="0"/>
        <v>1.0999999999999999E-2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.75" customHeight="1">
      <c r="A93" s="19"/>
      <c r="B93" s="281">
        <v>44502</v>
      </c>
      <c r="C93" s="276">
        <v>111</v>
      </c>
      <c r="D93" s="20">
        <f t="shared" si="0"/>
        <v>1.11E-2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.75" customHeight="1">
      <c r="A94" s="19"/>
      <c r="B94" s="280">
        <v>44471</v>
      </c>
      <c r="C94" s="279">
        <v>114</v>
      </c>
      <c r="D94" s="20">
        <f t="shared" si="0"/>
        <v>1.14E-2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.75" customHeight="1">
      <c r="A95" s="19"/>
      <c r="B95" s="281">
        <v>44441</v>
      </c>
      <c r="C95" s="276">
        <v>112</v>
      </c>
      <c r="D95" s="20">
        <f t="shared" si="0"/>
        <v>1.12E-2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.75" customHeight="1">
      <c r="A96" s="19"/>
      <c r="B96" s="280">
        <v>44410</v>
      </c>
      <c r="C96" s="279">
        <v>113</v>
      </c>
      <c r="D96" s="20">
        <f t="shared" si="0"/>
        <v>1.1299999999999999E-2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.75" customHeight="1">
      <c r="A97" s="19"/>
      <c r="B97" s="281">
        <v>44318</v>
      </c>
      <c r="C97" s="276">
        <v>112</v>
      </c>
      <c r="D97" s="20">
        <f t="shared" si="0"/>
        <v>1.12E-2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.75" customHeight="1">
      <c r="A98" s="19"/>
      <c r="B98" s="280">
        <v>44288</v>
      </c>
      <c r="C98" s="279">
        <v>115</v>
      </c>
      <c r="D98" s="20">
        <f t="shared" si="0"/>
        <v>1.15E-2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.75" customHeight="1">
      <c r="A99" s="19"/>
      <c r="B99" s="281">
        <v>44257</v>
      </c>
      <c r="C99" s="276">
        <v>110</v>
      </c>
      <c r="D99" s="20">
        <f t="shared" si="0"/>
        <v>1.0999999999999999E-2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.75" customHeight="1">
      <c r="A100" s="19"/>
      <c r="B100" s="280">
        <v>44229</v>
      </c>
      <c r="C100" s="279">
        <v>108</v>
      </c>
      <c r="D100" s="20">
        <f t="shared" si="0"/>
        <v>1.0800000000000001E-2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.75" customHeight="1">
      <c r="A101" s="19"/>
      <c r="B101" s="281">
        <v>44198</v>
      </c>
      <c r="C101" s="276">
        <v>109</v>
      </c>
      <c r="D101" s="20">
        <f t="shared" si="0"/>
        <v>1.09E-2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.75" customHeight="1">
      <c r="A102" s="19"/>
      <c r="B102" s="278" t="s">
        <v>955</v>
      </c>
      <c r="C102" s="279">
        <v>105</v>
      </c>
      <c r="D102" s="20">
        <f t="shared" si="0"/>
        <v>1.0500000000000001E-2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.75" customHeight="1">
      <c r="A103" s="19"/>
      <c r="B103" s="275" t="s">
        <v>956</v>
      </c>
      <c r="C103" s="276">
        <v>109</v>
      </c>
      <c r="D103" s="20">
        <f t="shared" si="0"/>
        <v>1.09E-2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.75" customHeight="1">
      <c r="A104" s="19"/>
      <c r="B104" s="278" t="s">
        <v>957</v>
      </c>
      <c r="C104" s="279">
        <v>111</v>
      </c>
      <c r="D104" s="20">
        <f t="shared" si="0"/>
        <v>1.11E-2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.75" customHeight="1">
      <c r="A105" s="19"/>
      <c r="B105" s="275" t="s">
        <v>958</v>
      </c>
      <c r="C105" s="276">
        <v>109</v>
      </c>
      <c r="D105" s="20">
        <f t="shared" si="0"/>
        <v>1.09E-2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.75" customHeight="1">
      <c r="A106" s="19"/>
      <c r="B106" s="278" t="s">
        <v>959</v>
      </c>
      <c r="C106" s="279">
        <v>110</v>
      </c>
      <c r="D106" s="20">
        <f t="shared" si="0"/>
        <v>1.0999999999999999E-2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.75" customHeight="1">
      <c r="A107" s="19"/>
      <c r="B107" s="275" t="s">
        <v>960</v>
      </c>
      <c r="C107" s="276">
        <v>109</v>
      </c>
      <c r="D107" s="20">
        <f t="shared" si="0"/>
        <v>1.09E-2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.75" customHeight="1">
      <c r="A108" s="19"/>
      <c r="B108" s="278" t="s">
        <v>961</v>
      </c>
      <c r="C108" s="279">
        <v>110</v>
      </c>
      <c r="D108" s="20">
        <f t="shared" si="0"/>
        <v>1.0999999999999999E-2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.75" customHeight="1">
      <c r="A109" s="19"/>
      <c r="B109" s="275" t="s">
        <v>962</v>
      </c>
      <c r="C109" s="276">
        <v>112</v>
      </c>
      <c r="D109" s="20">
        <f t="shared" si="0"/>
        <v>1.12E-2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.75" customHeight="1">
      <c r="A110" s="19"/>
      <c r="B110" s="278" t="s">
        <v>963</v>
      </c>
      <c r="C110" s="279">
        <v>112</v>
      </c>
      <c r="D110" s="20">
        <f t="shared" si="0"/>
        <v>1.12E-2</v>
      </c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.75" customHeight="1">
      <c r="A111" s="19"/>
      <c r="B111" s="275" t="s">
        <v>964</v>
      </c>
      <c r="C111" s="276">
        <v>112</v>
      </c>
      <c r="D111" s="20">
        <f t="shared" si="0"/>
        <v>1.12E-2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.75" customHeight="1">
      <c r="A112" s="19"/>
      <c r="B112" s="278" t="s">
        <v>965</v>
      </c>
      <c r="C112" s="279">
        <v>112</v>
      </c>
      <c r="D112" s="20">
        <f t="shared" si="0"/>
        <v>1.12E-2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.75" customHeight="1">
      <c r="A113" s="19"/>
      <c r="B113" s="275" t="s">
        <v>966</v>
      </c>
      <c r="C113" s="276">
        <v>110</v>
      </c>
      <c r="D113" s="20">
        <f t="shared" si="0"/>
        <v>1.0999999999999999E-2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.75" customHeight="1">
      <c r="A114" s="19"/>
      <c r="B114" s="278" t="s">
        <v>967</v>
      </c>
      <c r="C114" s="279">
        <v>112</v>
      </c>
      <c r="D114" s="20">
        <f t="shared" si="0"/>
        <v>1.12E-2</v>
      </c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.75" customHeight="1">
      <c r="A115" s="19"/>
      <c r="B115" s="281">
        <v>44531</v>
      </c>
      <c r="C115" s="276">
        <v>115</v>
      </c>
      <c r="D115" s="20">
        <f t="shared" si="0"/>
        <v>1.15E-2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.75" customHeight="1">
      <c r="A116" s="19"/>
      <c r="B116" s="280">
        <v>44501</v>
      </c>
      <c r="C116" s="279">
        <v>107</v>
      </c>
      <c r="D116" s="20">
        <f t="shared" si="0"/>
        <v>1.0699999999999999E-2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.75" customHeight="1">
      <c r="A117" s="19"/>
      <c r="B117" s="281">
        <v>44409</v>
      </c>
      <c r="C117" s="276">
        <v>102</v>
      </c>
      <c r="D117" s="20">
        <f t="shared" si="0"/>
        <v>1.0200000000000001E-2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.75" customHeight="1">
      <c r="A118" s="19"/>
      <c r="B118" s="280">
        <v>44378</v>
      </c>
      <c r="C118" s="279">
        <v>105</v>
      </c>
      <c r="D118" s="20">
        <f t="shared" si="0"/>
        <v>1.0500000000000001E-2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.75" customHeight="1">
      <c r="A119" s="19"/>
      <c r="B119" s="281">
        <v>44348</v>
      </c>
      <c r="C119" s="276">
        <v>105</v>
      </c>
      <c r="D119" s="20">
        <f t="shared" si="0"/>
        <v>1.0500000000000001E-2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.75" customHeight="1">
      <c r="A120" s="19"/>
      <c r="B120" s="280">
        <v>44317</v>
      </c>
      <c r="C120" s="279">
        <v>107</v>
      </c>
      <c r="D120" s="20">
        <f t="shared" si="0"/>
        <v>1.0699999999999999E-2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.75" customHeight="1">
      <c r="A121" s="19"/>
      <c r="B121" s="281">
        <v>44287</v>
      </c>
      <c r="C121" s="276">
        <v>108</v>
      </c>
      <c r="D121" s="20">
        <f t="shared" si="0"/>
        <v>1.0800000000000001E-2</v>
      </c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.75" customHeight="1">
      <c r="A122" s="19"/>
      <c r="B122" s="274"/>
      <c r="C122" s="3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.75" customHeight="1">
      <c r="A123" s="19"/>
      <c r="B123" s="274"/>
      <c r="C123" s="3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.75" customHeight="1">
      <c r="A124" s="19"/>
      <c r="B124" s="274"/>
      <c r="C124" s="3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.75" customHeight="1">
      <c r="A125" s="19"/>
      <c r="B125" s="274"/>
      <c r="C125" s="3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.75" customHeight="1">
      <c r="A126" s="19"/>
      <c r="B126" s="274"/>
      <c r="C126" s="3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.75" customHeight="1">
      <c r="A127" s="19"/>
      <c r="B127" s="274"/>
      <c r="C127" s="3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.75" customHeight="1">
      <c r="A128" s="19"/>
      <c r="B128" s="274"/>
      <c r="C128" s="3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.75" customHeight="1">
      <c r="A129" s="19"/>
      <c r="B129" s="274"/>
      <c r="C129" s="3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.75" customHeight="1">
      <c r="A130" s="19"/>
      <c r="B130" s="274"/>
      <c r="C130" s="3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.75" customHeight="1">
      <c r="A131" s="19"/>
      <c r="B131" s="274"/>
      <c r="C131" s="3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.75" customHeight="1">
      <c r="A132" s="19"/>
      <c r="B132" s="274"/>
      <c r="C132" s="3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.75" customHeight="1">
      <c r="A133" s="19"/>
      <c r="B133" s="274"/>
      <c r="C133" s="3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.75" customHeight="1">
      <c r="A134" s="19"/>
      <c r="B134" s="274"/>
      <c r="C134" s="3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.75" customHeight="1">
      <c r="A135" s="19"/>
      <c r="B135" s="274"/>
      <c r="C135" s="3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.75" customHeight="1">
      <c r="A136" s="19"/>
      <c r="B136" s="274"/>
      <c r="C136" s="3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.75" customHeight="1">
      <c r="A137" s="19"/>
      <c r="B137" s="274"/>
      <c r="C137" s="3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.75" customHeight="1">
      <c r="A138" s="19"/>
      <c r="B138" s="274"/>
      <c r="C138" s="3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.75" customHeight="1">
      <c r="A139" s="19"/>
      <c r="B139" s="274"/>
      <c r="C139" s="3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.75" customHeight="1">
      <c r="A140" s="19"/>
      <c r="B140" s="274"/>
      <c r="C140" s="3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.75" customHeight="1">
      <c r="A141" s="19"/>
      <c r="B141" s="274"/>
      <c r="C141" s="3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.75" customHeight="1">
      <c r="A142" s="19"/>
      <c r="B142" s="274"/>
      <c r="C142" s="3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.75" customHeight="1">
      <c r="A143" s="19"/>
      <c r="B143" s="274"/>
      <c r="C143" s="3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.75" customHeight="1">
      <c r="A144" s="19"/>
      <c r="B144" s="274"/>
      <c r="C144" s="3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.75" customHeight="1">
      <c r="A145" s="19"/>
      <c r="B145" s="274"/>
      <c r="C145" s="3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.75" customHeight="1">
      <c r="A146" s="19"/>
      <c r="B146" s="274"/>
      <c r="C146" s="3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.75" customHeight="1">
      <c r="A147" s="19"/>
      <c r="B147" s="274"/>
      <c r="C147" s="3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.75" customHeight="1">
      <c r="A148" s="19"/>
      <c r="B148" s="274"/>
      <c r="C148" s="3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.75" customHeight="1">
      <c r="A149" s="19"/>
      <c r="B149" s="274"/>
      <c r="C149" s="3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.75" customHeight="1">
      <c r="A150" s="19"/>
      <c r="B150" s="274"/>
      <c r="C150" s="3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.75" customHeight="1">
      <c r="A151" s="19"/>
      <c r="B151" s="274"/>
      <c r="C151" s="3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.75" customHeight="1">
      <c r="A152" s="19"/>
      <c r="B152" s="274"/>
      <c r="C152" s="3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.75" customHeight="1">
      <c r="A153" s="19"/>
      <c r="B153" s="274"/>
      <c r="C153" s="3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.75" customHeight="1">
      <c r="A154" s="19"/>
      <c r="B154" s="274"/>
      <c r="C154" s="3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.75" customHeight="1">
      <c r="A155" s="19"/>
      <c r="B155" s="274"/>
      <c r="C155" s="3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.75" customHeight="1">
      <c r="A156" s="19"/>
      <c r="B156" s="274"/>
      <c r="C156" s="3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.75" customHeight="1">
      <c r="A157" s="19"/>
      <c r="B157" s="274"/>
      <c r="C157" s="3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.75" customHeight="1">
      <c r="A158" s="19"/>
      <c r="B158" s="274"/>
      <c r="C158" s="3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.75" customHeight="1">
      <c r="A159" s="19"/>
      <c r="B159" s="274"/>
      <c r="C159" s="3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.75" customHeight="1">
      <c r="A160" s="19"/>
      <c r="B160" s="274"/>
      <c r="C160" s="3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.75" customHeight="1">
      <c r="A161" s="19"/>
      <c r="B161" s="274"/>
      <c r="C161" s="3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.75" customHeight="1">
      <c r="A162" s="19"/>
      <c r="B162" s="274"/>
      <c r="C162" s="3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.75" customHeight="1">
      <c r="A163" s="19"/>
      <c r="B163" s="274"/>
      <c r="C163" s="3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.75" customHeight="1">
      <c r="A164" s="19"/>
      <c r="B164" s="274"/>
      <c r="C164" s="3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.75" customHeight="1">
      <c r="A165" s="19"/>
      <c r="B165" s="274"/>
      <c r="C165" s="3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.75" customHeight="1">
      <c r="A166" s="19"/>
      <c r="B166" s="274"/>
      <c r="C166" s="3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.75" customHeight="1">
      <c r="A167" s="19"/>
      <c r="B167" s="274"/>
      <c r="C167" s="3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.75" customHeight="1">
      <c r="A168" s="19"/>
      <c r="B168" s="274"/>
      <c r="C168" s="3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.75" customHeight="1">
      <c r="A169" s="19"/>
      <c r="B169" s="274"/>
      <c r="C169" s="3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.75" customHeight="1">
      <c r="A170" s="19"/>
      <c r="B170" s="274"/>
      <c r="C170" s="3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.75" customHeight="1">
      <c r="A171" s="19"/>
      <c r="B171" s="274"/>
      <c r="C171" s="3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.75" customHeight="1">
      <c r="A172" s="19"/>
      <c r="B172" s="274"/>
      <c r="C172" s="3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.75" customHeight="1">
      <c r="A173" s="19"/>
      <c r="B173" s="274"/>
      <c r="C173" s="3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.75" customHeight="1">
      <c r="A174" s="19"/>
      <c r="B174" s="274"/>
      <c r="C174" s="3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.75" customHeight="1">
      <c r="A175" s="19"/>
      <c r="B175" s="274"/>
      <c r="C175" s="3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.75" customHeight="1">
      <c r="A176" s="19"/>
      <c r="B176" s="274"/>
      <c r="C176" s="3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.75" customHeight="1">
      <c r="A177" s="19"/>
      <c r="B177" s="274"/>
      <c r="C177" s="3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.75" customHeight="1">
      <c r="A178" s="19"/>
      <c r="B178" s="274"/>
      <c r="C178" s="3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.75" customHeight="1">
      <c r="A179" s="19"/>
      <c r="B179" s="274"/>
      <c r="C179" s="3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.75" customHeight="1">
      <c r="A180" s="19"/>
      <c r="B180" s="274"/>
      <c r="C180" s="3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.75" customHeight="1">
      <c r="A181" s="19"/>
      <c r="B181" s="274"/>
      <c r="C181" s="3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.75" customHeight="1">
      <c r="A182" s="19"/>
      <c r="B182" s="274"/>
      <c r="C182" s="3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>
      <c r="A183" s="19"/>
      <c r="B183" s="274"/>
      <c r="C183" s="3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>
      <c r="A184" s="19"/>
      <c r="B184" s="274"/>
      <c r="C184" s="3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>
      <c r="A185" s="19"/>
      <c r="B185" s="274"/>
      <c r="C185" s="3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>
      <c r="A186" s="19"/>
      <c r="B186" s="274"/>
      <c r="C186" s="3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>
      <c r="A187" s="19"/>
      <c r="B187" s="274"/>
      <c r="C187" s="3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>
      <c r="A188" s="19"/>
      <c r="B188" s="274"/>
      <c r="C188" s="3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>
      <c r="A189" s="19"/>
      <c r="B189" s="274"/>
      <c r="C189" s="3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>
      <c r="A190" s="19"/>
      <c r="B190" s="274"/>
      <c r="C190" s="3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>
      <c r="A191" s="19"/>
      <c r="B191" s="274"/>
      <c r="C191" s="3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>
      <c r="A192" s="19"/>
      <c r="B192" s="274"/>
      <c r="C192" s="3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>
      <c r="A193" s="19"/>
      <c r="B193" s="274"/>
      <c r="C193" s="3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>
      <c r="A194" s="19"/>
      <c r="B194" s="274"/>
      <c r="C194" s="3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>
      <c r="A195" s="19"/>
      <c r="B195" s="274"/>
      <c r="C195" s="3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>
      <c r="A196" s="19"/>
      <c r="B196" s="274"/>
      <c r="C196" s="3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>
      <c r="A197" s="19"/>
      <c r="B197" s="274"/>
      <c r="C197" s="3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>
      <c r="A198" s="19"/>
      <c r="B198" s="274"/>
      <c r="C198" s="3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>
      <c r="A199" s="19"/>
      <c r="B199" s="274"/>
      <c r="C199" s="3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>
      <c r="A200" s="19"/>
      <c r="B200" s="274"/>
      <c r="C200" s="3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>
      <c r="A201" s="19"/>
      <c r="B201" s="274"/>
      <c r="C201" s="3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>
      <c r="A202" s="19"/>
      <c r="B202" s="274"/>
      <c r="C202" s="3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>
      <c r="A203" s="19"/>
      <c r="B203" s="274"/>
      <c r="C203" s="3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>
      <c r="A204" s="19"/>
      <c r="B204" s="274"/>
      <c r="C204" s="3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>
      <c r="A205" s="19"/>
      <c r="B205" s="274"/>
      <c r="C205" s="3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>
      <c r="A206" s="19"/>
      <c r="B206" s="274"/>
      <c r="C206" s="3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>
      <c r="A207" s="19"/>
      <c r="B207" s="274"/>
      <c r="C207" s="3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>
      <c r="A208" s="19"/>
      <c r="B208" s="274"/>
      <c r="C208" s="3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>
      <c r="A209" s="19"/>
      <c r="B209" s="274"/>
      <c r="C209" s="3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>
      <c r="A210" s="19"/>
      <c r="B210" s="274"/>
      <c r="C210" s="3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>
      <c r="A211" s="19"/>
      <c r="B211" s="274"/>
      <c r="C211" s="3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>
      <c r="A212" s="19"/>
      <c r="B212" s="274"/>
      <c r="C212" s="3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>
      <c r="A213" s="19"/>
      <c r="B213" s="274"/>
      <c r="C213" s="3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>
      <c r="A214" s="19"/>
      <c r="B214" s="274"/>
      <c r="C214" s="3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>
      <c r="A215" s="19"/>
      <c r="B215" s="274"/>
      <c r="C215" s="3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>
      <c r="A216" s="19"/>
      <c r="B216" s="274"/>
      <c r="C216" s="3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>
      <c r="A217" s="19"/>
      <c r="B217" s="274"/>
      <c r="C217" s="3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>
      <c r="A218" s="19"/>
      <c r="B218" s="274"/>
      <c r="C218" s="3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>
      <c r="A219" s="19"/>
      <c r="B219" s="274"/>
      <c r="C219" s="3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>
      <c r="A220" s="19"/>
      <c r="B220" s="274"/>
      <c r="C220" s="3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>
      <c r="A221" s="19"/>
      <c r="B221" s="274"/>
      <c r="C221" s="3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274"/>
      <c r="C222" s="3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274"/>
      <c r="C223" s="3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274"/>
      <c r="C224" s="3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274"/>
      <c r="C225" s="3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274"/>
      <c r="C226" s="3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274"/>
      <c r="C227" s="3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274"/>
      <c r="C228" s="3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274"/>
      <c r="C229" s="3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274"/>
      <c r="C230" s="3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274"/>
      <c r="C231" s="3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274"/>
      <c r="C232" s="3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274"/>
      <c r="C233" s="3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274"/>
      <c r="C234" s="3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274"/>
      <c r="C235" s="3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274"/>
      <c r="C236" s="3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274"/>
      <c r="C237" s="3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274"/>
      <c r="C238" s="3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274"/>
      <c r="C239" s="3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274"/>
      <c r="C240" s="3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274"/>
      <c r="C241" s="3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274"/>
      <c r="C242" s="3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274"/>
      <c r="C243" s="3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274"/>
      <c r="C244" s="3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274"/>
      <c r="C245" s="3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274"/>
      <c r="C246" s="3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274"/>
      <c r="C247" s="3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274"/>
      <c r="C248" s="3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274"/>
      <c r="C249" s="3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274"/>
      <c r="C250" s="3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274"/>
      <c r="C251" s="3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274"/>
      <c r="C252" s="3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274"/>
      <c r="C253" s="3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274"/>
      <c r="C254" s="3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274"/>
      <c r="C255" s="3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274"/>
      <c r="C256" s="3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274"/>
      <c r="C257" s="3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274"/>
      <c r="C258" s="3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274"/>
      <c r="C259" s="3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274"/>
      <c r="C260" s="3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274"/>
      <c r="C261" s="3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274"/>
      <c r="C262" s="3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274"/>
      <c r="C263" s="3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274"/>
      <c r="C264" s="3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274"/>
      <c r="C265" s="3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274"/>
      <c r="C266" s="3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274"/>
      <c r="C267" s="3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274"/>
      <c r="C268" s="3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274"/>
      <c r="C269" s="3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274"/>
      <c r="C270" s="3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274"/>
      <c r="C271" s="3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274"/>
      <c r="C272" s="3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274"/>
      <c r="C273" s="3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274"/>
      <c r="C274" s="3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274"/>
      <c r="C275" s="3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274"/>
      <c r="C276" s="3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274"/>
      <c r="C277" s="3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274"/>
      <c r="C278" s="3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274"/>
      <c r="C279" s="3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274"/>
      <c r="C280" s="3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274"/>
      <c r="C281" s="3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274"/>
      <c r="C282" s="3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274"/>
      <c r="C283" s="3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274"/>
      <c r="C284" s="3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274"/>
      <c r="C285" s="3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274"/>
      <c r="C286" s="3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274"/>
      <c r="C287" s="3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274"/>
      <c r="C288" s="3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274"/>
      <c r="C289" s="3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274"/>
      <c r="C290" s="3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274"/>
      <c r="C291" s="3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274"/>
      <c r="C292" s="3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274"/>
      <c r="C293" s="3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274"/>
      <c r="C294" s="3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274"/>
      <c r="C295" s="3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274"/>
      <c r="C296" s="3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274"/>
      <c r="C297" s="3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274"/>
      <c r="C298" s="3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274"/>
      <c r="C299" s="3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274"/>
      <c r="C300" s="3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274"/>
      <c r="C301" s="3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274"/>
      <c r="C302" s="3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274"/>
      <c r="C303" s="3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274"/>
      <c r="C304" s="3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274"/>
      <c r="C305" s="3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274"/>
      <c r="C306" s="3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274"/>
      <c r="C307" s="3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274"/>
      <c r="C308" s="3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274"/>
      <c r="C309" s="3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274"/>
      <c r="C310" s="3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274"/>
      <c r="C311" s="3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274"/>
      <c r="C312" s="3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274"/>
      <c r="C313" s="3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274"/>
      <c r="C314" s="3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274"/>
      <c r="C315" s="3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274"/>
      <c r="C316" s="3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274"/>
      <c r="C317" s="3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274"/>
      <c r="C318" s="3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274"/>
      <c r="C319" s="3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274"/>
      <c r="C320" s="3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274"/>
      <c r="C321" s="3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274"/>
      <c r="C322" s="3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274"/>
      <c r="C323" s="3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274"/>
      <c r="C324" s="3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274"/>
      <c r="C325" s="3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274"/>
      <c r="C326" s="3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274"/>
      <c r="C327" s="3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274"/>
      <c r="C328" s="3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274"/>
      <c r="C329" s="3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274"/>
      <c r="C330" s="3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274"/>
      <c r="C331" s="3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274"/>
      <c r="C332" s="3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274"/>
      <c r="C333" s="3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274"/>
      <c r="C334" s="3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274"/>
      <c r="C335" s="3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274"/>
      <c r="C336" s="3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274"/>
      <c r="C337" s="3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274"/>
      <c r="C338" s="3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274"/>
      <c r="C339" s="3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274"/>
      <c r="C340" s="3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274"/>
      <c r="C341" s="3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274"/>
      <c r="C342" s="3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274"/>
      <c r="C343" s="3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274"/>
      <c r="C344" s="3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274"/>
      <c r="C345" s="3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274"/>
      <c r="C346" s="3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274"/>
      <c r="C347" s="3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274"/>
      <c r="C348" s="3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274"/>
      <c r="C349" s="3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274"/>
      <c r="C350" s="3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274"/>
      <c r="C351" s="3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274"/>
      <c r="C352" s="3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274"/>
      <c r="C353" s="3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274"/>
      <c r="C354" s="3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274"/>
      <c r="C355" s="3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274"/>
      <c r="C356" s="3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274"/>
      <c r="C357" s="3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274"/>
      <c r="C358" s="3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274"/>
      <c r="C359" s="3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274"/>
      <c r="C360" s="3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274"/>
      <c r="C361" s="3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274"/>
      <c r="C362" s="3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274"/>
      <c r="C363" s="3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274"/>
      <c r="C364" s="3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274"/>
      <c r="C365" s="3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274"/>
      <c r="C366" s="3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274"/>
      <c r="C367" s="3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274"/>
      <c r="C368" s="3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274"/>
      <c r="C369" s="3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274"/>
      <c r="C370" s="3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274"/>
      <c r="C371" s="3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274"/>
      <c r="C372" s="3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274"/>
      <c r="C373" s="3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274"/>
      <c r="C374" s="3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274"/>
      <c r="C375" s="3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274"/>
      <c r="C376" s="3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274"/>
      <c r="C377" s="3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274"/>
      <c r="C378" s="3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274"/>
      <c r="C379" s="3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274"/>
      <c r="C380" s="3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274"/>
      <c r="C381" s="3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274"/>
      <c r="C382" s="3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274"/>
      <c r="C383" s="3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274"/>
      <c r="C384" s="3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274"/>
      <c r="C385" s="3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274"/>
      <c r="C386" s="3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274"/>
      <c r="C387" s="3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274"/>
      <c r="C388" s="3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274"/>
      <c r="C389" s="3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274"/>
      <c r="C390" s="3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274"/>
      <c r="C391" s="3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274"/>
      <c r="C392" s="3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274"/>
      <c r="C393" s="3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274"/>
      <c r="C394" s="3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274"/>
      <c r="C395" s="3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274"/>
      <c r="C396" s="3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274"/>
      <c r="C397" s="3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274"/>
      <c r="C398" s="3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274"/>
      <c r="C399" s="3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274"/>
      <c r="C400" s="3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274"/>
      <c r="C401" s="3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274"/>
      <c r="C402" s="3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274"/>
      <c r="C403" s="3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274"/>
      <c r="C404" s="3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274"/>
      <c r="C405" s="3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274"/>
      <c r="C406" s="3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274"/>
      <c r="C407" s="3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274"/>
      <c r="C408" s="3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274"/>
      <c r="C409" s="3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274"/>
      <c r="C410" s="3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274"/>
      <c r="C411" s="3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274"/>
      <c r="C412" s="3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274"/>
      <c r="C413" s="3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274"/>
      <c r="C414" s="3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274"/>
      <c r="C415" s="3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274"/>
      <c r="C416" s="3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274"/>
      <c r="C417" s="3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274"/>
      <c r="C418" s="3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274"/>
      <c r="C419" s="3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274"/>
      <c r="C420" s="3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274"/>
      <c r="C421" s="3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274"/>
      <c r="C422" s="3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274"/>
      <c r="C423" s="3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274"/>
      <c r="C424" s="3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274"/>
      <c r="C425" s="3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274"/>
      <c r="C426" s="3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274"/>
      <c r="C427" s="3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274"/>
      <c r="C428" s="3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274"/>
      <c r="C429" s="3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274"/>
      <c r="C430" s="3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274"/>
      <c r="C431" s="3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274"/>
      <c r="C432" s="3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274"/>
      <c r="C433" s="3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274"/>
      <c r="C434" s="3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274"/>
      <c r="C435" s="3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274"/>
      <c r="C436" s="3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274"/>
      <c r="C437" s="3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274"/>
      <c r="C438" s="3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274"/>
      <c r="C439" s="3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274"/>
      <c r="C440" s="3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274"/>
      <c r="C441" s="3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274"/>
      <c r="C442" s="3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274"/>
      <c r="C443" s="3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274"/>
      <c r="C444" s="3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274"/>
      <c r="C445" s="3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274"/>
      <c r="C446" s="3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274"/>
      <c r="C447" s="3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274"/>
      <c r="C448" s="3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274"/>
      <c r="C449" s="3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274"/>
      <c r="C450" s="3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274"/>
      <c r="C451" s="3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274"/>
      <c r="C452" s="3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274"/>
      <c r="C453" s="3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274"/>
      <c r="C454" s="3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274"/>
      <c r="C455" s="3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274"/>
      <c r="C456" s="3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274"/>
      <c r="C457" s="3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274"/>
      <c r="C458" s="3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274"/>
      <c r="C459" s="3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274"/>
      <c r="C460" s="3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274"/>
      <c r="C461" s="3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274"/>
      <c r="C462" s="3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274"/>
      <c r="C463" s="3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274"/>
      <c r="C464" s="3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274"/>
      <c r="C465" s="3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274"/>
      <c r="C466" s="3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274"/>
      <c r="C467" s="3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274"/>
      <c r="C468" s="3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274"/>
      <c r="C469" s="3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274"/>
      <c r="C470" s="3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274"/>
      <c r="C471" s="3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274"/>
      <c r="C472" s="3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274"/>
      <c r="C473" s="3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274"/>
      <c r="C474" s="3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274"/>
      <c r="C475" s="3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274"/>
      <c r="C476" s="3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274"/>
      <c r="C477" s="3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274"/>
      <c r="C478" s="3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274"/>
      <c r="C479" s="3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274"/>
      <c r="C480" s="3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274"/>
      <c r="C481" s="3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274"/>
      <c r="C482" s="3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274"/>
      <c r="C483" s="3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274"/>
      <c r="C484" s="3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274"/>
      <c r="C485" s="3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274"/>
      <c r="C486" s="3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274"/>
      <c r="C487" s="3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274"/>
      <c r="C488" s="3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274"/>
      <c r="C489" s="3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274"/>
      <c r="C490" s="3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274"/>
      <c r="C491" s="3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274"/>
      <c r="C492" s="3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274"/>
      <c r="C493" s="3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274"/>
      <c r="C494" s="3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274"/>
      <c r="C495" s="3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274"/>
      <c r="C496" s="3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274"/>
      <c r="C497" s="3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274"/>
      <c r="C498" s="3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274"/>
      <c r="C499" s="3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274"/>
      <c r="C500" s="3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274"/>
      <c r="C501" s="3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274"/>
      <c r="C502" s="3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274"/>
      <c r="C503" s="3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274"/>
      <c r="C504" s="3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274"/>
      <c r="C505" s="3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274"/>
      <c r="C506" s="3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274"/>
      <c r="C507" s="3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274"/>
      <c r="C508" s="3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274"/>
      <c r="C509" s="3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274"/>
      <c r="C510" s="3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274"/>
      <c r="C511" s="3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274"/>
      <c r="C512" s="3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274"/>
      <c r="C513" s="3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274"/>
      <c r="C514" s="3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274"/>
      <c r="C515" s="3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274"/>
      <c r="C516" s="3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274"/>
      <c r="C517" s="3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274"/>
      <c r="C518" s="3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274"/>
      <c r="C519" s="3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274"/>
      <c r="C520" s="3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274"/>
      <c r="C521" s="3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274"/>
      <c r="C522" s="3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274"/>
      <c r="C523" s="3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274"/>
      <c r="C524" s="3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274"/>
      <c r="C525" s="3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274"/>
      <c r="C526" s="3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274"/>
      <c r="C527" s="3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274"/>
      <c r="C528" s="3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274"/>
      <c r="C529" s="3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274"/>
      <c r="C530" s="3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274"/>
      <c r="C531" s="3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274"/>
      <c r="C532" s="3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274"/>
      <c r="C533" s="3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274"/>
      <c r="C534" s="3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274"/>
      <c r="C535" s="3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274"/>
      <c r="C536" s="3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274"/>
      <c r="C537" s="3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274"/>
      <c r="C538" s="3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274"/>
      <c r="C539" s="3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274"/>
      <c r="C540" s="3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274"/>
      <c r="C541" s="3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274"/>
      <c r="C542" s="3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274"/>
      <c r="C543" s="3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274"/>
      <c r="C544" s="3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274"/>
      <c r="C545" s="3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274"/>
      <c r="C546" s="3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274"/>
      <c r="C547" s="3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274"/>
      <c r="C548" s="3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274"/>
      <c r="C549" s="3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274"/>
      <c r="C550" s="3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274"/>
      <c r="C551" s="3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274"/>
      <c r="C552" s="3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274"/>
      <c r="C553" s="3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274"/>
      <c r="C554" s="3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274"/>
      <c r="C555" s="3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274"/>
      <c r="C556" s="3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274"/>
      <c r="C557" s="3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274"/>
      <c r="C558" s="3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274"/>
      <c r="C559" s="3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274"/>
      <c r="C560" s="3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274"/>
      <c r="C561" s="3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274"/>
      <c r="C562" s="3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274"/>
      <c r="C563" s="3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274"/>
      <c r="C564" s="3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274"/>
      <c r="C565" s="3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274"/>
      <c r="C566" s="3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274"/>
      <c r="C567" s="3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274"/>
      <c r="C568" s="3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274"/>
      <c r="C569" s="3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274"/>
      <c r="C570" s="3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274"/>
      <c r="C571" s="3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274"/>
      <c r="C572" s="3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274"/>
      <c r="C573" s="3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274"/>
      <c r="C574" s="3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274"/>
      <c r="C575" s="3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274"/>
      <c r="C576" s="3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274"/>
      <c r="C577" s="3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274"/>
      <c r="C578" s="3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274"/>
      <c r="C579" s="3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274"/>
      <c r="C580" s="3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274"/>
      <c r="C581" s="3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274"/>
      <c r="C582" s="3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274"/>
      <c r="C583" s="3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274"/>
      <c r="C584" s="3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274"/>
      <c r="C585" s="3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274"/>
      <c r="C586" s="3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274"/>
      <c r="C587" s="3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274"/>
      <c r="C588" s="3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274"/>
      <c r="C589" s="3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274"/>
      <c r="C590" s="3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274"/>
      <c r="C591" s="3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274"/>
      <c r="C592" s="3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274"/>
      <c r="C593" s="3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274"/>
      <c r="C594" s="3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274"/>
      <c r="C595" s="3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274"/>
      <c r="C596" s="3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274"/>
      <c r="C597" s="3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274"/>
      <c r="C598" s="3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274"/>
      <c r="C599" s="3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274"/>
      <c r="C600" s="3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274"/>
      <c r="C601" s="3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274"/>
      <c r="C602" s="3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274"/>
      <c r="C603" s="3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274"/>
      <c r="C604" s="3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274"/>
      <c r="C605" s="3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274"/>
      <c r="C606" s="3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274"/>
      <c r="C607" s="3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274"/>
      <c r="C608" s="3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274"/>
      <c r="C609" s="3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274"/>
      <c r="C610" s="3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274"/>
      <c r="C611" s="3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274"/>
      <c r="C612" s="3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274"/>
      <c r="C613" s="3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274"/>
      <c r="C614" s="3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274"/>
      <c r="C615" s="3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274"/>
      <c r="C616" s="3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274"/>
      <c r="C617" s="3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274"/>
      <c r="C618" s="3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274"/>
      <c r="C619" s="3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274"/>
      <c r="C620" s="3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274"/>
      <c r="C621" s="3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274"/>
      <c r="C622" s="3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274"/>
      <c r="C623" s="3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274"/>
      <c r="C624" s="3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274"/>
      <c r="C625" s="3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274"/>
      <c r="C626" s="3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274"/>
      <c r="C627" s="3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274"/>
      <c r="C628" s="3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274"/>
      <c r="C629" s="3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274"/>
      <c r="C630" s="3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274"/>
      <c r="C631" s="3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274"/>
      <c r="C632" s="3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274"/>
      <c r="C633" s="3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274"/>
      <c r="C634" s="3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274"/>
      <c r="C635" s="3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274"/>
      <c r="C636" s="3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274"/>
      <c r="C637" s="3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274"/>
      <c r="C638" s="3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274"/>
      <c r="C639" s="3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274"/>
      <c r="C640" s="3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274"/>
      <c r="C641" s="3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274"/>
      <c r="C642" s="3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274"/>
      <c r="C643" s="3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274"/>
      <c r="C644" s="3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274"/>
      <c r="C645" s="3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274"/>
      <c r="C646" s="3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274"/>
      <c r="C647" s="3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274"/>
      <c r="C648" s="3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274"/>
      <c r="C649" s="3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274"/>
      <c r="C650" s="3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274"/>
      <c r="C651" s="3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274"/>
      <c r="C652" s="3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274"/>
      <c r="C653" s="3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274"/>
      <c r="C654" s="3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274"/>
      <c r="C655" s="3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274"/>
      <c r="C656" s="3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274"/>
      <c r="C657" s="3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274"/>
      <c r="C658" s="3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274"/>
      <c r="C659" s="3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274"/>
      <c r="C660" s="3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274"/>
      <c r="C661" s="3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274"/>
      <c r="C662" s="3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274"/>
      <c r="C663" s="3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274"/>
      <c r="C664" s="3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274"/>
      <c r="C665" s="3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274"/>
      <c r="C666" s="3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274"/>
      <c r="C667" s="3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274"/>
      <c r="C668" s="3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274"/>
      <c r="C669" s="3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274"/>
      <c r="C670" s="3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274"/>
      <c r="C671" s="3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274"/>
      <c r="C672" s="3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274"/>
      <c r="C673" s="3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274"/>
      <c r="C674" s="3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274"/>
      <c r="C675" s="3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274"/>
      <c r="C676" s="3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274"/>
      <c r="C677" s="3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274"/>
      <c r="C678" s="3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274"/>
      <c r="C679" s="3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274"/>
      <c r="C680" s="3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274"/>
      <c r="C681" s="3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274"/>
      <c r="C682" s="3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274"/>
      <c r="C683" s="3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274"/>
      <c r="C684" s="3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274"/>
      <c r="C685" s="3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274"/>
      <c r="C686" s="3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274"/>
      <c r="C687" s="3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274"/>
      <c r="C688" s="3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274"/>
      <c r="C689" s="3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274"/>
      <c r="C690" s="3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274"/>
      <c r="C691" s="3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274"/>
      <c r="C692" s="3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274"/>
      <c r="C693" s="3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274"/>
      <c r="C694" s="3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274"/>
      <c r="C695" s="3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274"/>
      <c r="C696" s="3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274"/>
      <c r="C697" s="3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274"/>
      <c r="C698" s="3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274"/>
      <c r="C699" s="3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274"/>
      <c r="C700" s="3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274"/>
      <c r="C701" s="3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274"/>
      <c r="C702" s="3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274"/>
      <c r="C703" s="3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274"/>
      <c r="C704" s="3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274"/>
      <c r="C705" s="3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274"/>
      <c r="C706" s="3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274"/>
      <c r="C707" s="3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274"/>
      <c r="C708" s="3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274"/>
      <c r="C709" s="3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274"/>
      <c r="C710" s="3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274"/>
      <c r="C711" s="3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274"/>
      <c r="C712" s="3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274"/>
      <c r="C713" s="3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274"/>
      <c r="C714" s="3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274"/>
      <c r="C715" s="3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274"/>
      <c r="C716" s="3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274"/>
      <c r="C717" s="3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274"/>
      <c r="C718" s="3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274"/>
      <c r="C719" s="3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274"/>
      <c r="C720" s="3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274"/>
      <c r="C721" s="3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274"/>
      <c r="C722" s="3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274"/>
      <c r="C723" s="3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274"/>
      <c r="C724" s="3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274"/>
      <c r="C725" s="3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274"/>
      <c r="C726" s="3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274"/>
      <c r="C727" s="3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274"/>
      <c r="C728" s="3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274"/>
      <c r="C729" s="3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274"/>
      <c r="C730" s="3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274"/>
      <c r="C731" s="3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274"/>
      <c r="C732" s="3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274"/>
      <c r="C733" s="3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274"/>
      <c r="C734" s="3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274"/>
      <c r="C735" s="3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274"/>
      <c r="C736" s="3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274"/>
      <c r="C737" s="3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274"/>
      <c r="C738" s="3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274"/>
      <c r="C739" s="3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274"/>
      <c r="C740" s="3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274"/>
      <c r="C741" s="3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274"/>
      <c r="C742" s="3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274"/>
      <c r="C743" s="3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274"/>
      <c r="C744" s="3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274"/>
      <c r="C745" s="3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274"/>
      <c r="C746" s="3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274"/>
      <c r="C747" s="3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274"/>
      <c r="C748" s="3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274"/>
      <c r="C749" s="3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274"/>
      <c r="C750" s="3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274"/>
      <c r="C751" s="3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274"/>
      <c r="C752" s="3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274"/>
      <c r="C753" s="3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274"/>
      <c r="C754" s="3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274"/>
      <c r="C755" s="3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274"/>
      <c r="C756" s="3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274"/>
      <c r="C757" s="3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274"/>
      <c r="C758" s="3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274"/>
      <c r="C759" s="3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274"/>
      <c r="C760" s="3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274"/>
      <c r="C761" s="3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274"/>
      <c r="C762" s="3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274"/>
      <c r="C763" s="3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274"/>
      <c r="C764" s="3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274"/>
      <c r="C765" s="3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274"/>
      <c r="C766" s="3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274"/>
      <c r="C767" s="3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274"/>
      <c r="C768" s="3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274"/>
      <c r="C769" s="3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274"/>
      <c r="C770" s="3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274"/>
      <c r="C771" s="3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274"/>
      <c r="C772" s="3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274"/>
      <c r="C773" s="3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274"/>
      <c r="C774" s="3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274"/>
      <c r="C775" s="3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274"/>
      <c r="C776" s="3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274"/>
      <c r="C777" s="3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274"/>
      <c r="C778" s="3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274"/>
      <c r="C779" s="3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274"/>
      <c r="C780" s="3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274"/>
      <c r="C781" s="3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274"/>
      <c r="C782" s="3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274"/>
      <c r="C783" s="3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274"/>
      <c r="C784" s="3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274"/>
      <c r="C785" s="3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274"/>
      <c r="C786" s="3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274"/>
      <c r="C787" s="3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274"/>
      <c r="C788" s="3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274"/>
      <c r="C789" s="3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274"/>
      <c r="C790" s="3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274"/>
      <c r="C791" s="3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274"/>
      <c r="C792" s="3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274"/>
      <c r="C793" s="3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274"/>
      <c r="C794" s="3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274"/>
      <c r="C795" s="3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274"/>
      <c r="C796" s="3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274"/>
      <c r="C797" s="3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274"/>
      <c r="C798" s="3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274"/>
      <c r="C799" s="3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274"/>
      <c r="C800" s="3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274"/>
      <c r="C801" s="3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274"/>
      <c r="C802" s="3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274"/>
      <c r="C803" s="3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274"/>
      <c r="C804" s="3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274"/>
      <c r="C805" s="3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274"/>
      <c r="C806" s="3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274"/>
      <c r="C807" s="3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274"/>
      <c r="C808" s="3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274"/>
      <c r="C809" s="3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274"/>
      <c r="C810" s="3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274"/>
      <c r="C811" s="3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274"/>
      <c r="C812" s="3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274"/>
      <c r="C813" s="3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274"/>
      <c r="C814" s="3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274"/>
      <c r="C815" s="3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274"/>
      <c r="C816" s="3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274"/>
      <c r="C817" s="3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274"/>
      <c r="C818" s="3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274"/>
      <c r="C819" s="3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274"/>
      <c r="C820" s="3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274"/>
      <c r="C821" s="3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274"/>
      <c r="C822" s="3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274"/>
      <c r="C823" s="3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274"/>
      <c r="C824" s="3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274"/>
      <c r="C825" s="3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274"/>
      <c r="C826" s="3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274"/>
      <c r="C827" s="3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274"/>
      <c r="C828" s="3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274"/>
      <c r="C829" s="3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274"/>
      <c r="C830" s="3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274"/>
      <c r="C831" s="3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274"/>
      <c r="C832" s="3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274"/>
      <c r="C833" s="3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274"/>
      <c r="C834" s="3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274"/>
      <c r="C835" s="3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274"/>
      <c r="C836" s="3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274"/>
      <c r="C837" s="3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274"/>
      <c r="C838" s="3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274"/>
      <c r="C839" s="3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274"/>
      <c r="C840" s="3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274"/>
      <c r="C841" s="3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274"/>
      <c r="C842" s="3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274"/>
      <c r="C843" s="3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274"/>
      <c r="C844" s="3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274"/>
      <c r="C845" s="3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274"/>
      <c r="C846" s="3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274"/>
      <c r="C847" s="3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274"/>
      <c r="C848" s="3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274"/>
      <c r="C849" s="3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274"/>
      <c r="C850" s="3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.75" customHeight="1">
      <c r="A851" s="19"/>
      <c r="B851" s="274"/>
      <c r="C851" s="3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.75" customHeight="1">
      <c r="A852" s="19"/>
      <c r="B852" s="274"/>
      <c r="C852" s="3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.75" customHeight="1">
      <c r="A853" s="19"/>
      <c r="B853" s="274"/>
      <c r="C853" s="3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.75" customHeight="1">
      <c r="A854" s="19"/>
      <c r="B854" s="274"/>
      <c r="C854" s="3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.75" customHeight="1">
      <c r="A855" s="19"/>
      <c r="B855" s="274"/>
      <c r="C855" s="3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.75" customHeight="1">
      <c r="A856" s="19"/>
      <c r="B856" s="274"/>
      <c r="C856" s="3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.75" customHeight="1">
      <c r="A857" s="19"/>
      <c r="B857" s="274"/>
      <c r="C857" s="3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.75" customHeight="1">
      <c r="A858" s="19"/>
      <c r="B858" s="274"/>
      <c r="C858" s="3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.75" customHeight="1">
      <c r="A859" s="19"/>
      <c r="B859" s="274"/>
      <c r="C859" s="3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.75" customHeight="1">
      <c r="A860" s="19"/>
      <c r="B860" s="274"/>
      <c r="C860" s="3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.75" customHeight="1">
      <c r="A861" s="19"/>
      <c r="B861" s="274"/>
      <c r="C861" s="3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.75" customHeight="1">
      <c r="A862" s="19"/>
      <c r="B862" s="274"/>
      <c r="C862" s="3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.75" customHeight="1">
      <c r="A863" s="19"/>
      <c r="B863" s="274"/>
      <c r="C863" s="3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.75" customHeight="1">
      <c r="A864" s="19"/>
      <c r="B864" s="274"/>
      <c r="C864" s="3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.75" customHeight="1">
      <c r="A865" s="19"/>
      <c r="B865" s="274"/>
      <c r="C865" s="3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.75" customHeight="1">
      <c r="A866" s="19"/>
      <c r="B866" s="274"/>
      <c r="C866" s="3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.75" customHeight="1">
      <c r="A867" s="19"/>
      <c r="B867" s="274"/>
      <c r="C867" s="3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.75" customHeight="1">
      <c r="A868" s="19"/>
      <c r="B868" s="274"/>
      <c r="C868" s="3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.75" customHeight="1">
      <c r="A869" s="19"/>
      <c r="B869" s="274"/>
      <c r="C869" s="3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.75" customHeight="1">
      <c r="A870" s="19"/>
      <c r="B870" s="274"/>
      <c r="C870" s="3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.75" customHeight="1">
      <c r="A871" s="19"/>
      <c r="B871" s="274"/>
      <c r="C871" s="3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.75" customHeight="1">
      <c r="A872" s="19"/>
      <c r="B872" s="274"/>
      <c r="C872" s="3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.75" customHeight="1">
      <c r="A873" s="19"/>
      <c r="B873" s="274"/>
      <c r="C873" s="3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.75" customHeight="1">
      <c r="A874" s="19"/>
      <c r="B874" s="274"/>
      <c r="C874" s="3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.75" customHeight="1">
      <c r="A875" s="19"/>
      <c r="B875" s="274"/>
      <c r="C875" s="3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.75" customHeight="1">
      <c r="A876" s="19"/>
      <c r="B876" s="274"/>
      <c r="C876" s="3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.75" customHeight="1">
      <c r="A877" s="19"/>
      <c r="B877" s="274"/>
      <c r="C877" s="3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.75" customHeight="1">
      <c r="A878" s="19"/>
      <c r="B878" s="274"/>
      <c r="C878" s="3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.75" customHeight="1">
      <c r="A879" s="19"/>
      <c r="B879" s="274"/>
      <c r="C879" s="3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.75" customHeight="1">
      <c r="A880" s="19"/>
      <c r="B880" s="274"/>
      <c r="C880" s="3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.75" customHeight="1">
      <c r="A881" s="19"/>
      <c r="B881" s="274"/>
      <c r="C881" s="3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.75" customHeight="1">
      <c r="A882" s="19"/>
      <c r="B882" s="274"/>
      <c r="C882" s="3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.75" customHeight="1">
      <c r="A883" s="19"/>
      <c r="B883" s="274"/>
      <c r="C883" s="3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.75" customHeight="1">
      <c r="A884" s="19"/>
      <c r="B884" s="274"/>
      <c r="C884" s="3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.75" customHeight="1">
      <c r="A885" s="19"/>
      <c r="B885" s="274"/>
      <c r="C885" s="3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.75" customHeight="1">
      <c r="A886" s="19"/>
      <c r="B886" s="274"/>
      <c r="C886" s="3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.75" customHeight="1">
      <c r="A887" s="19"/>
      <c r="B887" s="274"/>
      <c r="C887" s="3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.75" customHeight="1">
      <c r="A888" s="19"/>
      <c r="B888" s="274"/>
      <c r="C888" s="3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.75" customHeight="1">
      <c r="A889" s="19"/>
      <c r="B889" s="274"/>
      <c r="C889" s="3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.75" customHeight="1">
      <c r="A890" s="19"/>
      <c r="B890" s="274"/>
      <c r="C890" s="3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.75" customHeight="1">
      <c r="A891" s="19"/>
      <c r="B891" s="274"/>
      <c r="C891" s="3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.75" customHeight="1">
      <c r="A892" s="19"/>
      <c r="B892" s="274"/>
      <c r="C892" s="3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.75" customHeight="1">
      <c r="A893" s="19"/>
      <c r="B893" s="274"/>
      <c r="C893" s="3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.75" customHeight="1">
      <c r="A894" s="19"/>
      <c r="B894" s="274"/>
      <c r="C894" s="3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.75" customHeight="1">
      <c r="A895" s="19"/>
      <c r="B895" s="274"/>
      <c r="C895" s="3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.75" customHeight="1">
      <c r="A896" s="19"/>
      <c r="B896" s="274"/>
      <c r="C896" s="3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.75" customHeight="1">
      <c r="A897" s="19"/>
      <c r="B897" s="274"/>
      <c r="C897" s="3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.75" customHeight="1">
      <c r="A898" s="19"/>
      <c r="B898" s="274"/>
      <c r="C898" s="3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.75" customHeight="1">
      <c r="A899" s="19"/>
      <c r="B899" s="274"/>
      <c r="C899" s="3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.75" customHeight="1">
      <c r="A900" s="19"/>
      <c r="B900" s="274"/>
      <c r="C900" s="3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.75" customHeight="1">
      <c r="A901" s="19"/>
      <c r="B901" s="274"/>
      <c r="C901" s="3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.75" customHeight="1">
      <c r="A902" s="19"/>
      <c r="B902" s="274"/>
      <c r="C902" s="3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.75" customHeight="1">
      <c r="A903" s="19"/>
      <c r="B903" s="274"/>
      <c r="C903" s="3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.75" customHeight="1">
      <c r="A904" s="19"/>
      <c r="B904" s="274"/>
      <c r="C904" s="3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.75" customHeight="1">
      <c r="A905" s="19"/>
      <c r="B905" s="274"/>
      <c r="C905" s="3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.75" customHeight="1">
      <c r="A906" s="19"/>
      <c r="B906" s="274"/>
      <c r="C906" s="3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.75" customHeight="1">
      <c r="A907" s="19"/>
      <c r="B907" s="274"/>
      <c r="C907" s="3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.75" customHeight="1">
      <c r="A908" s="19"/>
      <c r="B908" s="274"/>
      <c r="C908" s="3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.75" customHeight="1">
      <c r="A909" s="19"/>
      <c r="B909" s="274"/>
      <c r="C909" s="3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.75" customHeight="1">
      <c r="A910" s="19"/>
      <c r="B910" s="274"/>
      <c r="C910" s="3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.75" customHeight="1">
      <c r="A911" s="19"/>
      <c r="B911" s="274"/>
      <c r="C911" s="3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.75" customHeight="1">
      <c r="A912" s="19"/>
      <c r="B912" s="274"/>
      <c r="C912" s="3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.75" customHeight="1">
      <c r="A913" s="19"/>
      <c r="B913" s="274"/>
      <c r="C913" s="3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.75" customHeight="1">
      <c r="A914" s="19"/>
      <c r="B914" s="274"/>
      <c r="C914" s="3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.75" customHeight="1">
      <c r="A915" s="19"/>
      <c r="B915" s="274"/>
      <c r="C915" s="3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.75" customHeight="1">
      <c r="A916" s="19"/>
      <c r="B916" s="274"/>
      <c r="C916" s="3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.75" customHeight="1">
      <c r="A917" s="19"/>
      <c r="B917" s="274"/>
      <c r="C917" s="3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.75" customHeight="1">
      <c r="A918" s="19"/>
      <c r="B918" s="274"/>
      <c r="C918" s="3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.75" customHeight="1">
      <c r="A919" s="19"/>
      <c r="B919" s="274"/>
      <c r="C919" s="3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.75" customHeight="1">
      <c r="A920" s="19"/>
      <c r="B920" s="274"/>
      <c r="C920" s="3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.75" customHeight="1">
      <c r="A921" s="19"/>
      <c r="B921" s="274"/>
      <c r="C921" s="3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.75" customHeight="1">
      <c r="A922" s="19"/>
      <c r="B922" s="274"/>
      <c r="C922" s="3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.75" customHeight="1">
      <c r="A923" s="19"/>
      <c r="B923" s="274"/>
      <c r="C923" s="3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.75" customHeight="1">
      <c r="A924" s="19"/>
      <c r="B924" s="274"/>
      <c r="C924" s="3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.75" customHeight="1">
      <c r="A925" s="19"/>
      <c r="B925" s="274"/>
      <c r="C925" s="3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.75" customHeight="1">
      <c r="A926" s="19"/>
      <c r="B926" s="274"/>
      <c r="C926" s="3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.75" customHeight="1">
      <c r="A927" s="19"/>
      <c r="B927" s="274"/>
      <c r="C927" s="3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.75" customHeight="1">
      <c r="A928" s="19"/>
      <c r="B928" s="274"/>
      <c r="C928" s="3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.75" customHeight="1">
      <c r="A929" s="19"/>
      <c r="B929" s="274"/>
      <c r="C929" s="3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.75" customHeight="1">
      <c r="A930" s="19"/>
      <c r="B930" s="274"/>
      <c r="C930" s="3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.75" customHeight="1">
      <c r="A931" s="19"/>
      <c r="B931" s="274"/>
      <c r="C931" s="3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.75" customHeight="1">
      <c r="A932" s="19"/>
      <c r="B932" s="274"/>
      <c r="C932" s="3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.75" customHeight="1">
      <c r="A933" s="19"/>
      <c r="B933" s="274"/>
      <c r="C933" s="3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.75" customHeight="1">
      <c r="A934" s="19"/>
      <c r="B934" s="274"/>
      <c r="C934" s="3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.75" customHeight="1">
      <c r="A935" s="19"/>
      <c r="B935" s="274"/>
      <c r="C935" s="3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.75" customHeight="1">
      <c r="A936" s="19"/>
      <c r="B936" s="274"/>
      <c r="C936" s="3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.75" customHeight="1">
      <c r="A937" s="19"/>
      <c r="B937" s="274"/>
      <c r="C937" s="3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.75" customHeight="1">
      <c r="A938" s="19"/>
      <c r="B938" s="274"/>
      <c r="C938" s="3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.75" customHeight="1">
      <c r="A939" s="19"/>
      <c r="B939" s="274"/>
      <c r="C939" s="3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.75" customHeight="1">
      <c r="A940" s="19"/>
      <c r="B940" s="274"/>
      <c r="C940" s="3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.75" customHeight="1">
      <c r="A941" s="19"/>
      <c r="B941" s="274"/>
      <c r="C941" s="3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.75" customHeight="1">
      <c r="A942" s="19"/>
      <c r="B942" s="274"/>
      <c r="C942" s="3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.75" customHeight="1">
      <c r="A943" s="19"/>
      <c r="B943" s="274"/>
      <c r="C943" s="3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.75" customHeight="1">
      <c r="A944" s="19"/>
      <c r="B944" s="274"/>
      <c r="C944" s="3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.75" customHeight="1">
      <c r="A945" s="19"/>
      <c r="B945" s="274"/>
      <c r="C945" s="3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.75" customHeight="1">
      <c r="A946" s="19"/>
      <c r="B946" s="274"/>
      <c r="C946" s="3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.75" customHeight="1">
      <c r="A947" s="19"/>
      <c r="B947" s="274"/>
      <c r="C947" s="3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.75" customHeight="1">
      <c r="A948" s="19"/>
      <c r="B948" s="274"/>
      <c r="C948" s="3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.75" customHeight="1">
      <c r="A949" s="19"/>
      <c r="B949" s="274"/>
      <c r="C949" s="3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.75" customHeight="1">
      <c r="A950" s="19"/>
      <c r="B950" s="274"/>
      <c r="C950" s="3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.75" customHeight="1">
      <c r="A951" s="19"/>
      <c r="B951" s="274"/>
      <c r="C951" s="3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.75" customHeight="1">
      <c r="A952" s="19"/>
      <c r="B952" s="274"/>
      <c r="C952" s="3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.75" customHeight="1">
      <c r="A953" s="19"/>
      <c r="B953" s="274"/>
      <c r="C953" s="3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.75" customHeight="1">
      <c r="A954" s="19"/>
      <c r="B954" s="274"/>
      <c r="C954" s="3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.75" customHeight="1">
      <c r="A955" s="19"/>
      <c r="B955" s="274"/>
      <c r="C955" s="3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.75" customHeight="1">
      <c r="A956" s="19"/>
      <c r="B956" s="274"/>
      <c r="C956" s="3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.75" customHeight="1">
      <c r="A957" s="19"/>
      <c r="B957" s="274"/>
      <c r="C957" s="3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.75" customHeight="1">
      <c r="A958" s="19"/>
      <c r="B958" s="274"/>
      <c r="C958" s="3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.75" customHeight="1">
      <c r="A959" s="19"/>
      <c r="B959" s="274"/>
      <c r="C959" s="3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.75" customHeight="1">
      <c r="A960" s="19"/>
      <c r="B960" s="274"/>
      <c r="C960" s="3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.75" customHeight="1">
      <c r="A961" s="19"/>
      <c r="B961" s="274"/>
      <c r="C961" s="3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.75" customHeight="1">
      <c r="A962" s="19"/>
      <c r="B962" s="274"/>
      <c r="C962" s="3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.75" customHeight="1">
      <c r="A963" s="19"/>
      <c r="B963" s="274"/>
      <c r="C963" s="3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.75" customHeight="1">
      <c r="A964" s="19"/>
      <c r="B964" s="274"/>
      <c r="C964" s="3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.75" customHeight="1">
      <c r="A965" s="19"/>
      <c r="B965" s="274"/>
      <c r="C965" s="3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.75" customHeight="1">
      <c r="A966" s="19"/>
      <c r="B966" s="274"/>
      <c r="C966" s="3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.75" customHeight="1">
      <c r="A967" s="19"/>
      <c r="B967" s="274"/>
      <c r="C967" s="3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.75" customHeight="1">
      <c r="A968" s="19"/>
      <c r="B968" s="274"/>
      <c r="C968" s="3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.75" customHeight="1">
      <c r="A969" s="19"/>
      <c r="B969" s="274"/>
      <c r="C969" s="3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.75" customHeight="1">
      <c r="A970" s="19"/>
      <c r="B970" s="274"/>
      <c r="C970" s="3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.75" customHeight="1">
      <c r="A971" s="19"/>
      <c r="B971" s="274"/>
      <c r="C971" s="3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.75" customHeight="1">
      <c r="A972" s="19"/>
      <c r="B972" s="274"/>
      <c r="C972" s="3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.75" customHeight="1">
      <c r="A973" s="19"/>
      <c r="B973" s="274"/>
      <c r="C973" s="3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.75" customHeight="1">
      <c r="A974" s="19"/>
      <c r="B974" s="274"/>
      <c r="C974" s="3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.75" customHeight="1">
      <c r="A975" s="19"/>
      <c r="B975" s="274"/>
      <c r="C975" s="3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.75" customHeight="1">
      <c r="A976" s="19"/>
      <c r="B976" s="274"/>
      <c r="C976" s="3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.75" customHeight="1">
      <c r="A977" s="19"/>
      <c r="B977" s="274"/>
      <c r="C977" s="3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.75" customHeight="1">
      <c r="A978" s="19"/>
      <c r="B978" s="274"/>
      <c r="C978" s="3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.75" customHeight="1">
      <c r="A979" s="19"/>
      <c r="B979" s="274"/>
      <c r="C979" s="3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.75" customHeight="1">
      <c r="A980" s="19"/>
      <c r="B980" s="274"/>
      <c r="C980" s="3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.75" customHeight="1">
      <c r="A981" s="19"/>
      <c r="B981" s="274"/>
      <c r="C981" s="3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.75" customHeight="1">
      <c r="A982" s="19"/>
      <c r="B982" s="274"/>
      <c r="C982" s="3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.75" customHeight="1">
      <c r="A983" s="19"/>
      <c r="B983" s="274"/>
      <c r="C983" s="3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.75" customHeight="1">
      <c r="A984" s="19"/>
      <c r="B984" s="274"/>
      <c r="C984" s="3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.75" customHeight="1">
      <c r="A985" s="19"/>
      <c r="B985" s="274"/>
      <c r="C985" s="3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.75" customHeight="1">
      <c r="A986" s="19"/>
      <c r="B986" s="274"/>
      <c r="C986" s="3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.75" customHeight="1">
      <c r="A987" s="19"/>
      <c r="B987" s="274"/>
      <c r="C987" s="3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.75" customHeight="1">
      <c r="A988" s="19"/>
      <c r="B988" s="274"/>
      <c r="C988" s="3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.75" customHeight="1">
      <c r="A989" s="19"/>
      <c r="B989" s="274"/>
      <c r="C989" s="3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.75" customHeight="1">
      <c r="A990" s="19"/>
      <c r="B990" s="274"/>
      <c r="C990" s="3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.75" customHeight="1">
      <c r="A991" s="19"/>
      <c r="B991" s="274"/>
      <c r="C991" s="3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.75" customHeight="1">
      <c r="A992" s="19"/>
      <c r="B992" s="274"/>
      <c r="C992" s="3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.75" customHeight="1">
      <c r="A993" s="19"/>
      <c r="B993" s="274"/>
      <c r="C993" s="3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.75" customHeight="1">
      <c r="A994" s="19"/>
      <c r="B994" s="274"/>
      <c r="C994" s="3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.75" customHeight="1">
      <c r="A995" s="19"/>
      <c r="B995" s="274"/>
      <c r="C995" s="3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.75" customHeight="1">
      <c r="A996" s="19"/>
      <c r="B996" s="274"/>
      <c r="C996" s="3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.75" customHeight="1">
      <c r="A997" s="19"/>
      <c r="B997" s="274"/>
      <c r="C997" s="3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.75" customHeight="1">
      <c r="A998" s="19"/>
      <c r="B998" s="274"/>
      <c r="C998" s="3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.75" customHeight="1">
      <c r="A999" s="19"/>
      <c r="B999" s="274"/>
      <c r="C999" s="3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.75" customHeight="1">
      <c r="A1000" s="19"/>
      <c r="B1000" s="274"/>
      <c r="C1000" s="3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1">
    <mergeCell ref="B2:D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4A9B82"/>
  </sheetPr>
  <dimension ref="A1:Z1000"/>
  <sheetViews>
    <sheetView showGridLines="0" workbookViewId="0">
      <selection activeCell="H36" sqref="H36"/>
    </sheetView>
  </sheetViews>
  <sheetFormatPr baseColWidth="10" defaultColWidth="12.625" defaultRowHeight="15" customHeight="1"/>
  <cols>
    <col min="1" max="1" width="3.125" customWidth="1"/>
    <col min="2" max="2" width="20.75" customWidth="1"/>
    <col min="3" max="7" width="14.625" customWidth="1"/>
    <col min="8" max="9" width="12.875" customWidth="1"/>
    <col min="10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idden="1">
      <c r="A2" s="1"/>
      <c r="B2" s="435" t="s">
        <v>968</v>
      </c>
      <c r="C2" s="436"/>
      <c r="D2" s="436"/>
      <c r="E2" s="436"/>
      <c r="F2" s="43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idden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idden="1">
      <c r="A4" s="1"/>
      <c r="B4" s="3" t="s">
        <v>969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idden="1">
      <c r="A5" s="1"/>
      <c r="B5" s="1" t="s">
        <v>970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idden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idden="1">
      <c r="A7" s="1"/>
      <c r="B7" s="51" t="s">
        <v>971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idden="1">
      <c r="A8" s="1"/>
      <c r="B8" s="117" t="s">
        <v>972</v>
      </c>
      <c r="C8" s="20" t="s">
        <v>1363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idden="1">
      <c r="A9" s="1"/>
      <c r="B9" s="117" t="s">
        <v>973</v>
      </c>
      <c r="C9" s="40" t="s">
        <v>1363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idden="1">
      <c r="A10" s="1"/>
      <c r="B10" s="117" t="s">
        <v>974</v>
      </c>
      <c r="C10" s="20" t="s">
        <v>1363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idden="1">
      <c r="A11" s="1"/>
      <c r="B11" s="282" t="s">
        <v>975</v>
      </c>
      <c r="C11" s="283" t="e">
        <f>C8+C9*C10</f>
        <v>#VALUE!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idden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idden="1">
      <c r="A13" s="1"/>
      <c r="B13" s="3" t="s">
        <v>976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idden="1">
      <c r="A14" s="1"/>
      <c r="B14" s="1" t="s">
        <v>977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idden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idden="1">
      <c r="A16" s="1"/>
      <c r="B16" s="51" t="s">
        <v>971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idden="1">
      <c r="A17" s="1"/>
      <c r="B17" s="117" t="s">
        <v>972</v>
      </c>
      <c r="C17" s="20" t="str">
        <f>C8</f>
        <v>#REF!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idden="1">
      <c r="A18" s="1"/>
      <c r="B18" s="117" t="s">
        <v>978</v>
      </c>
      <c r="C18" s="40" t="s">
        <v>1363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idden="1">
      <c r="A19" s="1"/>
      <c r="B19" s="117" t="s">
        <v>974</v>
      </c>
      <c r="C19" s="20" t="str">
        <f>C10</f>
        <v>#REF!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idden="1">
      <c r="A20" s="1"/>
      <c r="B20" s="282" t="s">
        <v>979</v>
      </c>
      <c r="C20" s="283" t="e">
        <f>C17+C18*C19</f>
        <v>#VALUE!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hidden="1" customHeight="1">
      <c r="A21" s="1"/>
      <c r="B21" s="5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hidden="1" customHeight="1">
      <c r="A22" s="1"/>
      <c r="B22" s="205" t="s">
        <v>980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5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435" t="s">
        <v>981</v>
      </c>
      <c r="C24" s="436"/>
      <c r="D24" s="436"/>
      <c r="E24" s="436"/>
      <c r="F24" s="437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477" t="s">
        <v>982</v>
      </c>
      <c r="C26" s="431"/>
      <c r="D26" s="431"/>
      <c r="E26" s="431"/>
      <c r="F26" s="43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284" t="s">
        <v>983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51" t="s">
        <v>971</v>
      </c>
      <c r="C28" s="1"/>
      <c r="D28" s="1"/>
      <c r="E28" s="1"/>
      <c r="F28" s="1"/>
      <c r="G28" s="1"/>
      <c r="H28" s="1"/>
      <c r="I28" s="1"/>
      <c r="J28" s="20"/>
      <c r="K28" s="1"/>
      <c r="L28" s="284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17" t="s">
        <v>984</v>
      </c>
      <c r="C29" s="20">
        <v>4.9474902346926752E-2</v>
      </c>
      <c r="D29" s="476" t="s">
        <v>985</v>
      </c>
      <c r="E29" s="431"/>
      <c r="F29" s="431"/>
      <c r="G29" s="431"/>
      <c r="H29" s="431"/>
      <c r="I29" s="431"/>
      <c r="J29" s="19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17" t="s">
        <v>986</v>
      </c>
      <c r="C30" s="40">
        <v>3.4998989344363109</v>
      </c>
      <c r="D30" s="476" t="s">
        <v>987</v>
      </c>
      <c r="E30" s="431"/>
      <c r="F30" s="431"/>
      <c r="G30" s="431"/>
      <c r="H30" s="431"/>
      <c r="I30" s="431"/>
      <c r="J30" s="285" t="s">
        <v>988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17" t="s">
        <v>974</v>
      </c>
      <c r="C31" s="20">
        <v>4.6372105503339256E-2</v>
      </c>
      <c r="D31" s="476" t="s">
        <v>989</v>
      </c>
      <c r="E31" s="431"/>
      <c r="F31" s="431"/>
      <c r="G31" s="431"/>
      <c r="H31" s="431"/>
      <c r="I31" s="431"/>
      <c r="J31" s="20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17" t="s">
        <v>990</v>
      </c>
      <c r="C32" s="20">
        <f>Rp!G5</f>
        <v>1.2973504273504275E-2</v>
      </c>
      <c r="D32" s="476" t="s">
        <v>902</v>
      </c>
      <c r="E32" s="431"/>
      <c r="F32" s="431"/>
      <c r="G32" s="431"/>
      <c r="H32" s="431"/>
      <c r="I32" s="43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17"/>
      <c r="C33" s="19"/>
      <c r="D33" s="476"/>
      <c r="E33" s="431"/>
      <c r="F33" s="431"/>
      <c r="G33" s="431"/>
      <c r="H33" s="431"/>
      <c r="I33" s="43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282" t="s">
        <v>991</v>
      </c>
      <c r="C34" s="283">
        <f>C29+(C30*C31)+C32</f>
        <v>0.22474608925913628</v>
      </c>
      <c r="D34" s="476" t="s">
        <v>992</v>
      </c>
      <c r="E34" s="431"/>
      <c r="F34" s="431"/>
      <c r="G34" s="431"/>
      <c r="H34" s="431"/>
      <c r="I34" s="43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82" t="s">
        <v>993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D33:I33"/>
    <mergeCell ref="D34:I34"/>
    <mergeCell ref="B2:F2"/>
    <mergeCell ref="B24:F24"/>
    <mergeCell ref="B26:F26"/>
    <mergeCell ref="D29:I29"/>
    <mergeCell ref="D30:I30"/>
    <mergeCell ref="D31:I31"/>
    <mergeCell ref="D32:I3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4A9B82"/>
  </sheetPr>
  <dimension ref="A1:Z1000"/>
  <sheetViews>
    <sheetView showGridLines="0" workbookViewId="0">
      <selection activeCell="F22" sqref="F22"/>
    </sheetView>
  </sheetViews>
  <sheetFormatPr baseColWidth="10" defaultColWidth="12.625" defaultRowHeight="15" customHeight="1"/>
  <cols>
    <col min="1" max="1" width="3.125" customWidth="1"/>
    <col min="2" max="2" width="20.75" customWidth="1"/>
    <col min="3" max="6" width="14.625" customWidth="1"/>
    <col min="7" max="7" width="23.125" customWidth="1"/>
    <col min="8" max="11" width="14.625" customWidth="1"/>
    <col min="12" max="26" width="7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994</v>
      </c>
      <c r="C2" s="436"/>
      <c r="D2" s="436"/>
      <c r="E2" s="437"/>
      <c r="F2" s="1"/>
      <c r="G2" s="435" t="s">
        <v>995</v>
      </c>
      <c r="H2" s="436"/>
      <c r="I2" s="436"/>
      <c r="J2" s="436"/>
      <c r="K2" s="43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">
      <c r="A4" s="1"/>
      <c r="B4" s="286" t="s">
        <v>996</v>
      </c>
      <c r="C4" s="1"/>
      <c r="D4" s="1"/>
      <c r="E4" s="1"/>
      <c r="F4" s="1"/>
      <c r="G4" s="286" t="s">
        <v>997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286" t="s">
        <v>747</v>
      </c>
      <c r="C6" s="1"/>
      <c r="D6" s="1"/>
      <c r="E6" s="1"/>
      <c r="F6" s="1"/>
      <c r="G6" s="287" t="s">
        <v>998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287" t="s">
        <v>999</v>
      </c>
      <c r="C7" s="20">
        <f>Ku!C29</f>
        <v>4.9474902346926752E-2</v>
      </c>
      <c r="D7" s="430" t="s">
        <v>1000</v>
      </c>
      <c r="E7" s="431"/>
      <c r="F7" s="431"/>
      <c r="G7" s="288" t="s">
        <v>1001</v>
      </c>
      <c r="H7" s="21">
        <f>'Estudio ADEK'!J517</f>
        <v>0.24114361905072401</v>
      </c>
      <c r="I7" s="1"/>
      <c r="J7" s="117" t="s">
        <v>1002</v>
      </c>
      <c r="K7" s="11" t="s">
        <v>579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>
      <c r="A8" s="1"/>
      <c r="B8" s="287" t="s">
        <v>1003</v>
      </c>
      <c r="C8" s="40">
        <f>C22</f>
        <v>3.5317187533088439</v>
      </c>
      <c r="D8" s="430" t="s">
        <v>987</v>
      </c>
      <c r="E8" s="431"/>
      <c r="F8" s="431"/>
      <c r="G8" s="288" t="s">
        <v>1004</v>
      </c>
      <c r="H8" s="21">
        <f>C12</f>
        <v>0.22622164125699051</v>
      </c>
      <c r="I8" s="1"/>
      <c r="J8" s="117" t="s">
        <v>1005</v>
      </c>
      <c r="K8" s="11" t="s">
        <v>1006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287" t="s">
        <v>1007</v>
      </c>
      <c r="C9" s="20">
        <f>Ku!C31</f>
        <v>4.6372105503339256E-2</v>
      </c>
      <c r="D9" s="430" t="s">
        <v>1000</v>
      </c>
      <c r="E9" s="431"/>
      <c r="F9" s="431"/>
      <c r="G9" s="288" t="s">
        <v>1008</v>
      </c>
      <c r="H9" s="21">
        <f>'Estudio ADEK'!J518</f>
        <v>0.75885638094927599</v>
      </c>
      <c r="I9" s="1"/>
      <c r="J9" s="117" t="s">
        <v>1009</v>
      </c>
      <c r="K9" s="11" t="s">
        <v>1010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287" t="s">
        <v>1011</v>
      </c>
      <c r="C10" s="20">
        <f>Ku!C32</f>
        <v>1.2973504273504275E-2</v>
      </c>
      <c r="D10" s="430" t="s">
        <v>902</v>
      </c>
      <c r="E10" s="431"/>
      <c r="F10" s="11"/>
      <c r="G10" s="288" t="s">
        <v>1012</v>
      </c>
      <c r="H10" s="21">
        <f>Resumen!H5</f>
        <v>0.215</v>
      </c>
      <c r="I10" s="1"/>
      <c r="J10" s="117" t="s">
        <v>1013</v>
      </c>
      <c r="K10" s="11" t="s">
        <v>1014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287"/>
      <c r="C11" s="20"/>
      <c r="D11" s="11"/>
      <c r="E11" s="11"/>
      <c r="F11" s="11"/>
      <c r="G11" s="288" t="s">
        <v>867</v>
      </c>
      <c r="H11" s="21">
        <f>Resumen!H6</f>
        <v>1.4999999999999999E-2</v>
      </c>
      <c r="I11" s="1"/>
      <c r="J11" s="117" t="s">
        <v>1015</v>
      </c>
      <c r="K11" s="11" t="s">
        <v>1016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289" t="s">
        <v>1004</v>
      </c>
      <c r="C12" s="290">
        <f>C7+(C8*C9)+C10</f>
        <v>0.22622164125699051</v>
      </c>
      <c r="D12" s="11" t="s">
        <v>1017</v>
      </c>
      <c r="E12" s="11"/>
      <c r="F12" s="11"/>
      <c r="G12" s="286"/>
      <c r="H12" s="19"/>
      <c r="I12" s="1"/>
      <c r="J12" s="117" t="s">
        <v>1018</v>
      </c>
      <c r="K12" s="11" t="s">
        <v>1019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287"/>
      <c r="C13" s="31"/>
      <c r="D13" s="1"/>
      <c r="E13" s="1"/>
      <c r="F13" s="1"/>
      <c r="G13" s="289" t="s">
        <v>880</v>
      </c>
      <c r="H13" s="290">
        <f>(H7*H8)+(H9*H10*(1-H11))</f>
        <v>0.21525871535583818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435" t="s">
        <v>1020</v>
      </c>
      <c r="C14" s="436"/>
      <c r="D14" s="436"/>
      <c r="E14" s="437"/>
      <c r="F14" s="1"/>
      <c r="G14" s="286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>
      <c r="A15" s="1"/>
      <c r="B15" s="286" t="s">
        <v>1021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287" t="s">
        <v>1022</v>
      </c>
      <c r="C16" s="1"/>
      <c r="D16" s="1"/>
      <c r="E16" s="1"/>
      <c r="F16" s="1"/>
      <c r="G16" s="156" t="s">
        <v>1023</v>
      </c>
      <c r="H16" s="291">
        <f>H13</f>
        <v>0.21525871535583818</v>
      </c>
      <c r="I16" s="156" t="s">
        <v>1024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287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>
      <c r="A18" s="1"/>
      <c r="B18" s="287" t="s">
        <v>1025</v>
      </c>
      <c r="C18" s="40">
        <f>Ku!C30</f>
        <v>3.4998989344363109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>
      <c r="A19" s="1"/>
      <c r="B19" s="287" t="s">
        <v>1026</v>
      </c>
      <c r="C19" s="40">
        <v>0.393890710015454</v>
      </c>
      <c r="D19" s="62">
        <f>Inversión_Inicial!G37/Inversión_Inicial!H37</f>
        <v>0.31777240740740731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287" t="s">
        <v>1027</v>
      </c>
      <c r="C20" s="292">
        <f>Resumen!H6</f>
        <v>1.4999999999999999E-2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293" t="s">
        <v>1028</v>
      </c>
      <c r="C22" s="294">
        <f>C18*(1+ C20*(1-C19))</f>
        <v>3.5317187533088439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56" t="s">
        <v>1029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56" t="s">
        <v>1030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D10:E10"/>
    <mergeCell ref="B14:E14"/>
    <mergeCell ref="B2:E2"/>
    <mergeCell ref="G2:K2"/>
    <mergeCell ref="D7:F7"/>
    <mergeCell ref="D8:F8"/>
    <mergeCell ref="D9:F9"/>
  </mergeCells>
  <pageMargins left="0.7" right="0.7" top="0.75" bottom="0.75" header="0" footer="0"/>
  <pageSetup orientation="landscape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showGridLines="0" topLeftCell="A40" workbookViewId="0">
      <selection activeCell="D62" sqref="D62"/>
    </sheetView>
  </sheetViews>
  <sheetFormatPr baseColWidth="10" defaultColWidth="12.625" defaultRowHeight="15" customHeight="1"/>
  <cols>
    <col min="1" max="1" width="3.125" customWidth="1"/>
    <col min="2" max="2" width="7.75" customWidth="1"/>
    <col min="3" max="3" width="17.25" customWidth="1"/>
    <col min="4" max="4" width="13.5" bestFit="1" customWidth="1"/>
    <col min="5" max="9" width="9.375" customWidth="1"/>
    <col min="10" max="26" width="7.75" customWidth="1"/>
  </cols>
  <sheetData>
    <row r="1" spans="1:26">
      <c r="A1" s="19"/>
      <c r="B1" s="481" t="s">
        <v>1031</v>
      </c>
      <c r="C1" s="431"/>
      <c r="D1" s="431"/>
      <c r="E1" s="431"/>
      <c r="F1" s="431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>
      <c r="A2" s="19"/>
      <c r="B2" s="431"/>
      <c r="C2" s="431"/>
      <c r="D2" s="431"/>
      <c r="E2" s="431"/>
      <c r="F2" s="431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.75" customHeight="1">
      <c r="A3" s="19"/>
      <c r="B3" s="13" t="s">
        <v>1032</v>
      </c>
      <c r="C3" s="435" t="s">
        <v>1033</v>
      </c>
      <c r="D3" s="436"/>
      <c r="E3" s="436"/>
      <c r="F3" s="437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4.25" customHeight="1">
      <c r="A4" s="19"/>
      <c r="B4" s="19"/>
      <c r="C4" s="11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4.25" customHeight="1">
      <c r="A5" s="19"/>
      <c r="B5" s="19"/>
      <c r="C5" s="192" t="s">
        <v>1034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4.25" customHeight="1">
      <c r="A6" s="19"/>
      <c r="B6" s="19"/>
      <c r="C6" s="11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4.25" customHeight="1">
      <c r="A7" s="19"/>
      <c r="B7" s="19"/>
      <c r="C7" s="11" t="s">
        <v>1035</v>
      </c>
      <c r="D7" s="20">
        <f>Ku!C29</f>
        <v>4.9474902346926752E-2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4.25" customHeight="1">
      <c r="A8" s="19"/>
      <c r="B8" s="19"/>
      <c r="C8" s="11" t="s">
        <v>1036</v>
      </c>
      <c r="D8" s="19">
        <v>0.71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4.25" customHeight="1">
      <c r="A9" s="19"/>
      <c r="B9" s="19"/>
      <c r="C9" s="11" t="s">
        <v>1037</v>
      </c>
      <c r="D9" s="19">
        <v>4.3099999999999996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4.25" customHeight="1">
      <c r="A10" s="19"/>
      <c r="B10" s="19"/>
      <c r="C10" s="11" t="s">
        <v>1038</v>
      </c>
      <c r="D10" s="19">
        <v>1.74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4.25" customHeight="1">
      <c r="A11" s="19"/>
      <c r="B11" s="19"/>
      <c r="C11" s="295" t="s">
        <v>1039</v>
      </c>
      <c r="D11" s="296">
        <f>D7+D8*(D9)+D10</f>
        <v>4.8495749023469266</v>
      </c>
      <c r="E11" s="19"/>
      <c r="F11" s="19" t="s">
        <v>1040</v>
      </c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4.25" customHeight="1">
      <c r="A12" s="19"/>
      <c r="B12" s="19"/>
      <c r="C12" s="11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4.25" customHeight="1">
      <c r="A13" s="19"/>
      <c r="B13" s="19"/>
      <c r="C13" s="11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4.25" customHeight="1">
      <c r="A14" s="19"/>
      <c r="B14" s="13" t="s">
        <v>1041</v>
      </c>
      <c r="C14" s="435" t="s">
        <v>1042</v>
      </c>
      <c r="D14" s="436"/>
      <c r="E14" s="436"/>
      <c r="F14" s="437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4.25" customHeight="1">
      <c r="A15" s="19"/>
      <c r="B15" s="19"/>
      <c r="C15" s="1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4.25" customHeight="1">
      <c r="A16" s="19"/>
      <c r="B16" s="19"/>
      <c r="C16" s="11" t="s">
        <v>1043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4.25" customHeight="1">
      <c r="A17" s="19"/>
      <c r="B17" s="19"/>
      <c r="C17" s="11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4.25" customHeight="1">
      <c r="A18" s="19"/>
      <c r="B18" s="19"/>
      <c r="C18" s="11" t="s">
        <v>1035</v>
      </c>
      <c r="D18" s="20">
        <v>4.9500000000000002E-2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4.25" customHeight="1">
      <c r="A19" s="19"/>
      <c r="B19" s="19"/>
      <c r="C19" s="11" t="s">
        <v>1044</v>
      </c>
      <c r="D19" s="19">
        <v>3.5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/>
      <c r="B20" s="19"/>
      <c r="C20" s="11" t="s">
        <v>1045</v>
      </c>
      <c r="D20" s="20">
        <v>4.6399999999999997E-2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/>
      <c r="B21" s="19"/>
      <c r="C21" s="11" t="s">
        <v>1038</v>
      </c>
      <c r="D21" s="19">
        <v>1.74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/>
      <c r="B22" s="19"/>
      <c r="C22" s="10" t="s">
        <v>1039</v>
      </c>
      <c r="D22" s="297">
        <f>D18+D19*D20+D21</f>
        <v>1.9519</v>
      </c>
      <c r="E22" s="19"/>
      <c r="F22" s="19" t="s">
        <v>1040</v>
      </c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/>
      <c r="B23" s="19"/>
      <c r="C23" s="11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/>
      <c r="B24" s="19"/>
      <c r="C24" s="11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>
      <c r="A25" s="19"/>
      <c r="B25" s="13" t="s">
        <v>1046</v>
      </c>
      <c r="C25" s="435" t="s">
        <v>1047</v>
      </c>
      <c r="D25" s="436"/>
      <c r="E25" s="436"/>
      <c r="F25" s="437"/>
      <c r="G25" s="3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.75" customHeight="1">
      <c r="A26" s="19"/>
      <c r="B26" s="19"/>
      <c r="C26" s="11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.75" customHeight="1">
      <c r="A27" s="19"/>
      <c r="B27" s="19"/>
      <c r="C27" s="430" t="s">
        <v>1048</v>
      </c>
      <c r="D27" s="431"/>
      <c r="E27" s="431"/>
      <c r="F27" s="431"/>
      <c r="G27" s="431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.75" customHeight="1">
      <c r="A28" s="19"/>
      <c r="B28" s="19"/>
      <c r="C28" s="11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>
      <c r="A29" s="19"/>
      <c r="B29" s="19"/>
      <c r="C29" s="11" t="s">
        <v>1035</v>
      </c>
      <c r="D29" s="20">
        <v>4.7699999999999999E-2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.75" customHeight="1">
      <c r="A30" s="19"/>
      <c r="B30" s="19"/>
      <c r="C30" s="298" t="s">
        <v>1049</v>
      </c>
      <c r="D30" s="40">
        <v>3.39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.75" customHeight="1">
      <c r="A31" s="19"/>
      <c r="B31" s="19"/>
      <c r="C31" s="11" t="s">
        <v>1045</v>
      </c>
      <c r="D31" s="20">
        <v>4.3099999999999999E-2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.75" customHeight="1">
      <c r="A32" s="19"/>
      <c r="B32" s="19"/>
      <c r="C32" s="11" t="s">
        <v>1038</v>
      </c>
      <c r="D32" s="20">
        <v>1.7399999999999999E-2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.75" customHeight="1">
      <c r="A33" s="19"/>
      <c r="B33" s="19"/>
      <c r="C33" s="11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.75" customHeight="1">
      <c r="A34" s="19"/>
      <c r="B34" s="19"/>
      <c r="C34" s="10" t="s">
        <v>1050</v>
      </c>
      <c r="D34" s="297">
        <f>D29+D30*(D31)+D32</f>
        <v>0.21120900000000001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.75" customHeight="1">
      <c r="A35" s="19"/>
      <c r="B35" s="19"/>
      <c r="C35" s="11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.75" customHeight="1">
      <c r="A36" s="19"/>
      <c r="B36" s="13" t="s">
        <v>1051</v>
      </c>
      <c r="C36" s="435" t="s">
        <v>1052</v>
      </c>
      <c r="D36" s="436"/>
      <c r="E36" s="436"/>
      <c r="F36" s="437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.75" customHeight="1">
      <c r="A37" s="19"/>
      <c r="B37" s="19"/>
      <c r="C37" s="11"/>
      <c r="D37" s="19"/>
      <c r="E37" s="19"/>
      <c r="F37" s="19"/>
      <c r="G37" s="19"/>
      <c r="H37" s="19"/>
      <c r="I37" s="19"/>
      <c r="J37" s="299"/>
      <c r="K37" s="299"/>
      <c r="L37" s="299"/>
      <c r="M37" s="299"/>
      <c r="N37" s="299"/>
      <c r="O37" s="29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20.25" customHeight="1">
      <c r="A38" s="19"/>
      <c r="B38" s="19"/>
      <c r="C38" s="480" t="s">
        <v>1053</v>
      </c>
      <c r="D38" s="431"/>
      <c r="E38" s="431"/>
      <c r="F38" s="431"/>
      <c r="G38" s="431"/>
      <c r="H38" s="431"/>
      <c r="I38" s="19"/>
      <c r="J38" s="299"/>
      <c r="K38" s="479"/>
      <c r="L38" s="436"/>
      <c r="M38" s="436"/>
      <c r="N38" s="436"/>
      <c r="O38" s="437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21.75" customHeight="1">
      <c r="A39" s="19"/>
      <c r="B39" s="19"/>
      <c r="C39" s="287" t="s">
        <v>1054</v>
      </c>
      <c r="D39" s="19" t="s">
        <v>1055</v>
      </c>
      <c r="E39" s="19"/>
      <c r="F39" s="19"/>
      <c r="G39" s="19"/>
      <c r="H39" s="19"/>
      <c r="I39" s="19"/>
      <c r="J39" s="299"/>
      <c r="K39" s="479"/>
      <c r="L39" s="436"/>
      <c r="M39" s="436"/>
      <c r="N39" s="436"/>
      <c r="O39" s="437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7.25" customHeight="1">
      <c r="A40" s="19"/>
      <c r="B40" s="19"/>
      <c r="C40" s="287" t="s">
        <v>1056</v>
      </c>
      <c r="D40" s="20">
        <f>D29</f>
        <v>4.7699999999999999E-2</v>
      </c>
      <c r="E40" s="19"/>
      <c r="F40" s="19"/>
      <c r="G40" s="19"/>
      <c r="H40" s="19"/>
      <c r="I40" s="19"/>
      <c r="J40" s="299"/>
      <c r="K40" s="478"/>
      <c r="L40" s="436"/>
      <c r="M40" s="436"/>
      <c r="N40" s="436"/>
      <c r="O40" s="437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21" customHeight="1">
      <c r="A41" s="19"/>
      <c r="B41" s="19"/>
      <c r="C41" s="287" t="s">
        <v>1057</v>
      </c>
      <c r="D41" s="20">
        <v>4.3099999999999999E-2</v>
      </c>
      <c r="E41" s="19"/>
      <c r="F41" s="19"/>
      <c r="G41" s="19"/>
      <c r="H41" s="19"/>
      <c r="I41" s="19"/>
      <c r="J41" s="299"/>
      <c r="K41" s="478"/>
      <c r="L41" s="436"/>
      <c r="M41" s="437"/>
      <c r="N41" s="300"/>
      <c r="O41" s="301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8.75" customHeight="1">
      <c r="A42" s="19"/>
      <c r="B42" s="19"/>
      <c r="C42" s="302" t="s">
        <v>1038</v>
      </c>
      <c r="D42" s="20">
        <v>1.7399999999999999E-2</v>
      </c>
      <c r="E42" s="19"/>
      <c r="F42" s="19"/>
      <c r="G42" s="19"/>
      <c r="H42" s="19"/>
      <c r="I42" s="19"/>
      <c r="J42" s="299"/>
      <c r="K42" s="478"/>
      <c r="L42" s="436"/>
      <c r="M42" s="437"/>
      <c r="N42" s="300"/>
      <c r="O42" s="300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8.75" customHeight="1">
      <c r="A43" s="19"/>
      <c r="B43" s="19"/>
      <c r="C43" s="19"/>
      <c r="D43" s="20"/>
      <c r="E43" s="19"/>
      <c r="F43" s="19"/>
      <c r="G43" s="19"/>
      <c r="H43" s="19"/>
      <c r="I43" s="19"/>
      <c r="J43" s="299"/>
      <c r="K43" s="478"/>
      <c r="L43" s="436"/>
      <c r="M43" s="437"/>
      <c r="N43" s="300"/>
      <c r="O43" s="300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.75" customHeight="1">
      <c r="A44" s="19"/>
      <c r="B44" s="19"/>
      <c r="C44" s="9" t="s">
        <v>1058</v>
      </c>
      <c r="D44" s="297">
        <v>0.10249999999999999</v>
      </c>
      <c r="E44" s="19"/>
      <c r="F44" s="19"/>
      <c r="G44" s="19"/>
      <c r="H44" s="19"/>
      <c r="I44" s="19"/>
      <c r="J44" s="299"/>
      <c r="K44" s="478"/>
      <c r="L44" s="436"/>
      <c r="M44" s="437"/>
      <c r="N44" s="300"/>
      <c r="O44" s="300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.75" customHeight="1">
      <c r="A45" s="19"/>
      <c r="B45" s="19"/>
      <c r="C45" s="11"/>
      <c r="D45" s="19"/>
      <c r="E45" s="19"/>
      <c r="F45" s="19"/>
      <c r="G45" s="19"/>
      <c r="H45" s="19"/>
      <c r="I45" s="19"/>
      <c r="J45" s="299"/>
      <c r="K45" s="478"/>
      <c r="L45" s="436"/>
      <c r="M45" s="437"/>
      <c r="N45" s="300"/>
      <c r="O45" s="300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4.25" customHeight="1">
      <c r="A46" s="19"/>
      <c r="B46" s="13" t="s">
        <v>1059</v>
      </c>
      <c r="C46" s="435" t="s">
        <v>1060</v>
      </c>
      <c r="D46" s="436"/>
      <c r="E46" s="436"/>
      <c r="F46" s="437"/>
      <c r="G46" s="19"/>
      <c r="H46" s="19"/>
      <c r="I46" s="19"/>
      <c r="J46" s="299"/>
      <c r="K46" s="478"/>
      <c r="L46" s="436"/>
      <c r="M46" s="437"/>
      <c r="N46" s="300"/>
      <c r="O46" s="300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4.25" customHeight="1">
      <c r="A47" s="19"/>
      <c r="B47" s="19"/>
      <c r="C47" s="11" t="s">
        <v>1061</v>
      </c>
      <c r="D47" s="19"/>
      <c r="E47" s="19"/>
      <c r="F47" s="19"/>
      <c r="G47" s="19"/>
      <c r="H47" s="19"/>
      <c r="I47" s="19"/>
      <c r="J47" s="299"/>
      <c r="K47" s="479"/>
      <c r="L47" s="436"/>
      <c r="M47" s="436"/>
      <c r="N47" s="436"/>
      <c r="O47" s="437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8" customHeight="1">
      <c r="A48" s="19"/>
      <c r="B48" s="19"/>
      <c r="C48" s="11" t="s">
        <v>1062</v>
      </c>
      <c r="D48" s="19"/>
      <c r="E48" s="19"/>
      <c r="F48" s="303"/>
      <c r="G48" s="19"/>
      <c r="H48" s="19"/>
      <c r="I48" s="19"/>
      <c r="J48" s="299"/>
      <c r="K48" s="479"/>
      <c r="L48" s="436"/>
      <c r="M48" s="436"/>
      <c r="N48" s="436"/>
      <c r="O48" s="437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8.75" customHeight="1">
      <c r="A49" s="19"/>
      <c r="B49" s="19"/>
      <c r="C49" s="41"/>
      <c r="D49" s="19"/>
      <c r="E49" s="19"/>
      <c r="F49" s="19"/>
      <c r="G49" s="19"/>
      <c r="H49" s="19"/>
      <c r="I49" s="19"/>
      <c r="J49" s="299"/>
      <c r="K49" s="478"/>
      <c r="L49" s="436"/>
      <c r="M49" s="437"/>
      <c r="N49" s="300"/>
      <c r="O49" s="301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7.25" customHeight="1">
      <c r="A50" s="19"/>
      <c r="B50" s="19"/>
      <c r="C50" s="11" t="s">
        <v>1063</v>
      </c>
      <c r="D50" s="18">
        <f>Inversión_Inicial!C39</f>
        <v>0.24114361905072401</v>
      </c>
      <c r="E50" s="304">
        <f>5766/23766</f>
        <v>0.24261550113607674</v>
      </c>
      <c r="F50" s="19"/>
      <c r="G50" s="228"/>
      <c r="H50" s="19"/>
      <c r="I50" s="19"/>
      <c r="J50" s="299"/>
      <c r="K50" s="478"/>
      <c r="L50" s="436"/>
      <c r="M50" s="437"/>
      <c r="N50" s="300"/>
      <c r="O50" s="300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4.25" customHeight="1">
      <c r="A51" s="19"/>
      <c r="B51" s="19"/>
      <c r="C51" s="11" t="s">
        <v>1064</v>
      </c>
      <c r="D51" s="18">
        <f>Resumen!H5</f>
        <v>0.215</v>
      </c>
      <c r="E51" s="20"/>
      <c r="F51" s="19"/>
      <c r="G51" s="19"/>
      <c r="H51" s="19"/>
      <c r="I51" s="19"/>
      <c r="J51" s="299"/>
      <c r="K51" s="478"/>
      <c r="L51" s="436"/>
      <c r="M51" s="437"/>
      <c r="N51" s="300"/>
      <c r="O51" s="300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7.25" customHeight="1">
      <c r="A52" s="19"/>
      <c r="B52" s="19"/>
      <c r="C52" s="11" t="s">
        <v>1065</v>
      </c>
      <c r="D52" s="18">
        <f>Inversión_Inicial!C40</f>
        <v>0.75885638094927599</v>
      </c>
      <c r="E52" s="18">
        <f>18000/23766</f>
        <v>0.75738449886392323</v>
      </c>
      <c r="F52" s="19"/>
      <c r="G52" s="19"/>
      <c r="H52" s="19"/>
      <c r="I52" s="19"/>
      <c r="J52" s="299"/>
      <c r="K52" s="478"/>
      <c r="L52" s="436"/>
      <c r="M52" s="437"/>
      <c r="N52" s="300"/>
      <c r="O52" s="300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4.25" customHeight="1">
      <c r="A53" s="19"/>
      <c r="B53" s="19"/>
      <c r="C53" s="11" t="s">
        <v>1050</v>
      </c>
      <c r="D53" s="20">
        <f>D34</f>
        <v>0.21120900000000001</v>
      </c>
      <c r="E53" s="19"/>
      <c r="F53" s="19"/>
      <c r="G53" s="19"/>
      <c r="H53" s="19"/>
      <c r="I53" s="19"/>
      <c r="J53" s="299"/>
      <c r="K53" s="478"/>
      <c r="L53" s="436"/>
      <c r="M53" s="437"/>
      <c r="N53" s="300"/>
      <c r="O53" s="300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4.25" customHeight="1">
      <c r="A54" s="19"/>
      <c r="B54" s="19"/>
      <c r="C54" s="10" t="s">
        <v>1066</v>
      </c>
      <c r="D54" s="297">
        <f>(D50*D51)+(D52*D53)</f>
        <v>0.21212317545982129</v>
      </c>
      <c r="E54" s="19"/>
      <c r="F54" s="19"/>
      <c r="G54" s="19"/>
      <c r="H54" s="19"/>
      <c r="I54" s="19"/>
      <c r="J54" s="299"/>
      <c r="K54" s="478"/>
      <c r="L54" s="436"/>
      <c r="M54" s="437"/>
      <c r="N54" s="300"/>
      <c r="O54" s="300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.75" customHeight="1">
      <c r="A55" s="19"/>
      <c r="B55" s="19"/>
      <c r="C55" s="11"/>
      <c r="D55" s="19"/>
      <c r="E55" s="19"/>
      <c r="F55" s="19"/>
      <c r="G55" s="19"/>
      <c r="H55" s="19"/>
      <c r="I55" s="19"/>
      <c r="J55" s="299"/>
      <c r="K55" s="299"/>
      <c r="L55" s="299"/>
      <c r="M55" s="299"/>
      <c r="N55" s="299"/>
      <c r="O55" s="29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.75" customHeight="1">
      <c r="A56" s="19"/>
      <c r="B56" s="19"/>
      <c r="C56" s="11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.75" customHeight="1">
      <c r="A57" s="19"/>
      <c r="B57" s="13" t="s">
        <v>1067</v>
      </c>
      <c r="C57" s="435" t="s">
        <v>1068</v>
      </c>
      <c r="D57" s="436"/>
      <c r="E57" s="436"/>
      <c r="F57" s="437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.75" customHeight="1">
      <c r="A58" s="19"/>
      <c r="B58" s="19"/>
      <c r="C58" s="11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.75" customHeight="1">
      <c r="A59" s="19"/>
      <c r="B59" s="19"/>
      <c r="C59" s="11" t="s">
        <v>1069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.75" customHeight="1">
      <c r="A60" s="19"/>
      <c r="B60" s="19"/>
      <c r="C60" s="11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.75" customHeight="1">
      <c r="A61" s="19"/>
      <c r="B61" s="19" t="s">
        <v>1070</v>
      </c>
      <c r="C61" s="11" t="s">
        <v>1071</v>
      </c>
      <c r="D61" s="40">
        <v>4.5784060516108216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.75" customHeight="1">
      <c r="A62" s="19"/>
      <c r="B62" s="19"/>
      <c r="C62" s="11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.75" customHeight="1">
      <c r="A63" s="19"/>
      <c r="B63" s="19" t="s">
        <v>1072</v>
      </c>
      <c r="C63" s="11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.75" customHeight="1">
      <c r="A64" s="19"/>
      <c r="B64" s="19"/>
      <c r="C64" s="11" t="s">
        <v>1063</v>
      </c>
      <c r="D64" s="18">
        <f>Inversión_Inicial!C39</f>
        <v>0.24114361905072401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.75" customHeight="1">
      <c r="A65" s="19"/>
      <c r="B65" s="19"/>
      <c r="C65" s="11" t="s">
        <v>1064</v>
      </c>
      <c r="D65" s="18">
        <f>Resumen!H5</f>
        <v>0.215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.75" customHeight="1">
      <c r="A66" s="19"/>
      <c r="B66" s="19"/>
      <c r="C66" s="11" t="s">
        <v>1065</v>
      </c>
      <c r="D66" s="18">
        <f>Inversión_Inicial!C40</f>
        <v>0.75885638094927599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>
      <c r="A67" s="19"/>
      <c r="B67" s="19"/>
      <c r="C67" s="11" t="s">
        <v>1058</v>
      </c>
      <c r="D67" s="20">
        <f>Ku!C29+D61*Ku!C31+Ku!C32</f>
        <v>0.27475873508285498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>
      <c r="A68" s="19"/>
      <c r="B68" s="19"/>
      <c r="C68" s="10" t="s">
        <v>1073</v>
      </c>
      <c r="D68" s="297">
        <f>(D64*D65)+(D66*D67)</f>
        <v>0.26034829743508187</v>
      </c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>
      <c r="A69" s="19"/>
      <c r="B69" s="19"/>
      <c r="C69" s="11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.75" customHeight="1">
      <c r="A70" s="19"/>
      <c r="B70" s="19"/>
      <c r="C70" s="11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.75" customHeight="1">
      <c r="A71" s="19"/>
      <c r="B71" s="19"/>
      <c r="C71" s="11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.75" customHeight="1">
      <c r="A72" s="19"/>
      <c r="B72" s="19"/>
      <c r="C72" s="11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.75" customHeight="1">
      <c r="A73" s="19"/>
      <c r="B73" s="19"/>
      <c r="C73" s="11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.75" customHeight="1">
      <c r="A74" s="19"/>
      <c r="B74" s="19"/>
      <c r="C74" s="11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.75" customHeight="1">
      <c r="A75" s="19"/>
      <c r="B75" s="19"/>
      <c r="C75" s="11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.75" customHeight="1">
      <c r="A76" s="19"/>
      <c r="B76" s="19"/>
      <c r="C76" s="11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.75" customHeight="1">
      <c r="A77" s="19"/>
      <c r="B77" s="19"/>
      <c r="C77" s="11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.75" customHeight="1">
      <c r="A78" s="19"/>
      <c r="B78" s="19"/>
      <c r="C78" s="11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.75" customHeight="1">
      <c r="A79" s="19"/>
      <c r="B79" s="19"/>
      <c r="C79" s="11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.75" customHeight="1">
      <c r="A80" s="19"/>
      <c r="B80" s="19"/>
      <c r="C80" s="11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.75" customHeight="1">
      <c r="A81" s="19"/>
      <c r="B81" s="19"/>
      <c r="C81" s="11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.75" customHeight="1">
      <c r="A82" s="19"/>
      <c r="B82" s="19"/>
      <c r="C82" s="11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.75" customHeight="1">
      <c r="A83" s="19"/>
      <c r="B83" s="19"/>
      <c r="C83" s="11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.75" customHeight="1">
      <c r="A84" s="19"/>
      <c r="B84" s="19"/>
      <c r="C84" s="11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.75" customHeight="1">
      <c r="A85" s="19"/>
      <c r="B85" s="19"/>
      <c r="C85" s="11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.75" customHeight="1">
      <c r="A86" s="19"/>
      <c r="B86" s="19"/>
      <c r="C86" s="11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.75" customHeight="1">
      <c r="A87" s="19"/>
      <c r="B87" s="19"/>
      <c r="C87" s="11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.75" customHeight="1">
      <c r="A88" s="19"/>
      <c r="B88" s="19"/>
      <c r="C88" s="11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.75" customHeight="1">
      <c r="A89" s="19"/>
      <c r="B89" s="19"/>
      <c r="C89" s="11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.75" customHeight="1">
      <c r="A90" s="19"/>
      <c r="B90" s="19"/>
      <c r="C90" s="11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.75" customHeight="1">
      <c r="A91" s="19"/>
      <c r="B91" s="19"/>
      <c r="C91" s="11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.75" customHeight="1">
      <c r="A92" s="19"/>
      <c r="B92" s="19"/>
      <c r="C92" s="11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.75" customHeight="1">
      <c r="A93" s="19"/>
      <c r="B93" s="19"/>
      <c r="C93" s="11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.75" customHeight="1">
      <c r="A94" s="19"/>
      <c r="B94" s="19"/>
      <c r="C94" s="11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.75" customHeight="1">
      <c r="A95" s="19"/>
      <c r="B95" s="19"/>
      <c r="C95" s="11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.75" customHeight="1">
      <c r="A96" s="19"/>
      <c r="B96" s="19"/>
      <c r="C96" s="11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.75" customHeight="1">
      <c r="A97" s="19"/>
      <c r="B97" s="19"/>
      <c r="C97" s="11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.75" customHeight="1">
      <c r="A98" s="19"/>
      <c r="B98" s="19"/>
      <c r="C98" s="11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.75" customHeight="1">
      <c r="A99" s="19"/>
      <c r="B99" s="19"/>
      <c r="C99" s="11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.75" customHeight="1">
      <c r="A100" s="19"/>
      <c r="B100" s="19"/>
      <c r="C100" s="11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.75" customHeight="1">
      <c r="A101" s="19"/>
      <c r="B101" s="19"/>
      <c r="C101" s="11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.75" customHeight="1">
      <c r="A102" s="19"/>
      <c r="B102" s="19"/>
      <c r="C102" s="11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.75" customHeight="1">
      <c r="A103" s="19"/>
      <c r="B103" s="19"/>
      <c r="C103" s="11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.75" customHeight="1">
      <c r="A104" s="19"/>
      <c r="B104" s="19"/>
      <c r="C104" s="11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.75" customHeight="1">
      <c r="A105" s="19"/>
      <c r="B105" s="19"/>
      <c r="C105" s="11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.75" customHeight="1">
      <c r="A106" s="19"/>
      <c r="B106" s="19"/>
      <c r="C106" s="11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.75" customHeight="1">
      <c r="A107" s="19"/>
      <c r="B107" s="19"/>
      <c r="C107" s="11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.75" customHeight="1">
      <c r="A108" s="19"/>
      <c r="B108" s="19"/>
      <c r="C108" s="11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.75" customHeight="1">
      <c r="A109" s="19"/>
      <c r="B109" s="19"/>
      <c r="C109" s="11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.75" customHeight="1">
      <c r="A110" s="19"/>
      <c r="B110" s="19"/>
      <c r="C110" s="11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.75" customHeight="1">
      <c r="A111" s="19"/>
      <c r="B111" s="19"/>
      <c r="C111" s="11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.75" customHeight="1">
      <c r="A112" s="19"/>
      <c r="B112" s="19"/>
      <c r="C112" s="11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.75" customHeight="1">
      <c r="A113" s="19"/>
      <c r="B113" s="19"/>
      <c r="C113" s="11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.75" customHeight="1">
      <c r="A114" s="19"/>
      <c r="B114" s="19"/>
      <c r="C114" s="11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.75" customHeight="1">
      <c r="A115" s="19"/>
      <c r="B115" s="19"/>
      <c r="C115" s="11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.75" customHeight="1">
      <c r="A116" s="19"/>
      <c r="B116" s="19"/>
      <c r="C116" s="11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.75" customHeight="1">
      <c r="A117" s="19"/>
      <c r="B117" s="19"/>
      <c r="C117" s="11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.75" customHeight="1">
      <c r="A118" s="19"/>
      <c r="B118" s="19"/>
      <c r="C118" s="11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.75" customHeight="1">
      <c r="A119" s="19"/>
      <c r="B119" s="19"/>
      <c r="C119" s="11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.75" customHeight="1">
      <c r="A120" s="19"/>
      <c r="B120" s="19"/>
      <c r="C120" s="11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.75" customHeight="1">
      <c r="A121" s="19"/>
      <c r="B121" s="19"/>
      <c r="C121" s="11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.75" customHeight="1">
      <c r="A122" s="19"/>
      <c r="B122" s="19"/>
      <c r="C122" s="11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.75" customHeight="1">
      <c r="A123" s="19"/>
      <c r="B123" s="19"/>
      <c r="C123" s="11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.75" customHeight="1">
      <c r="A124" s="19"/>
      <c r="B124" s="19"/>
      <c r="C124" s="11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.75" customHeight="1">
      <c r="A125" s="19"/>
      <c r="B125" s="19"/>
      <c r="C125" s="11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.75" customHeight="1">
      <c r="A126" s="19"/>
      <c r="B126" s="19"/>
      <c r="C126" s="11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.75" customHeight="1">
      <c r="A127" s="19"/>
      <c r="B127" s="19"/>
      <c r="C127" s="11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.75" customHeight="1">
      <c r="A128" s="19"/>
      <c r="B128" s="19"/>
      <c r="C128" s="11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.75" customHeight="1">
      <c r="A129" s="19"/>
      <c r="B129" s="19"/>
      <c r="C129" s="11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.75" customHeight="1">
      <c r="A130" s="19"/>
      <c r="B130" s="19"/>
      <c r="C130" s="11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.75" customHeight="1">
      <c r="A131" s="19"/>
      <c r="B131" s="19"/>
      <c r="C131" s="11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.75" customHeight="1">
      <c r="A132" s="19"/>
      <c r="B132" s="19"/>
      <c r="C132" s="11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.75" customHeight="1">
      <c r="A133" s="19"/>
      <c r="B133" s="19"/>
      <c r="C133" s="11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.75" customHeight="1">
      <c r="A134" s="19"/>
      <c r="B134" s="19"/>
      <c r="C134" s="11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.75" customHeight="1">
      <c r="A135" s="19"/>
      <c r="B135" s="19"/>
      <c r="C135" s="11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.75" customHeight="1">
      <c r="A136" s="19"/>
      <c r="B136" s="19"/>
      <c r="C136" s="11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.75" customHeight="1">
      <c r="A137" s="19"/>
      <c r="B137" s="19"/>
      <c r="C137" s="11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.75" customHeight="1">
      <c r="A138" s="19"/>
      <c r="B138" s="19"/>
      <c r="C138" s="11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.75" customHeight="1">
      <c r="A139" s="19"/>
      <c r="B139" s="19"/>
      <c r="C139" s="11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.75" customHeight="1">
      <c r="A140" s="19"/>
      <c r="B140" s="19"/>
      <c r="C140" s="11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.75" customHeight="1">
      <c r="A141" s="19"/>
      <c r="B141" s="19"/>
      <c r="C141" s="11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.75" customHeight="1">
      <c r="A142" s="19"/>
      <c r="B142" s="19"/>
      <c r="C142" s="11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.75" customHeight="1">
      <c r="A143" s="19"/>
      <c r="B143" s="19"/>
      <c r="C143" s="11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.75" customHeight="1">
      <c r="A144" s="19"/>
      <c r="B144" s="19"/>
      <c r="C144" s="11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.75" customHeight="1">
      <c r="A145" s="19"/>
      <c r="B145" s="19"/>
      <c r="C145" s="11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.75" customHeight="1">
      <c r="A146" s="19"/>
      <c r="B146" s="19"/>
      <c r="C146" s="11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.75" customHeight="1">
      <c r="A147" s="19"/>
      <c r="B147" s="19"/>
      <c r="C147" s="11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.75" customHeight="1">
      <c r="A148" s="19"/>
      <c r="B148" s="19"/>
      <c r="C148" s="11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.75" customHeight="1">
      <c r="A149" s="19"/>
      <c r="B149" s="19"/>
      <c r="C149" s="11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.75" customHeight="1">
      <c r="A150" s="19"/>
      <c r="B150" s="19"/>
      <c r="C150" s="11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.75" customHeight="1">
      <c r="A151" s="19"/>
      <c r="B151" s="19"/>
      <c r="C151" s="11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.75" customHeight="1">
      <c r="A152" s="19"/>
      <c r="B152" s="19"/>
      <c r="C152" s="11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.75" customHeight="1">
      <c r="A153" s="19"/>
      <c r="B153" s="19"/>
      <c r="C153" s="11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.75" customHeight="1">
      <c r="A154" s="19"/>
      <c r="B154" s="19"/>
      <c r="C154" s="11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.75" customHeight="1">
      <c r="A155" s="19"/>
      <c r="B155" s="19"/>
      <c r="C155" s="11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.75" customHeight="1">
      <c r="A156" s="19"/>
      <c r="B156" s="19"/>
      <c r="C156" s="11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.75" customHeight="1">
      <c r="A157" s="19"/>
      <c r="B157" s="19"/>
      <c r="C157" s="11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.75" customHeight="1">
      <c r="A158" s="19"/>
      <c r="B158" s="19"/>
      <c r="C158" s="11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.75" customHeight="1">
      <c r="A159" s="19"/>
      <c r="B159" s="19"/>
      <c r="C159" s="11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.75" customHeight="1">
      <c r="A160" s="19"/>
      <c r="B160" s="19"/>
      <c r="C160" s="11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.75" customHeight="1">
      <c r="A161" s="19"/>
      <c r="B161" s="19"/>
      <c r="C161" s="11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.75" customHeight="1">
      <c r="A162" s="19"/>
      <c r="B162" s="19"/>
      <c r="C162" s="11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.75" customHeight="1">
      <c r="A163" s="19"/>
      <c r="B163" s="19"/>
      <c r="C163" s="11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.75" customHeight="1">
      <c r="A164" s="19"/>
      <c r="B164" s="19"/>
      <c r="C164" s="11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.75" customHeight="1">
      <c r="A165" s="19"/>
      <c r="B165" s="19"/>
      <c r="C165" s="11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.75" customHeight="1">
      <c r="A166" s="19"/>
      <c r="B166" s="19"/>
      <c r="C166" s="11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.75" customHeight="1">
      <c r="A167" s="19"/>
      <c r="B167" s="19"/>
      <c r="C167" s="11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.75" customHeight="1">
      <c r="A168" s="19"/>
      <c r="B168" s="19"/>
      <c r="C168" s="11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.75" customHeight="1">
      <c r="A169" s="19"/>
      <c r="B169" s="19"/>
      <c r="C169" s="11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.75" customHeight="1">
      <c r="A170" s="19"/>
      <c r="B170" s="19"/>
      <c r="C170" s="11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.75" customHeight="1">
      <c r="A171" s="19"/>
      <c r="B171" s="19"/>
      <c r="C171" s="11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.75" customHeight="1">
      <c r="A172" s="19"/>
      <c r="B172" s="19"/>
      <c r="C172" s="11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.75" customHeight="1">
      <c r="A173" s="19"/>
      <c r="B173" s="19"/>
      <c r="C173" s="11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.75" customHeight="1">
      <c r="A174" s="19"/>
      <c r="B174" s="19"/>
      <c r="C174" s="11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.75" customHeight="1">
      <c r="A175" s="19"/>
      <c r="B175" s="19"/>
      <c r="C175" s="11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.75" customHeight="1">
      <c r="A176" s="19"/>
      <c r="B176" s="19"/>
      <c r="C176" s="11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.75" customHeight="1">
      <c r="A177" s="19"/>
      <c r="B177" s="19"/>
      <c r="C177" s="11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.75" customHeight="1">
      <c r="A178" s="19"/>
      <c r="B178" s="19"/>
      <c r="C178" s="11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.75" customHeight="1">
      <c r="A179" s="19"/>
      <c r="B179" s="19"/>
      <c r="C179" s="11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.75" customHeight="1">
      <c r="A180" s="19"/>
      <c r="B180" s="19"/>
      <c r="C180" s="11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.75" customHeight="1">
      <c r="A181" s="19"/>
      <c r="B181" s="19"/>
      <c r="C181" s="11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.75" customHeight="1">
      <c r="A182" s="19"/>
      <c r="B182" s="19"/>
      <c r="C182" s="11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>
      <c r="A183" s="19"/>
      <c r="B183" s="19"/>
      <c r="C183" s="11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>
      <c r="A184" s="19"/>
      <c r="B184" s="19"/>
      <c r="C184" s="11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>
      <c r="A185" s="19"/>
      <c r="B185" s="19"/>
      <c r="C185" s="11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>
      <c r="A186" s="19"/>
      <c r="B186" s="19"/>
      <c r="C186" s="11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>
      <c r="A187" s="19"/>
      <c r="B187" s="19"/>
      <c r="C187" s="11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>
      <c r="A188" s="19"/>
      <c r="B188" s="19"/>
      <c r="C188" s="11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>
      <c r="A189" s="19"/>
      <c r="B189" s="19"/>
      <c r="C189" s="11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>
      <c r="A190" s="19"/>
      <c r="B190" s="19"/>
      <c r="C190" s="11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>
      <c r="A191" s="19"/>
      <c r="B191" s="19"/>
      <c r="C191" s="11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>
      <c r="A192" s="19"/>
      <c r="B192" s="19"/>
      <c r="C192" s="11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>
      <c r="A193" s="19"/>
      <c r="B193" s="19"/>
      <c r="C193" s="11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>
      <c r="A194" s="19"/>
      <c r="B194" s="19"/>
      <c r="C194" s="11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>
      <c r="A195" s="19"/>
      <c r="B195" s="19"/>
      <c r="C195" s="11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>
      <c r="A196" s="19"/>
      <c r="B196" s="19"/>
      <c r="C196" s="11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>
      <c r="A197" s="19"/>
      <c r="B197" s="19"/>
      <c r="C197" s="11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>
      <c r="A198" s="19"/>
      <c r="B198" s="19"/>
      <c r="C198" s="11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>
      <c r="A199" s="19"/>
      <c r="B199" s="19"/>
      <c r="C199" s="11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>
      <c r="A200" s="19"/>
      <c r="B200" s="19"/>
      <c r="C200" s="11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>
      <c r="A201" s="19"/>
      <c r="B201" s="19"/>
      <c r="C201" s="11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>
      <c r="A202" s="19"/>
      <c r="B202" s="19"/>
      <c r="C202" s="11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>
      <c r="A203" s="19"/>
      <c r="B203" s="19"/>
      <c r="C203" s="11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>
      <c r="A204" s="19"/>
      <c r="B204" s="19"/>
      <c r="C204" s="11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>
      <c r="A205" s="19"/>
      <c r="B205" s="19"/>
      <c r="C205" s="11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>
      <c r="A206" s="19"/>
      <c r="B206" s="19"/>
      <c r="C206" s="11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>
      <c r="A207" s="19"/>
      <c r="B207" s="19"/>
      <c r="C207" s="11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>
      <c r="A208" s="19"/>
      <c r="B208" s="19"/>
      <c r="C208" s="11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>
      <c r="A209" s="19"/>
      <c r="B209" s="19"/>
      <c r="C209" s="11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>
      <c r="A210" s="19"/>
      <c r="B210" s="19"/>
      <c r="C210" s="11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>
      <c r="A211" s="19"/>
      <c r="B211" s="19"/>
      <c r="C211" s="11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>
      <c r="A212" s="19"/>
      <c r="B212" s="19"/>
      <c r="C212" s="11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>
      <c r="A213" s="19"/>
      <c r="B213" s="19"/>
      <c r="C213" s="11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>
      <c r="A214" s="19"/>
      <c r="B214" s="19"/>
      <c r="C214" s="11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>
      <c r="A215" s="19"/>
      <c r="B215" s="19"/>
      <c r="C215" s="11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>
      <c r="A216" s="19"/>
      <c r="B216" s="19"/>
      <c r="C216" s="11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>
      <c r="A217" s="19"/>
      <c r="B217" s="19"/>
      <c r="C217" s="11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>
      <c r="A218" s="19"/>
      <c r="B218" s="19"/>
      <c r="C218" s="11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>
      <c r="A219" s="19"/>
      <c r="B219" s="19"/>
      <c r="C219" s="11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>
      <c r="A220" s="19"/>
      <c r="B220" s="19"/>
      <c r="C220" s="11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>
      <c r="A221" s="19"/>
      <c r="B221" s="19"/>
      <c r="C221" s="11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>
      <c r="A222" s="19"/>
      <c r="B222" s="19"/>
      <c r="C222" s="11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>
      <c r="A223" s="19"/>
      <c r="B223" s="19"/>
      <c r="C223" s="11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>
      <c r="A224" s="19"/>
      <c r="B224" s="19"/>
      <c r="C224" s="11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>
      <c r="A225" s="19"/>
      <c r="B225" s="19"/>
      <c r="C225" s="11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>
      <c r="A226" s="19"/>
      <c r="B226" s="19"/>
      <c r="C226" s="11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>
      <c r="A227" s="19"/>
      <c r="B227" s="19"/>
      <c r="C227" s="11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>
      <c r="A228" s="19"/>
      <c r="B228" s="19"/>
      <c r="C228" s="11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>
      <c r="A229" s="19"/>
      <c r="B229" s="19"/>
      <c r="C229" s="11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>
      <c r="A230" s="19"/>
      <c r="B230" s="19"/>
      <c r="C230" s="11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>
      <c r="A231" s="19"/>
      <c r="B231" s="19"/>
      <c r="C231" s="11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>
      <c r="A232" s="19"/>
      <c r="B232" s="19"/>
      <c r="C232" s="11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>
      <c r="A233" s="19"/>
      <c r="B233" s="19"/>
      <c r="C233" s="11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>
      <c r="A234" s="19"/>
      <c r="B234" s="19"/>
      <c r="C234" s="11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>
      <c r="A235" s="19"/>
      <c r="B235" s="19"/>
      <c r="C235" s="11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>
      <c r="A236" s="19"/>
      <c r="B236" s="19"/>
      <c r="C236" s="11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>
      <c r="A237" s="19"/>
      <c r="B237" s="19"/>
      <c r="C237" s="11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>
      <c r="A238" s="19"/>
      <c r="B238" s="19"/>
      <c r="C238" s="11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>
      <c r="A239" s="19"/>
      <c r="B239" s="19"/>
      <c r="C239" s="11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>
      <c r="A240" s="19"/>
      <c r="B240" s="19"/>
      <c r="C240" s="11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>
      <c r="A241" s="19"/>
      <c r="B241" s="19"/>
      <c r="C241" s="11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>
      <c r="A242" s="19"/>
      <c r="B242" s="19"/>
      <c r="C242" s="11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>
      <c r="A243" s="19"/>
      <c r="B243" s="19"/>
      <c r="C243" s="11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>
      <c r="A244" s="19"/>
      <c r="B244" s="19"/>
      <c r="C244" s="11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>
      <c r="A245" s="19"/>
      <c r="B245" s="19"/>
      <c r="C245" s="11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>
      <c r="A246" s="19"/>
      <c r="B246" s="19"/>
      <c r="C246" s="11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>
      <c r="A247" s="19"/>
      <c r="B247" s="19"/>
      <c r="C247" s="11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>
      <c r="A248" s="19"/>
      <c r="B248" s="19"/>
      <c r="C248" s="11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>
      <c r="A249" s="19"/>
      <c r="B249" s="19"/>
      <c r="C249" s="11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>
      <c r="A250" s="19"/>
      <c r="B250" s="19"/>
      <c r="C250" s="11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>
      <c r="A251" s="19"/>
      <c r="B251" s="19"/>
      <c r="C251" s="11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>
      <c r="A252" s="19"/>
      <c r="B252" s="19"/>
      <c r="C252" s="11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>
      <c r="A253" s="19"/>
      <c r="B253" s="19"/>
      <c r="C253" s="11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>
      <c r="A254" s="19"/>
      <c r="B254" s="19"/>
      <c r="C254" s="11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>
      <c r="A255" s="19"/>
      <c r="B255" s="19"/>
      <c r="C255" s="11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>
      <c r="A256" s="19"/>
      <c r="B256" s="19"/>
      <c r="C256" s="11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>
      <c r="A257" s="19"/>
      <c r="B257" s="19"/>
      <c r="C257" s="11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>
      <c r="A258" s="19"/>
      <c r="B258" s="19"/>
      <c r="C258" s="11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>
      <c r="A259" s="19"/>
      <c r="B259" s="19"/>
      <c r="C259" s="11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>
      <c r="A260" s="19"/>
      <c r="B260" s="19"/>
      <c r="C260" s="11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>
      <c r="A261" s="19"/>
      <c r="B261" s="19"/>
      <c r="C261" s="11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>
      <c r="A262" s="19"/>
      <c r="B262" s="19"/>
      <c r="C262" s="11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>
      <c r="A263" s="19"/>
      <c r="B263" s="19"/>
      <c r="C263" s="11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>
      <c r="A264" s="19"/>
      <c r="B264" s="19"/>
      <c r="C264" s="11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>
      <c r="A265" s="19"/>
      <c r="B265" s="19"/>
      <c r="C265" s="11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>
      <c r="A266" s="19"/>
      <c r="B266" s="19"/>
      <c r="C266" s="11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>
      <c r="A267" s="19"/>
      <c r="B267" s="19"/>
      <c r="C267" s="11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>
      <c r="A268" s="19"/>
      <c r="B268" s="19"/>
      <c r="C268" s="11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>
      <c r="A269" s="19"/>
      <c r="B269" s="19"/>
      <c r="C269" s="11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>
      <c r="A270" s="19"/>
      <c r="B270" s="19"/>
      <c r="C270" s="11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>
      <c r="A271" s="19"/>
      <c r="B271" s="19"/>
      <c r="C271" s="11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>
      <c r="A272" s="19"/>
      <c r="B272" s="19"/>
      <c r="C272" s="11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>
      <c r="A273" s="19"/>
      <c r="B273" s="19"/>
      <c r="C273" s="11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>
      <c r="A274" s="19"/>
      <c r="B274" s="19"/>
      <c r="C274" s="11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>
      <c r="A275" s="19"/>
      <c r="B275" s="19"/>
      <c r="C275" s="11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>
      <c r="A276" s="19"/>
      <c r="B276" s="19"/>
      <c r="C276" s="11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>
      <c r="A277" s="19"/>
      <c r="B277" s="19"/>
      <c r="C277" s="11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>
      <c r="A278" s="19"/>
      <c r="B278" s="19"/>
      <c r="C278" s="11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>
      <c r="A279" s="19"/>
      <c r="B279" s="19"/>
      <c r="C279" s="11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>
      <c r="A280" s="19"/>
      <c r="B280" s="19"/>
      <c r="C280" s="11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>
      <c r="A281" s="19"/>
      <c r="B281" s="19"/>
      <c r="C281" s="11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>
      <c r="A282" s="19"/>
      <c r="B282" s="19"/>
      <c r="C282" s="11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>
      <c r="A283" s="19"/>
      <c r="B283" s="19"/>
      <c r="C283" s="11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>
      <c r="A284" s="19"/>
      <c r="B284" s="19"/>
      <c r="C284" s="11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>
      <c r="A285" s="19"/>
      <c r="B285" s="19"/>
      <c r="C285" s="11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>
      <c r="A286" s="19"/>
      <c r="B286" s="19"/>
      <c r="C286" s="11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>
      <c r="A287" s="19"/>
      <c r="B287" s="19"/>
      <c r="C287" s="11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>
      <c r="A288" s="19"/>
      <c r="B288" s="19"/>
      <c r="C288" s="11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>
      <c r="A289" s="19"/>
      <c r="B289" s="19"/>
      <c r="C289" s="11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>
      <c r="A290" s="19"/>
      <c r="B290" s="19"/>
      <c r="C290" s="11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>
      <c r="A291" s="19"/>
      <c r="B291" s="19"/>
      <c r="C291" s="11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>
      <c r="A292" s="19"/>
      <c r="B292" s="19"/>
      <c r="C292" s="11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>
      <c r="A293" s="19"/>
      <c r="B293" s="19"/>
      <c r="C293" s="11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>
      <c r="A294" s="19"/>
      <c r="B294" s="19"/>
      <c r="C294" s="11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>
      <c r="A295" s="19"/>
      <c r="B295" s="19"/>
      <c r="C295" s="11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>
      <c r="A296" s="19"/>
      <c r="B296" s="19"/>
      <c r="C296" s="11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>
      <c r="A297" s="19"/>
      <c r="B297" s="19"/>
      <c r="C297" s="11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>
      <c r="A298" s="19"/>
      <c r="B298" s="19"/>
      <c r="C298" s="11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>
      <c r="A299" s="19"/>
      <c r="B299" s="19"/>
      <c r="C299" s="11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>
      <c r="A300" s="19"/>
      <c r="B300" s="19"/>
      <c r="C300" s="11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>
      <c r="A301" s="19"/>
      <c r="B301" s="19"/>
      <c r="C301" s="11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>
      <c r="A302" s="19"/>
      <c r="B302" s="19"/>
      <c r="C302" s="11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>
      <c r="A303" s="19"/>
      <c r="B303" s="19"/>
      <c r="C303" s="11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>
      <c r="A304" s="19"/>
      <c r="B304" s="19"/>
      <c r="C304" s="11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>
      <c r="A305" s="19"/>
      <c r="B305" s="19"/>
      <c r="C305" s="11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>
      <c r="A306" s="19"/>
      <c r="B306" s="19"/>
      <c r="C306" s="11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>
      <c r="A307" s="19"/>
      <c r="B307" s="19"/>
      <c r="C307" s="11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>
      <c r="A308" s="19"/>
      <c r="B308" s="19"/>
      <c r="C308" s="11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>
      <c r="A309" s="19"/>
      <c r="B309" s="19"/>
      <c r="C309" s="11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>
      <c r="A310" s="19"/>
      <c r="B310" s="19"/>
      <c r="C310" s="11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>
      <c r="A311" s="19"/>
      <c r="B311" s="19"/>
      <c r="C311" s="11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>
      <c r="A312" s="19"/>
      <c r="B312" s="19"/>
      <c r="C312" s="11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>
      <c r="A313" s="19"/>
      <c r="B313" s="19"/>
      <c r="C313" s="11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>
      <c r="A314" s="19"/>
      <c r="B314" s="19"/>
      <c r="C314" s="11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>
      <c r="A315" s="19"/>
      <c r="B315" s="19"/>
      <c r="C315" s="11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>
      <c r="A316" s="19"/>
      <c r="B316" s="19"/>
      <c r="C316" s="11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>
      <c r="A317" s="19"/>
      <c r="B317" s="19"/>
      <c r="C317" s="11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>
      <c r="A318" s="19"/>
      <c r="B318" s="19"/>
      <c r="C318" s="11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>
      <c r="A319" s="19"/>
      <c r="B319" s="19"/>
      <c r="C319" s="11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>
      <c r="A320" s="19"/>
      <c r="B320" s="19"/>
      <c r="C320" s="11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>
      <c r="A321" s="19"/>
      <c r="B321" s="19"/>
      <c r="C321" s="11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>
      <c r="A322" s="19"/>
      <c r="B322" s="19"/>
      <c r="C322" s="11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>
      <c r="A323" s="19"/>
      <c r="B323" s="19"/>
      <c r="C323" s="11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>
      <c r="A324" s="19"/>
      <c r="B324" s="19"/>
      <c r="C324" s="11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>
      <c r="A325" s="19"/>
      <c r="B325" s="19"/>
      <c r="C325" s="11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>
      <c r="A326" s="19"/>
      <c r="B326" s="19"/>
      <c r="C326" s="11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>
      <c r="A327" s="19"/>
      <c r="B327" s="19"/>
      <c r="C327" s="11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>
      <c r="A328" s="19"/>
      <c r="B328" s="19"/>
      <c r="C328" s="11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>
      <c r="A329" s="19"/>
      <c r="B329" s="19"/>
      <c r="C329" s="11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>
      <c r="A330" s="19"/>
      <c r="B330" s="19"/>
      <c r="C330" s="11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>
      <c r="A331" s="19"/>
      <c r="B331" s="19"/>
      <c r="C331" s="11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>
      <c r="A332" s="19"/>
      <c r="B332" s="19"/>
      <c r="C332" s="11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>
      <c r="A333" s="19"/>
      <c r="B333" s="19"/>
      <c r="C333" s="11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>
      <c r="A334" s="19"/>
      <c r="B334" s="19"/>
      <c r="C334" s="11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>
      <c r="A335" s="19"/>
      <c r="B335" s="19"/>
      <c r="C335" s="11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>
      <c r="A336" s="19"/>
      <c r="B336" s="19"/>
      <c r="C336" s="11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>
      <c r="A337" s="19"/>
      <c r="B337" s="19"/>
      <c r="C337" s="11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>
      <c r="A338" s="19"/>
      <c r="B338" s="19"/>
      <c r="C338" s="11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>
      <c r="A339" s="19"/>
      <c r="B339" s="19"/>
      <c r="C339" s="11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>
      <c r="A340" s="19"/>
      <c r="B340" s="19"/>
      <c r="C340" s="11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>
      <c r="A341" s="19"/>
      <c r="B341" s="19"/>
      <c r="C341" s="11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>
      <c r="A342" s="19"/>
      <c r="B342" s="19"/>
      <c r="C342" s="11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>
      <c r="A343" s="19"/>
      <c r="B343" s="19"/>
      <c r="C343" s="11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>
      <c r="A344" s="19"/>
      <c r="B344" s="19"/>
      <c r="C344" s="11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>
      <c r="A345" s="19"/>
      <c r="B345" s="19"/>
      <c r="C345" s="11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>
      <c r="A346" s="19"/>
      <c r="B346" s="19"/>
      <c r="C346" s="11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>
      <c r="A347" s="19"/>
      <c r="B347" s="19"/>
      <c r="C347" s="11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>
      <c r="A348" s="19"/>
      <c r="B348" s="19"/>
      <c r="C348" s="11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>
      <c r="A349" s="19"/>
      <c r="B349" s="19"/>
      <c r="C349" s="11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>
      <c r="A350" s="19"/>
      <c r="B350" s="19"/>
      <c r="C350" s="11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>
      <c r="A351" s="19"/>
      <c r="B351" s="19"/>
      <c r="C351" s="11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>
      <c r="A352" s="19"/>
      <c r="B352" s="19"/>
      <c r="C352" s="11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>
      <c r="A353" s="19"/>
      <c r="B353" s="19"/>
      <c r="C353" s="11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>
      <c r="A354" s="19"/>
      <c r="B354" s="19"/>
      <c r="C354" s="11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>
      <c r="A355" s="19"/>
      <c r="B355" s="19"/>
      <c r="C355" s="11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>
      <c r="A356" s="19"/>
      <c r="B356" s="19"/>
      <c r="C356" s="11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>
      <c r="A357" s="19"/>
      <c r="B357" s="19"/>
      <c r="C357" s="11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>
      <c r="A358" s="19"/>
      <c r="B358" s="19"/>
      <c r="C358" s="11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>
      <c r="A359" s="19"/>
      <c r="B359" s="19"/>
      <c r="C359" s="11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>
      <c r="A360" s="19"/>
      <c r="B360" s="19"/>
      <c r="C360" s="11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>
      <c r="A361" s="19"/>
      <c r="B361" s="19"/>
      <c r="C361" s="11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>
      <c r="A362" s="19"/>
      <c r="B362" s="19"/>
      <c r="C362" s="11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>
      <c r="A363" s="19"/>
      <c r="B363" s="19"/>
      <c r="C363" s="11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>
      <c r="A364" s="19"/>
      <c r="B364" s="19"/>
      <c r="C364" s="11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>
      <c r="A365" s="19"/>
      <c r="B365" s="19"/>
      <c r="C365" s="11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>
      <c r="A366" s="19"/>
      <c r="B366" s="19"/>
      <c r="C366" s="11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>
      <c r="A367" s="19"/>
      <c r="B367" s="19"/>
      <c r="C367" s="11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>
      <c r="A368" s="19"/>
      <c r="B368" s="19"/>
      <c r="C368" s="11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>
      <c r="A369" s="19"/>
      <c r="B369" s="19"/>
      <c r="C369" s="11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>
      <c r="A370" s="19"/>
      <c r="B370" s="19"/>
      <c r="C370" s="11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>
      <c r="A371" s="19"/>
      <c r="B371" s="19"/>
      <c r="C371" s="11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>
      <c r="A372" s="19"/>
      <c r="B372" s="19"/>
      <c r="C372" s="11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>
      <c r="A373" s="19"/>
      <c r="B373" s="19"/>
      <c r="C373" s="11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>
      <c r="A374" s="19"/>
      <c r="B374" s="19"/>
      <c r="C374" s="11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>
      <c r="A375" s="19"/>
      <c r="B375" s="19"/>
      <c r="C375" s="11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>
      <c r="A376" s="19"/>
      <c r="B376" s="19"/>
      <c r="C376" s="11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>
      <c r="A377" s="19"/>
      <c r="B377" s="19"/>
      <c r="C377" s="11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>
      <c r="A378" s="19"/>
      <c r="B378" s="19"/>
      <c r="C378" s="11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>
      <c r="A379" s="19"/>
      <c r="B379" s="19"/>
      <c r="C379" s="11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>
      <c r="A380" s="19"/>
      <c r="B380" s="19"/>
      <c r="C380" s="11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>
      <c r="A381" s="19"/>
      <c r="B381" s="19"/>
      <c r="C381" s="11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>
      <c r="A382" s="19"/>
      <c r="B382" s="19"/>
      <c r="C382" s="11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>
      <c r="A383" s="19"/>
      <c r="B383" s="19"/>
      <c r="C383" s="11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>
      <c r="A384" s="19"/>
      <c r="B384" s="19"/>
      <c r="C384" s="11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>
      <c r="A385" s="19"/>
      <c r="B385" s="19"/>
      <c r="C385" s="11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>
      <c r="A386" s="19"/>
      <c r="B386" s="19"/>
      <c r="C386" s="11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>
      <c r="A387" s="19"/>
      <c r="B387" s="19"/>
      <c r="C387" s="11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>
      <c r="A388" s="19"/>
      <c r="B388" s="19"/>
      <c r="C388" s="11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>
      <c r="A389" s="19"/>
      <c r="B389" s="19"/>
      <c r="C389" s="11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>
      <c r="A390" s="19"/>
      <c r="B390" s="19"/>
      <c r="C390" s="11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>
      <c r="A391" s="19"/>
      <c r="B391" s="19"/>
      <c r="C391" s="11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>
      <c r="A392" s="19"/>
      <c r="B392" s="19"/>
      <c r="C392" s="11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>
      <c r="A393" s="19"/>
      <c r="B393" s="19"/>
      <c r="C393" s="11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>
      <c r="A394" s="19"/>
      <c r="B394" s="19"/>
      <c r="C394" s="11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>
      <c r="A395" s="19"/>
      <c r="B395" s="19"/>
      <c r="C395" s="11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>
      <c r="A396" s="19"/>
      <c r="B396" s="19"/>
      <c r="C396" s="11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>
      <c r="A397" s="19"/>
      <c r="B397" s="19"/>
      <c r="C397" s="11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>
      <c r="A398" s="19"/>
      <c r="B398" s="19"/>
      <c r="C398" s="11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>
      <c r="A399" s="19"/>
      <c r="B399" s="19"/>
      <c r="C399" s="11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>
      <c r="A400" s="19"/>
      <c r="B400" s="19"/>
      <c r="C400" s="11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>
      <c r="A401" s="19"/>
      <c r="B401" s="19"/>
      <c r="C401" s="11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>
      <c r="A402" s="19"/>
      <c r="B402" s="19"/>
      <c r="C402" s="11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>
      <c r="A403" s="19"/>
      <c r="B403" s="19"/>
      <c r="C403" s="11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>
      <c r="A404" s="19"/>
      <c r="B404" s="19"/>
      <c r="C404" s="11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>
      <c r="A405" s="19"/>
      <c r="B405" s="19"/>
      <c r="C405" s="11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>
      <c r="A406" s="19"/>
      <c r="B406" s="19"/>
      <c r="C406" s="11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>
      <c r="A407" s="19"/>
      <c r="B407" s="19"/>
      <c r="C407" s="11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>
      <c r="A408" s="19"/>
      <c r="B408" s="19"/>
      <c r="C408" s="11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>
      <c r="A409" s="19"/>
      <c r="B409" s="19"/>
      <c r="C409" s="11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>
      <c r="A410" s="19"/>
      <c r="B410" s="19"/>
      <c r="C410" s="11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>
      <c r="A411" s="19"/>
      <c r="B411" s="19"/>
      <c r="C411" s="11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>
      <c r="A412" s="19"/>
      <c r="B412" s="19"/>
      <c r="C412" s="11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>
      <c r="A413" s="19"/>
      <c r="B413" s="19"/>
      <c r="C413" s="11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>
      <c r="A414" s="19"/>
      <c r="B414" s="19"/>
      <c r="C414" s="11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>
      <c r="A415" s="19"/>
      <c r="B415" s="19"/>
      <c r="C415" s="11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>
      <c r="A416" s="19"/>
      <c r="B416" s="19"/>
      <c r="C416" s="11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>
      <c r="A417" s="19"/>
      <c r="B417" s="19"/>
      <c r="C417" s="11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>
      <c r="A418" s="19"/>
      <c r="B418" s="19"/>
      <c r="C418" s="11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>
      <c r="A419" s="19"/>
      <c r="B419" s="19"/>
      <c r="C419" s="11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>
      <c r="A420" s="19"/>
      <c r="B420" s="19"/>
      <c r="C420" s="11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>
      <c r="A421" s="19"/>
      <c r="B421" s="19"/>
      <c r="C421" s="11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>
      <c r="A422" s="19"/>
      <c r="B422" s="19"/>
      <c r="C422" s="11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>
      <c r="A423" s="19"/>
      <c r="B423" s="19"/>
      <c r="C423" s="11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>
      <c r="A424" s="19"/>
      <c r="B424" s="19"/>
      <c r="C424" s="11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>
      <c r="A425" s="19"/>
      <c r="B425" s="19"/>
      <c r="C425" s="11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>
      <c r="A426" s="19"/>
      <c r="B426" s="19"/>
      <c r="C426" s="11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>
      <c r="A427" s="19"/>
      <c r="B427" s="19"/>
      <c r="C427" s="11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>
      <c r="A428" s="19"/>
      <c r="B428" s="19"/>
      <c r="C428" s="11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>
      <c r="A429" s="19"/>
      <c r="B429" s="19"/>
      <c r="C429" s="11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>
      <c r="A430" s="19"/>
      <c r="B430" s="19"/>
      <c r="C430" s="11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>
      <c r="A431" s="19"/>
      <c r="B431" s="19"/>
      <c r="C431" s="11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>
      <c r="A432" s="19"/>
      <c r="B432" s="19"/>
      <c r="C432" s="11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>
      <c r="A433" s="19"/>
      <c r="B433" s="19"/>
      <c r="C433" s="11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>
      <c r="A434" s="19"/>
      <c r="B434" s="19"/>
      <c r="C434" s="11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>
      <c r="A435" s="19"/>
      <c r="B435" s="19"/>
      <c r="C435" s="11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>
      <c r="A436" s="19"/>
      <c r="B436" s="19"/>
      <c r="C436" s="11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>
      <c r="A437" s="19"/>
      <c r="B437" s="19"/>
      <c r="C437" s="11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>
      <c r="A438" s="19"/>
      <c r="B438" s="19"/>
      <c r="C438" s="11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>
      <c r="A439" s="19"/>
      <c r="B439" s="19"/>
      <c r="C439" s="11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>
      <c r="A440" s="19"/>
      <c r="B440" s="19"/>
      <c r="C440" s="11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>
      <c r="A441" s="19"/>
      <c r="B441" s="19"/>
      <c r="C441" s="11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>
      <c r="A442" s="19"/>
      <c r="B442" s="19"/>
      <c r="C442" s="11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>
      <c r="A443" s="19"/>
      <c r="B443" s="19"/>
      <c r="C443" s="11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>
      <c r="A444" s="19"/>
      <c r="B444" s="19"/>
      <c r="C444" s="11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>
      <c r="A445" s="19"/>
      <c r="B445" s="19"/>
      <c r="C445" s="11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>
      <c r="A446" s="19"/>
      <c r="B446" s="19"/>
      <c r="C446" s="11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>
      <c r="A447" s="19"/>
      <c r="B447" s="19"/>
      <c r="C447" s="11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>
      <c r="A448" s="19"/>
      <c r="B448" s="19"/>
      <c r="C448" s="11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>
      <c r="A449" s="19"/>
      <c r="B449" s="19"/>
      <c r="C449" s="11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>
      <c r="A450" s="19"/>
      <c r="B450" s="19"/>
      <c r="C450" s="11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>
      <c r="A451" s="19"/>
      <c r="B451" s="19"/>
      <c r="C451" s="11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>
      <c r="A452" s="19"/>
      <c r="B452" s="19"/>
      <c r="C452" s="11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>
      <c r="A453" s="19"/>
      <c r="B453" s="19"/>
      <c r="C453" s="11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>
      <c r="A454" s="19"/>
      <c r="B454" s="19"/>
      <c r="C454" s="11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>
      <c r="A455" s="19"/>
      <c r="B455" s="19"/>
      <c r="C455" s="11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>
      <c r="A456" s="19"/>
      <c r="B456" s="19"/>
      <c r="C456" s="11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>
      <c r="A457" s="19"/>
      <c r="B457" s="19"/>
      <c r="C457" s="11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>
      <c r="A458" s="19"/>
      <c r="B458" s="19"/>
      <c r="C458" s="11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>
      <c r="A459" s="19"/>
      <c r="B459" s="19"/>
      <c r="C459" s="11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>
      <c r="A460" s="19"/>
      <c r="B460" s="19"/>
      <c r="C460" s="11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>
      <c r="A461" s="19"/>
      <c r="B461" s="19"/>
      <c r="C461" s="11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>
      <c r="A462" s="19"/>
      <c r="B462" s="19"/>
      <c r="C462" s="11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>
      <c r="A463" s="19"/>
      <c r="B463" s="19"/>
      <c r="C463" s="11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>
      <c r="A464" s="19"/>
      <c r="B464" s="19"/>
      <c r="C464" s="11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>
      <c r="A465" s="19"/>
      <c r="B465" s="19"/>
      <c r="C465" s="11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>
      <c r="A466" s="19"/>
      <c r="B466" s="19"/>
      <c r="C466" s="11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>
      <c r="A467" s="19"/>
      <c r="B467" s="19"/>
      <c r="C467" s="11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>
      <c r="A468" s="19"/>
      <c r="B468" s="19"/>
      <c r="C468" s="11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>
      <c r="A469" s="19"/>
      <c r="B469" s="19"/>
      <c r="C469" s="11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>
      <c r="A470" s="19"/>
      <c r="B470" s="19"/>
      <c r="C470" s="11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>
      <c r="A471" s="19"/>
      <c r="B471" s="19"/>
      <c r="C471" s="11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>
      <c r="A472" s="19"/>
      <c r="B472" s="19"/>
      <c r="C472" s="11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>
      <c r="A473" s="19"/>
      <c r="B473" s="19"/>
      <c r="C473" s="11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>
      <c r="A474" s="19"/>
      <c r="B474" s="19"/>
      <c r="C474" s="11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>
      <c r="A475" s="19"/>
      <c r="B475" s="19"/>
      <c r="C475" s="11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>
      <c r="A476" s="19"/>
      <c r="B476" s="19"/>
      <c r="C476" s="11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>
      <c r="A477" s="19"/>
      <c r="B477" s="19"/>
      <c r="C477" s="11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>
      <c r="A478" s="19"/>
      <c r="B478" s="19"/>
      <c r="C478" s="11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>
      <c r="A479" s="19"/>
      <c r="B479" s="19"/>
      <c r="C479" s="11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>
      <c r="A480" s="19"/>
      <c r="B480" s="19"/>
      <c r="C480" s="11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>
      <c r="A481" s="19"/>
      <c r="B481" s="19"/>
      <c r="C481" s="11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>
      <c r="A482" s="19"/>
      <c r="B482" s="19"/>
      <c r="C482" s="11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>
      <c r="A483" s="19"/>
      <c r="B483" s="19"/>
      <c r="C483" s="11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>
      <c r="A484" s="19"/>
      <c r="B484" s="19"/>
      <c r="C484" s="11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>
      <c r="A485" s="19"/>
      <c r="B485" s="19"/>
      <c r="C485" s="11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>
      <c r="A486" s="19"/>
      <c r="B486" s="19"/>
      <c r="C486" s="11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>
      <c r="A487" s="19"/>
      <c r="B487" s="19"/>
      <c r="C487" s="11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>
      <c r="A488" s="19"/>
      <c r="B488" s="19"/>
      <c r="C488" s="11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>
      <c r="A489" s="19"/>
      <c r="B489" s="19"/>
      <c r="C489" s="11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>
      <c r="A490" s="19"/>
      <c r="B490" s="19"/>
      <c r="C490" s="11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>
      <c r="A491" s="19"/>
      <c r="B491" s="19"/>
      <c r="C491" s="11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>
      <c r="A492" s="19"/>
      <c r="B492" s="19"/>
      <c r="C492" s="11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>
      <c r="A493" s="19"/>
      <c r="B493" s="19"/>
      <c r="C493" s="11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>
      <c r="A494" s="19"/>
      <c r="B494" s="19"/>
      <c r="C494" s="11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>
      <c r="A495" s="19"/>
      <c r="B495" s="19"/>
      <c r="C495" s="11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>
      <c r="A496" s="19"/>
      <c r="B496" s="19"/>
      <c r="C496" s="11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>
      <c r="A497" s="19"/>
      <c r="B497" s="19"/>
      <c r="C497" s="11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>
      <c r="A498" s="19"/>
      <c r="B498" s="19"/>
      <c r="C498" s="11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>
      <c r="A499" s="19"/>
      <c r="B499" s="19"/>
      <c r="C499" s="11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>
      <c r="A500" s="19"/>
      <c r="B500" s="19"/>
      <c r="C500" s="11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>
      <c r="A501" s="19"/>
      <c r="B501" s="19"/>
      <c r="C501" s="11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>
      <c r="A502" s="19"/>
      <c r="B502" s="19"/>
      <c r="C502" s="11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>
      <c r="A503" s="19"/>
      <c r="B503" s="19"/>
      <c r="C503" s="11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>
      <c r="A504" s="19"/>
      <c r="B504" s="19"/>
      <c r="C504" s="11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>
      <c r="A505" s="19"/>
      <c r="B505" s="19"/>
      <c r="C505" s="11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>
      <c r="A506" s="19"/>
      <c r="B506" s="19"/>
      <c r="C506" s="11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>
      <c r="A507" s="19"/>
      <c r="B507" s="19"/>
      <c r="C507" s="11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>
      <c r="A508" s="19"/>
      <c r="B508" s="19"/>
      <c r="C508" s="11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>
      <c r="A509" s="19"/>
      <c r="B509" s="19"/>
      <c r="C509" s="11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>
      <c r="A510" s="19"/>
      <c r="B510" s="19"/>
      <c r="C510" s="11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>
      <c r="A511" s="19"/>
      <c r="B511" s="19"/>
      <c r="C511" s="11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>
      <c r="A512" s="19"/>
      <c r="B512" s="19"/>
      <c r="C512" s="11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>
      <c r="A513" s="19"/>
      <c r="B513" s="19"/>
      <c r="C513" s="11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>
      <c r="A514" s="19"/>
      <c r="B514" s="19"/>
      <c r="C514" s="11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>
      <c r="A515" s="19"/>
      <c r="B515" s="19"/>
      <c r="C515" s="11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>
      <c r="A516" s="19"/>
      <c r="B516" s="19"/>
      <c r="C516" s="11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>
      <c r="A517" s="19"/>
      <c r="B517" s="19"/>
      <c r="C517" s="11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>
      <c r="A518" s="19"/>
      <c r="B518" s="19"/>
      <c r="C518" s="11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>
      <c r="A519" s="19"/>
      <c r="B519" s="19"/>
      <c r="C519" s="11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>
      <c r="A520" s="19"/>
      <c r="B520" s="19"/>
      <c r="C520" s="11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>
      <c r="A521" s="19"/>
      <c r="B521" s="19"/>
      <c r="C521" s="11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>
      <c r="A522" s="19"/>
      <c r="B522" s="19"/>
      <c r="C522" s="11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>
      <c r="A523" s="19"/>
      <c r="B523" s="19"/>
      <c r="C523" s="11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>
      <c r="A524" s="19"/>
      <c r="B524" s="19"/>
      <c r="C524" s="11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>
      <c r="A525" s="19"/>
      <c r="B525" s="19"/>
      <c r="C525" s="11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>
      <c r="A526" s="19"/>
      <c r="B526" s="19"/>
      <c r="C526" s="11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>
      <c r="A527" s="19"/>
      <c r="B527" s="19"/>
      <c r="C527" s="11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>
      <c r="A528" s="19"/>
      <c r="B528" s="19"/>
      <c r="C528" s="11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>
      <c r="A529" s="19"/>
      <c r="B529" s="19"/>
      <c r="C529" s="11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>
      <c r="A530" s="19"/>
      <c r="B530" s="19"/>
      <c r="C530" s="11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>
      <c r="A531" s="19"/>
      <c r="B531" s="19"/>
      <c r="C531" s="11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>
      <c r="A532" s="19"/>
      <c r="B532" s="19"/>
      <c r="C532" s="11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>
      <c r="A533" s="19"/>
      <c r="B533" s="19"/>
      <c r="C533" s="11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>
      <c r="A534" s="19"/>
      <c r="B534" s="19"/>
      <c r="C534" s="11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>
      <c r="A535" s="19"/>
      <c r="B535" s="19"/>
      <c r="C535" s="11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>
      <c r="A536" s="19"/>
      <c r="B536" s="19"/>
      <c r="C536" s="11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>
      <c r="A537" s="19"/>
      <c r="B537" s="19"/>
      <c r="C537" s="11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>
      <c r="A538" s="19"/>
      <c r="B538" s="19"/>
      <c r="C538" s="11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>
      <c r="A539" s="19"/>
      <c r="B539" s="19"/>
      <c r="C539" s="11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>
      <c r="A540" s="19"/>
      <c r="B540" s="19"/>
      <c r="C540" s="11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>
      <c r="A541" s="19"/>
      <c r="B541" s="19"/>
      <c r="C541" s="11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>
      <c r="A542" s="19"/>
      <c r="B542" s="19"/>
      <c r="C542" s="11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>
      <c r="A543" s="19"/>
      <c r="B543" s="19"/>
      <c r="C543" s="11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>
      <c r="A544" s="19"/>
      <c r="B544" s="19"/>
      <c r="C544" s="11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>
      <c r="A545" s="19"/>
      <c r="B545" s="19"/>
      <c r="C545" s="11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>
      <c r="A546" s="19"/>
      <c r="B546" s="19"/>
      <c r="C546" s="11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>
      <c r="A547" s="19"/>
      <c r="B547" s="19"/>
      <c r="C547" s="11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>
      <c r="A548" s="19"/>
      <c r="B548" s="19"/>
      <c r="C548" s="11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>
      <c r="A549" s="19"/>
      <c r="B549" s="19"/>
      <c r="C549" s="11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>
      <c r="A550" s="19"/>
      <c r="B550" s="19"/>
      <c r="C550" s="11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>
      <c r="A551" s="19"/>
      <c r="B551" s="19"/>
      <c r="C551" s="11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>
      <c r="A552" s="19"/>
      <c r="B552" s="19"/>
      <c r="C552" s="11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>
      <c r="A553" s="19"/>
      <c r="B553" s="19"/>
      <c r="C553" s="11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>
      <c r="A554" s="19"/>
      <c r="B554" s="19"/>
      <c r="C554" s="11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>
      <c r="A555" s="19"/>
      <c r="B555" s="19"/>
      <c r="C555" s="11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>
      <c r="A556" s="19"/>
      <c r="B556" s="19"/>
      <c r="C556" s="11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>
      <c r="A557" s="19"/>
      <c r="B557" s="19"/>
      <c r="C557" s="11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>
      <c r="A558" s="19"/>
      <c r="B558" s="19"/>
      <c r="C558" s="11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>
      <c r="A559" s="19"/>
      <c r="B559" s="19"/>
      <c r="C559" s="11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>
      <c r="A560" s="19"/>
      <c r="B560" s="19"/>
      <c r="C560" s="11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>
      <c r="A561" s="19"/>
      <c r="B561" s="19"/>
      <c r="C561" s="11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>
      <c r="A562" s="19"/>
      <c r="B562" s="19"/>
      <c r="C562" s="11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>
      <c r="A563" s="19"/>
      <c r="B563" s="19"/>
      <c r="C563" s="11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>
      <c r="A564" s="19"/>
      <c r="B564" s="19"/>
      <c r="C564" s="11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>
      <c r="A565" s="19"/>
      <c r="B565" s="19"/>
      <c r="C565" s="11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>
      <c r="A566" s="19"/>
      <c r="B566" s="19"/>
      <c r="C566" s="11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>
      <c r="A567" s="19"/>
      <c r="B567" s="19"/>
      <c r="C567" s="11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>
      <c r="A568" s="19"/>
      <c r="B568" s="19"/>
      <c r="C568" s="11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>
      <c r="A569" s="19"/>
      <c r="B569" s="19"/>
      <c r="C569" s="11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>
      <c r="A570" s="19"/>
      <c r="B570" s="19"/>
      <c r="C570" s="11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>
      <c r="A571" s="19"/>
      <c r="B571" s="19"/>
      <c r="C571" s="11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>
      <c r="A572" s="19"/>
      <c r="B572" s="19"/>
      <c r="C572" s="11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>
      <c r="A573" s="19"/>
      <c r="B573" s="19"/>
      <c r="C573" s="11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>
      <c r="A574" s="19"/>
      <c r="B574" s="19"/>
      <c r="C574" s="11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>
      <c r="A575" s="19"/>
      <c r="B575" s="19"/>
      <c r="C575" s="11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>
      <c r="A576" s="19"/>
      <c r="B576" s="19"/>
      <c r="C576" s="11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>
      <c r="A577" s="19"/>
      <c r="B577" s="19"/>
      <c r="C577" s="11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>
      <c r="A578" s="19"/>
      <c r="B578" s="19"/>
      <c r="C578" s="11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>
      <c r="A579" s="19"/>
      <c r="B579" s="19"/>
      <c r="C579" s="11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>
      <c r="A580" s="19"/>
      <c r="B580" s="19"/>
      <c r="C580" s="11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>
      <c r="A581" s="19"/>
      <c r="B581" s="19"/>
      <c r="C581" s="11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>
      <c r="A582" s="19"/>
      <c r="B582" s="19"/>
      <c r="C582" s="11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>
      <c r="A583" s="19"/>
      <c r="B583" s="19"/>
      <c r="C583" s="11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>
      <c r="A584" s="19"/>
      <c r="B584" s="19"/>
      <c r="C584" s="11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>
      <c r="A585" s="19"/>
      <c r="B585" s="19"/>
      <c r="C585" s="11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>
      <c r="A586" s="19"/>
      <c r="B586" s="19"/>
      <c r="C586" s="11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>
      <c r="A587" s="19"/>
      <c r="B587" s="19"/>
      <c r="C587" s="11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>
      <c r="A588" s="19"/>
      <c r="B588" s="19"/>
      <c r="C588" s="11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>
      <c r="A589" s="19"/>
      <c r="B589" s="19"/>
      <c r="C589" s="11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>
      <c r="A590" s="19"/>
      <c r="B590" s="19"/>
      <c r="C590" s="11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>
      <c r="A591" s="19"/>
      <c r="B591" s="19"/>
      <c r="C591" s="11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>
      <c r="A592" s="19"/>
      <c r="B592" s="19"/>
      <c r="C592" s="11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>
      <c r="A593" s="19"/>
      <c r="B593" s="19"/>
      <c r="C593" s="11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>
      <c r="A594" s="19"/>
      <c r="B594" s="19"/>
      <c r="C594" s="11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>
      <c r="A595" s="19"/>
      <c r="B595" s="19"/>
      <c r="C595" s="11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>
      <c r="A596" s="19"/>
      <c r="B596" s="19"/>
      <c r="C596" s="11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>
      <c r="A597" s="19"/>
      <c r="B597" s="19"/>
      <c r="C597" s="11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>
      <c r="A598" s="19"/>
      <c r="B598" s="19"/>
      <c r="C598" s="11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>
      <c r="A599" s="19"/>
      <c r="B599" s="19"/>
      <c r="C599" s="11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>
      <c r="A600" s="19"/>
      <c r="B600" s="19"/>
      <c r="C600" s="11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>
      <c r="A601" s="19"/>
      <c r="B601" s="19"/>
      <c r="C601" s="11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>
      <c r="A602" s="19"/>
      <c r="B602" s="19"/>
      <c r="C602" s="11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>
      <c r="A603" s="19"/>
      <c r="B603" s="19"/>
      <c r="C603" s="11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>
      <c r="A604" s="19"/>
      <c r="B604" s="19"/>
      <c r="C604" s="11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>
      <c r="A605" s="19"/>
      <c r="B605" s="19"/>
      <c r="C605" s="11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>
      <c r="A606" s="19"/>
      <c r="B606" s="19"/>
      <c r="C606" s="11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>
      <c r="A607" s="19"/>
      <c r="B607" s="19"/>
      <c r="C607" s="11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>
      <c r="A608" s="19"/>
      <c r="B608" s="19"/>
      <c r="C608" s="11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>
      <c r="A609" s="19"/>
      <c r="B609" s="19"/>
      <c r="C609" s="11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>
      <c r="A610" s="19"/>
      <c r="B610" s="19"/>
      <c r="C610" s="11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>
      <c r="A611" s="19"/>
      <c r="B611" s="19"/>
      <c r="C611" s="11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>
      <c r="A612" s="19"/>
      <c r="B612" s="19"/>
      <c r="C612" s="11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>
      <c r="A613" s="19"/>
      <c r="B613" s="19"/>
      <c r="C613" s="11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>
      <c r="A614" s="19"/>
      <c r="B614" s="19"/>
      <c r="C614" s="11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>
      <c r="A615" s="19"/>
      <c r="B615" s="19"/>
      <c r="C615" s="11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>
      <c r="A616" s="19"/>
      <c r="B616" s="19"/>
      <c r="C616" s="11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>
      <c r="A617" s="19"/>
      <c r="B617" s="19"/>
      <c r="C617" s="11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>
      <c r="A618" s="19"/>
      <c r="B618" s="19"/>
      <c r="C618" s="11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>
      <c r="A619" s="19"/>
      <c r="B619" s="19"/>
      <c r="C619" s="11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>
      <c r="A620" s="19"/>
      <c r="B620" s="19"/>
      <c r="C620" s="11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>
      <c r="A621" s="19"/>
      <c r="B621" s="19"/>
      <c r="C621" s="11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>
      <c r="A622" s="19"/>
      <c r="B622" s="19"/>
      <c r="C622" s="11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>
      <c r="A623" s="19"/>
      <c r="B623" s="19"/>
      <c r="C623" s="11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>
      <c r="A624" s="19"/>
      <c r="B624" s="19"/>
      <c r="C624" s="11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>
      <c r="A625" s="19"/>
      <c r="B625" s="19"/>
      <c r="C625" s="11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>
      <c r="A626" s="19"/>
      <c r="B626" s="19"/>
      <c r="C626" s="11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>
      <c r="A627" s="19"/>
      <c r="B627" s="19"/>
      <c r="C627" s="11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>
      <c r="A628" s="19"/>
      <c r="B628" s="19"/>
      <c r="C628" s="11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>
      <c r="A629" s="19"/>
      <c r="B629" s="19"/>
      <c r="C629" s="11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>
      <c r="A630" s="19"/>
      <c r="B630" s="19"/>
      <c r="C630" s="11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>
      <c r="A631" s="19"/>
      <c r="B631" s="19"/>
      <c r="C631" s="11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>
      <c r="A632" s="19"/>
      <c r="B632" s="19"/>
      <c r="C632" s="11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>
      <c r="A633" s="19"/>
      <c r="B633" s="19"/>
      <c r="C633" s="11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>
      <c r="A634" s="19"/>
      <c r="B634" s="19"/>
      <c r="C634" s="11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>
      <c r="A635" s="19"/>
      <c r="B635" s="19"/>
      <c r="C635" s="11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>
      <c r="A636" s="19"/>
      <c r="B636" s="19"/>
      <c r="C636" s="11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>
      <c r="A637" s="19"/>
      <c r="B637" s="19"/>
      <c r="C637" s="11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>
      <c r="A638" s="19"/>
      <c r="B638" s="19"/>
      <c r="C638" s="11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>
      <c r="A639" s="19"/>
      <c r="B639" s="19"/>
      <c r="C639" s="11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>
      <c r="A640" s="19"/>
      <c r="B640" s="19"/>
      <c r="C640" s="11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>
      <c r="A641" s="19"/>
      <c r="B641" s="19"/>
      <c r="C641" s="11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>
      <c r="A642" s="19"/>
      <c r="B642" s="19"/>
      <c r="C642" s="11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>
      <c r="A643" s="19"/>
      <c r="B643" s="19"/>
      <c r="C643" s="11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>
      <c r="A644" s="19"/>
      <c r="B644" s="19"/>
      <c r="C644" s="11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>
      <c r="A645" s="19"/>
      <c r="B645" s="19"/>
      <c r="C645" s="11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>
      <c r="A646" s="19"/>
      <c r="B646" s="19"/>
      <c r="C646" s="11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>
      <c r="A647" s="19"/>
      <c r="B647" s="19"/>
      <c r="C647" s="11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>
      <c r="A648" s="19"/>
      <c r="B648" s="19"/>
      <c r="C648" s="11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>
      <c r="A649" s="19"/>
      <c r="B649" s="19"/>
      <c r="C649" s="11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>
      <c r="A650" s="19"/>
      <c r="B650" s="19"/>
      <c r="C650" s="11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>
      <c r="A651" s="19"/>
      <c r="B651" s="19"/>
      <c r="C651" s="11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>
      <c r="A652" s="19"/>
      <c r="B652" s="19"/>
      <c r="C652" s="11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>
      <c r="A653" s="19"/>
      <c r="B653" s="19"/>
      <c r="C653" s="11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>
      <c r="A654" s="19"/>
      <c r="B654" s="19"/>
      <c r="C654" s="11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>
      <c r="A655" s="19"/>
      <c r="B655" s="19"/>
      <c r="C655" s="11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>
      <c r="A656" s="19"/>
      <c r="B656" s="19"/>
      <c r="C656" s="11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>
      <c r="A657" s="19"/>
      <c r="B657" s="19"/>
      <c r="C657" s="11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>
      <c r="A658" s="19"/>
      <c r="B658" s="19"/>
      <c r="C658" s="11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>
      <c r="A659" s="19"/>
      <c r="B659" s="19"/>
      <c r="C659" s="11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>
      <c r="A660" s="19"/>
      <c r="B660" s="19"/>
      <c r="C660" s="11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>
      <c r="A661" s="19"/>
      <c r="B661" s="19"/>
      <c r="C661" s="11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>
      <c r="A662" s="19"/>
      <c r="B662" s="19"/>
      <c r="C662" s="11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>
      <c r="A663" s="19"/>
      <c r="B663" s="19"/>
      <c r="C663" s="11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>
      <c r="A664" s="19"/>
      <c r="B664" s="19"/>
      <c r="C664" s="11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>
      <c r="A665" s="19"/>
      <c r="B665" s="19"/>
      <c r="C665" s="11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>
      <c r="A666" s="19"/>
      <c r="B666" s="19"/>
      <c r="C666" s="11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>
      <c r="A667" s="19"/>
      <c r="B667" s="19"/>
      <c r="C667" s="11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>
      <c r="A668" s="19"/>
      <c r="B668" s="19"/>
      <c r="C668" s="11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>
      <c r="A669" s="19"/>
      <c r="B669" s="19"/>
      <c r="C669" s="11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>
      <c r="A670" s="19"/>
      <c r="B670" s="19"/>
      <c r="C670" s="11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>
      <c r="A671" s="19"/>
      <c r="B671" s="19"/>
      <c r="C671" s="11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>
      <c r="A672" s="19"/>
      <c r="B672" s="19"/>
      <c r="C672" s="11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>
      <c r="A673" s="19"/>
      <c r="B673" s="19"/>
      <c r="C673" s="11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>
      <c r="A674" s="19"/>
      <c r="B674" s="19"/>
      <c r="C674" s="11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>
      <c r="A675" s="19"/>
      <c r="B675" s="19"/>
      <c r="C675" s="11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>
      <c r="A676" s="19"/>
      <c r="B676" s="19"/>
      <c r="C676" s="11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>
      <c r="A677" s="19"/>
      <c r="B677" s="19"/>
      <c r="C677" s="11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>
      <c r="A678" s="19"/>
      <c r="B678" s="19"/>
      <c r="C678" s="11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>
      <c r="A679" s="19"/>
      <c r="B679" s="19"/>
      <c r="C679" s="11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>
      <c r="A680" s="19"/>
      <c r="B680" s="19"/>
      <c r="C680" s="11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>
      <c r="A681" s="19"/>
      <c r="B681" s="19"/>
      <c r="C681" s="11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>
      <c r="A682" s="19"/>
      <c r="B682" s="19"/>
      <c r="C682" s="11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>
      <c r="A683" s="19"/>
      <c r="B683" s="19"/>
      <c r="C683" s="11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>
      <c r="A684" s="19"/>
      <c r="B684" s="19"/>
      <c r="C684" s="11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>
      <c r="A685" s="19"/>
      <c r="B685" s="19"/>
      <c r="C685" s="11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>
      <c r="A686" s="19"/>
      <c r="B686" s="19"/>
      <c r="C686" s="11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>
      <c r="A687" s="19"/>
      <c r="B687" s="19"/>
      <c r="C687" s="11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>
      <c r="A688" s="19"/>
      <c r="B688" s="19"/>
      <c r="C688" s="11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>
      <c r="A689" s="19"/>
      <c r="B689" s="19"/>
      <c r="C689" s="11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>
      <c r="A690" s="19"/>
      <c r="B690" s="19"/>
      <c r="C690" s="11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>
      <c r="A691" s="19"/>
      <c r="B691" s="19"/>
      <c r="C691" s="11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>
      <c r="A692" s="19"/>
      <c r="B692" s="19"/>
      <c r="C692" s="11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>
      <c r="A693" s="19"/>
      <c r="B693" s="19"/>
      <c r="C693" s="11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>
      <c r="A694" s="19"/>
      <c r="B694" s="19"/>
      <c r="C694" s="11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>
      <c r="A695" s="19"/>
      <c r="B695" s="19"/>
      <c r="C695" s="11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>
      <c r="A696" s="19"/>
      <c r="B696" s="19"/>
      <c r="C696" s="11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>
      <c r="A697" s="19"/>
      <c r="B697" s="19"/>
      <c r="C697" s="11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>
      <c r="A698" s="19"/>
      <c r="B698" s="19"/>
      <c r="C698" s="11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>
      <c r="A699" s="19"/>
      <c r="B699" s="19"/>
      <c r="C699" s="11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>
      <c r="A700" s="19"/>
      <c r="B700" s="19"/>
      <c r="C700" s="11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>
      <c r="A701" s="19"/>
      <c r="B701" s="19"/>
      <c r="C701" s="11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>
      <c r="A702" s="19"/>
      <c r="B702" s="19"/>
      <c r="C702" s="11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>
      <c r="A703" s="19"/>
      <c r="B703" s="19"/>
      <c r="C703" s="11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>
      <c r="A704" s="19"/>
      <c r="B704" s="19"/>
      <c r="C704" s="11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>
      <c r="A705" s="19"/>
      <c r="B705" s="19"/>
      <c r="C705" s="11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>
      <c r="A706" s="19"/>
      <c r="B706" s="19"/>
      <c r="C706" s="11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>
      <c r="A707" s="19"/>
      <c r="B707" s="19"/>
      <c r="C707" s="11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>
      <c r="A708" s="19"/>
      <c r="B708" s="19"/>
      <c r="C708" s="11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>
      <c r="A709" s="19"/>
      <c r="B709" s="19"/>
      <c r="C709" s="11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>
      <c r="A710" s="19"/>
      <c r="B710" s="19"/>
      <c r="C710" s="11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>
      <c r="A711" s="19"/>
      <c r="B711" s="19"/>
      <c r="C711" s="11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>
      <c r="A712" s="19"/>
      <c r="B712" s="19"/>
      <c r="C712" s="11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>
      <c r="A713" s="19"/>
      <c r="B713" s="19"/>
      <c r="C713" s="11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>
      <c r="A714" s="19"/>
      <c r="B714" s="19"/>
      <c r="C714" s="11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>
      <c r="A715" s="19"/>
      <c r="B715" s="19"/>
      <c r="C715" s="11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>
      <c r="A716" s="19"/>
      <c r="B716" s="19"/>
      <c r="C716" s="11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>
      <c r="A717" s="19"/>
      <c r="B717" s="19"/>
      <c r="C717" s="11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>
      <c r="A718" s="19"/>
      <c r="B718" s="19"/>
      <c r="C718" s="11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>
      <c r="A719" s="19"/>
      <c r="B719" s="19"/>
      <c r="C719" s="11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>
      <c r="A720" s="19"/>
      <c r="B720" s="19"/>
      <c r="C720" s="11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>
      <c r="A721" s="19"/>
      <c r="B721" s="19"/>
      <c r="C721" s="11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>
      <c r="A722" s="19"/>
      <c r="B722" s="19"/>
      <c r="C722" s="11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>
      <c r="A723" s="19"/>
      <c r="B723" s="19"/>
      <c r="C723" s="11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>
      <c r="A724" s="19"/>
      <c r="B724" s="19"/>
      <c r="C724" s="11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>
      <c r="A725" s="19"/>
      <c r="B725" s="19"/>
      <c r="C725" s="11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>
      <c r="A726" s="19"/>
      <c r="B726" s="19"/>
      <c r="C726" s="11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>
      <c r="A727" s="19"/>
      <c r="B727" s="19"/>
      <c r="C727" s="11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>
      <c r="A728" s="19"/>
      <c r="B728" s="19"/>
      <c r="C728" s="11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>
      <c r="A729" s="19"/>
      <c r="B729" s="19"/>
      <c r="C729" s="11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>
      <c r="A730" s="19"/>
      <c r="B730" s="19"/>
      <c r="C730" s="11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>
      <c r="A731" s="19"/>
      <c r="B731" s="19"/>
      <c r="C731" s="11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>
      <c r="A732" s="19"/>
      <c r="B732" s="19"/>
      <c r="C732" s="11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>
      <c r="A733" s="19"/>
      <c r="B733" s="19"/>
      <c r="C733" s="11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>
      <c r="A734" s="19"/>
      <c r="B734" s="19"/>
      <c r="C734" s="11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>
      <c r="A735" s="19"/>
      <c r="B735" s="19"/>
      <c r="C735" s="11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>
      <c r="A736" s="19"/>
      <c r="B736" s="19"/>
      <c r="C736" s="11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>
      <c r="A737" s="19"/>
      <c r="B737" s="19"/>
      <c r="C737" s="11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>
      <c r="A738" s="19"/>
      <c r="B738" s="19"/>
      <c r="C738" s="11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>
      <c r="A739" s="19"/>
      <c r="B739" s="19"/>
      <c r="C739" s="11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>
      <c r="A740" s="19"/>
      <c r="B740" s="19"/>
      <c r="C740" s="11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>
      <c r="A741" s="19"/>
      <c r="B741" s="19"/>
      <c r="C741" s="11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>
      <c r="A742" s="19"/>
      <c r="B742" s="19"/>
      <c r="C742" s="11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>
      <c r="A743" s="19"/>
      <c r="B743" s="19"/>
      <c r="C743" s="11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>
      <c r="A744" s="19"/>
      <c r="B744" s="19"/>
      <c r="C744" s="11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>
      <c r="A745" s="19"/>
      <c r="B745" s="19"/>
      <c r="C745" s="11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>
      <c r="A746" s="19"/>
      <c r="B746" s="19"/>
      <c r="C746" s="11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>
      <c r="A747" s="19"/>
      <c r="B747" s="19"/>
      <c r="C747" s="11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>
      <c r="A748" s="19"/>
      <c r="B748" s="19"/>
      <c r="C748" s="11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>
      <c r="A749" s="19"/>
      <c r="B749" s="19"/>
      <c r="C749" s="11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>
      <c r="A750" s="19"/>
      <c r="B750" s="19"/>
      <c r="C750" s="11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>
      <c r="A751" s="19"/>
      <c r="B751" s="19"/>
      <c r="C751" s="11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>
      <c r="A752" s="19"/>
      <c r="B752" s="19"/>
      <c r="C752" s="11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>
      <c r="A753" s="19"/>
      <c r="B753" s="19"/>
      <c r="C753" s="11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>
      <c r="A754" s="19"/>
      <c r="B754" s="19"/>
      <c r="C754" s="11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>
      <c r="A755" s="19"/>
      <c r="B755" s="19"/>
      <c r="C755" s="11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>
      <c r="A756" s="19"/>
      <c r="B756" s="19"/>
      <c r="C756" s="11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>
      <c r="A757" s="19"/>
      <c r="B757" s="19"/>
      <c r="C757" s="11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>
      <c r="A758" s="19"/>
      <c r="B758" s="19"/>
      <c r="C758" s="11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>
      <c r="A759" s="19"/>
      <c r="B759" s="19"/>
      <c r="C759" s="11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>
      <c r="A760" s="19"/>
      <c r="B760" s="19"/>
      <c r="C760" s="11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>
      <c r="A761" s="19"/>
      <c r="B761" s="19"/>
      <c r="C761" s="11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>
      <c r="A762" s="19"/>
      <c r="B762" s="19"/>
      <c r="C762" s="11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>
      <c r="A763" s="19"/>
      <c r="B763" s="19"/>
      <c r="C763" s="11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>
      <c r="A764" s="19"/>
      <c r="B764" s="19"/>
      <c r="C764" s="11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>
      <c r="A765" s="19"/>
      <c r="B765" s="19"/>
      <c r="C765" s="11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>
      <c r="A766" s="19"/>
      <c r="B766" s="19"/>
      <c r="C766" s="11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>
      <c r="A767" s="19"/>
      <c r="B767" s="19"/>
      <c r="C767" s="11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>
      <c r="A768" s="19"/>
      <c r="B768" s="19"/>
      <c r="C768" s="11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>
      <c r="A769" s="19"/>
      <c r="B769" s="19"/>
      <c r="C769" s="11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>
      <c r="A770" s="19"/>
      <c r="B770" s="19"/>
      <c r="C770" s="11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>
      <c r="A771" s="19"/>
      <c r="B771" s="19"/>
      <c r="C771" s="11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>
      <c r="A772" s="19"/>
      <c r="B772" s="19"/>
      <c r="C772" s="11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>
      <c r="A773" s="19"/>
      <c r="B773" s="19"/>
      <c r="C773" s="11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>
      <c r="A774" s="19"/>
      <c r="B774" s="19"/>
      <c r="C774" s="11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>
      <c r="A775" s="19"/>
      <c r="B775" s="19"/>
      <c r="C775" s="11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>
      <c r="A776" s="19"/>
      <c r="B776" s="19"/>
      <c r="C776" s="11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>
      <c r="A777" s="19"/>
      <c r="B777" s="19"/>
      <c r="C777" s="11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>
      <c r="A778" s="19"/>
      <c r="B778" s="19"/>
      <c r="C778" s="11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>
      <c r="A779" s="19"/>
      <c r="B779" s="19"/>
      <c r="C779" s="11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>
      <c r="A780" s="19"/>
      <c r="B780" s="19"/>
      <c r="C780" s="11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>
      <c r="A781" s="19"/>
      <c r="B781" s="19"/>
      <c r="C781" s="11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>
      <c r="A782" s="19"/>
      <c r="B782" s="19"/>
      <c r="C782" s="11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>
      <c r="A783" s="19"/>
      <c r="B783" s="19"/>
      <c r="C783" s="11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>
      <c r="A784" s="19"/>
      <c r="B784" s="19"/>
      <c r="C784" s="11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>
      <c r="A785" s="19"/>
      <c r="B785" s="19"/>
      <c r="C785" s="11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>
      <c r="A786" s="19"/>
      <c r="B786" s="19"/>
      <c r="C786" s="11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>
      <c r="A787" s="19"/>
      <c r="B787" s="19"/>
      <c r="C787" s="11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>
      <c r="A788" s="19"/>
      <c r="B788" s="19"/>
      <c r="C788" s="11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>
      <c r="A789" s="19"/>
      <c r="B789" s="19"/>
      <c r="C789" s="11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>
      <c r="A790" s="19"/>
      <c r="B790" s="19"/>
      <c r="C790" s="11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>
      <c r="A791" s="19"/>
      <c r="B791" s="19"/>
      <c r="C791" s="11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>
      <c r="A792" s="19"/>
      <c r="B792" s="19"/>
      <c r="C792" s="11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>
      <c r="A793" s="19"/>
      <c r="B793" s="19"/>
      <c r="C793" s="11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>
      <c r="A794" s="19"/>
      <c r="B794" s="19"/>
      <c r="C794" s="11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>
      <c r="A795" s="19"/>
      <c r="B795" s="19"/>
      <c r="C795" s="11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>
      <c r="A796" s="19"/>
      <c r="B796" s="19"/>
      <c r="C796" s="11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>
      <c r="A797" s="19"/>
      <c r="B797" s="19"/>
      <c r="C797" s="11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>
      <c r="A798" s="19"/>
      <c r="B798" s="19"/>
      <c r="C798" s="11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>
      <c r="A799" s="19"/>
      <c r="B799" s="19"/>
      <c r="C799" s="11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>
      <c r="A800" s="19"/>
      <c r="B800" s="19"/>
      <c r="C800" s="11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>
      <c r="A801" s="19"/>
      <c r="B801" s="19"/>
      <c r="C801" s="11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>
      <c r="A802" s="19"/>
      <c r="B802" s="19"/>
      <c r="C802" s="11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>
      <c r="A803" s="19"/>
      <c r="B803" s="19"/>
      <c r="C803" s="11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>
      <c r="A804" s="19"/>
      <c r="B804" s="19"/>
      <c r="C804" s="11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>
      <c r="A805" s="19"/>
      <c r="B805" s="19"/>
      <c r="C805" s="11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>
      <c r="A806" s="19"/>
      <c r="B806" s="19"/>
      <c r="C806" s="11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>
      <c r="A807" s="19"/>
      <c r="B807" s="19"/>
      <c r="C807" s="11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>
      <c r="A808" s="19"/>
      <c r="B808" s="19"/>
      <c r="C808" s="11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>
      <c r="A809" s="19"/>
      <c r="B809" s="19"/>
      <c r="C809" s="11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>
      <c r="A810" s="19"/>
      <c r="B810" s="19"/>
      <c r="C810" s="11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>
      <c r="A811" s="19"/>
      <c r="B811" s="19"/>
      <c r="C811" s="11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>
      <c r="A812" s="19"/>
      <c r="B812" s="19"/>
      <c r="C812" s="11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>
      <c r="A813" s="19"/>
      <c r="B813" s="19"/>
      <c r="C813" s="11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>
      <c r="A814" s="19"/>
      <c r="B814" s="19"/>
      <c r="C814" s="11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>
      <c r="A815" s="19"/>
      <c r="B815" s="19"/>
      <c r="C815" s="11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>
      <c r="A816" s="19"/>
      <c r="B816" s="19"/>
      <c r="C816" s="11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>
      <c r="A817" s="19"/>
      <c r="B817" s="19"/>
      <c r="C817" s="11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>
      <c r="A818" s="19"/>
      <c r="B818" s="19"/>
      <c r="C818" s="11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>
      <c r="A819" s="19"/>
      <c r="B819" s="19"/>
      <c r="C819" s="11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>
      <c r="A820" s="19"/>
      <c r="B820" s="19"/>
      <c r="C820" s="11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>
      <c r="A821" s="19"/>
      <c r="B821" s="19"/>
      <c r="C821" s="11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>
      <c r="A822" s="19"/>
      <c r="B822" s="19"/>
      <c r="C822" s="11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>
      <c r="A823" s="19"/>
      <c r="B823" s="19"/>
      <c r="C823" s="11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>
      <c r="A824" s="19"/>
      <c r="B824" s="19"/>
      <c r="C824" s="11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>
      <c r="A825" s="19"/>
      <c r="B825" s="19"/>
      <c r="C825" s="11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>
      <c r="A826" s="19"/>
      <c r="B826" s="19"/>
      <c r="C826" s="11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>
      <c r="A827" s="19"/>
      <c r="B827" s="19"/>
      <c r="C827" s="11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>
      <c r="A828" s="19"/>
      <c r="B828" s="19"/>
      <c r="C828" s="11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>
      <c r="A829" s="19"/>
      <c r="B829" s="19"/>
      <c r="C829" s="11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>
      <c r="A830" s="19"/>
      <c r="B830" s="19"/>
      <c r="C830" s="11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>
      <c r="A831" s="19"/>
      <c r="B831" s="19"/>
      <c r="C831" s="11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>
      <c r="A832" s="19"/>
      <c r="B832" s="19"/>
      <c r="C832" s="11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>
      <c r="A833" s="19"/>
      <c r="B833" s="19"/>
      <c r="C833" s="11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>
      <c r="A834" s="19"/>
      <c r="B834" s="19"/>
      <c r="C834" s="11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>
      <c r="A835" s="19"/>
      <c r="B835" s="19"/>
      <c r="C835" s="11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>
      <c r="A836" s="19"/>
      <c r="B836" s="19"/>
      <c r="C836" s="11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>
      <c r="A837" s="19"/>
      <c r="B837" s="19"/>
      <c r="C837" s="11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>
      <c r="A838" s="19"/>
      <c r="B838" s="19"/>
      <c r="C838" s="11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>
      <c r="A839" s="19"/>
      <c r="B839" s="19"/>
      <c r="C839" s="11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>
      <c r="A840" s="19"/>
      <c r="B840" s="19"/>
      <c r="C840" s="11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>
      <c r="A841" s="19"/>
      <c r="B841" s="19"/>
      <c r="C841" s="11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>
      <c r="A842" s="19"/>
      <c r="B842" s="19"/>
      <c r="C842" s="11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>
      <c r="A843" s="19"/>
      <c r="B843" s="19"/>
      <c r="C843" s="11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>
      <c r="A844" s="19"/>
      <c r="B844" s="19"/>
      <c r="C844" s="11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>
      <c r="A845" s="19"/>
      <c r="B845" s="19"/>
      <c r="C845" s="11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>
      <c r="A846" s="19"/>
      <c r="B846" s="19"/>
      <c r="C846" s="11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>
      <c r="A847" s="19"/>
      <c r="B847" s="19"/>
      <c r="C847" s="11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>
      <c r="A848" s="19"/>
      <c r="B848" s="19"/>
      <c r="C848" s="11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>
      <c r="A849" s="19"/>
      <c r="B849" s="19"/>
      <c r="C849" s="11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>
      <c r="A850" s="19"/>
      <c r="B850" s="19"/>
      <c r="C850" s="11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.75" customHeight="1">
      <c r="A851" s="19"/>
      <c r="B851" s="19"/>
      <c r="C851" s="11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.75" customHeight="1">
      <c r="A852" s="19"/>
      <c r="B852" s="19"/>
      <c r="C852" s="11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.75" customHeight="1">
      <c r="A853" s="19"/>
      <c r="B853" s="19"/>
      <c r="C853" s="11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.75" customHeight="1">
      <c r="A854" s="19"/>
      <c r="B854" s="19"/>
      <c r="C854" s="11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.75" customHeight="1">
      <c r="A855" s="19"/>
      <c r="B855" s="19"/>
      <c r="C855" s="11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.75" customHeight="1">
      <c r="A856" s="19"/>
      <c r="B856" s="19"/>
      <c r="C856" s="11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.75" customHeight="1">
      <c r="A857" s="19"/>
      <c r="B857" s="19"/>
      <c r="C857" s="11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.75" customHeight="1">
      <c r="A858" s="19"/>
      <c r="B858" s="19"/>
      <c r="C858" s="11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.75" customHeight="1">
      <c r="A859" s="19"/>
      <c r="B859" s="19"/>
      <c r="C859" s="11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.75" customHeight="1">
      <c r="A860" s="19"/>
      <c r="B860" s="19"/>
      <c r="C860" s="11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.75" customHeight="1">
      <c r="A861" s="19"/>
      <c r="B861" s="19"/>
      <c r="C861" s="11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.75" customHeight="1">
      <c r="A862" s="19"/>
      <c r="B862" s="19"/>
      <c r="C862" s="11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.75" customHeight="1">
      <c r="A863" s="19"/>
      <c r="B863" s="19"/>
      <c r="C863" s="11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.75" customHeight="1">
      <c r="A864" s="19"/>
      <c r="B864" s="19"/>
      <c r="C864" s="11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.75" customHeight="1">
      <c r="A865" s="19"/>
      <c r="B865" s="19"/>
      <c r="C865" s="11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.75" customHeight="1">
      <c r="A866" s="19"/>
      <c r="B866" s="19"/>
      <c r="C866" s="11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.75" customHeight="1">
      <c r="A867" s="19"/>
      <c r="B867" s="19"/>
      <c r="C867" s="11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.75" customHeight="1">
      <c r="A868" s="19"/>
      <c r="B868" s="19"/>
      <c r="C868" s="11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.75" customHeight="1">
      <c r="A869" s="19"/>
      <c r="B869" s="19"/>
      <c r="C869" s="11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.75" customHeight="1">
      <c r="A870" s="19"/>
      <c r="B870" s="19"/>
      <c r="C870" s="11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.75" customHeight="1">
      <c r="A871" s="19"/>
      <c r="B871" s="19"/>
      <c r="C871" s="11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.75" customHeight="1">
      <c r="A872" s="19"/>
      <c r="B872" s="19"/>
      <c r="C872" s="11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.75" customHeight="1">
      <c r="A873" s="19"/>
      <c r="B873" s="19"/>
      <c r="C873" s="11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.75" customHeight="1">
      <c r="A874" s="19"/>
      <c r="B874" s="19"/>
      <c r="C874" s="11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.75" customHeight="1">
      <c r="A875" s="19"/>
      <c r="B875" s="19"/>
      <c r="C875" s="11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.75" customHeight="1">
      <c r="A876" s="19"/>
      <c r="B876" s="19"/>
      <c r="C876" s="11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.75" customHeight="1">
      <c r="A877" s="19"/>
      <c r="B877" s="19"/>
      <c r="C877" s="11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.75" customHeight="1">
      <c r="A878" s="19"/>
      <c r="B878" s="19"/>
      <c r="C878" s="11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.75" customHeight="1">
      <c r="A879" s="19"/>
      <c r="B879" s="19"/>
      <c r="C879" s="11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.75" customHeight="1">
      <c r="A880" s="19"/>
      <c r="B880" s="19"/>
      <c r="C880" s="11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.75" customHeight="1">
      <c r="A881" s="19"/>
      <c r="B881" s="19"/>
      <c r="C881" s="11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.75" customHeight="1">
      <c r="A882" s="19"/>
      <c r="B882" s="19"/>
      <c r="C882" s="11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.75" customHeight="1">
      <c r="A883" s="19"/>
      <c r="B883" s="19"/>
      <c r="C883" s="11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.75" customHeight="1">
      <c r="A884" s="19"/>
      <c r="B884" s="19"/>
      <c r="C884" s="11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.75" customHeight="1">
      <c r="A885" s="19"/>
      <c r="B885" s="19"/>
      <c r="C885" s="11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.75" customHeight="1">
      <c r="A886" s="19"/>
      <c r="B886" s="19"/>
      <c r="C886" s="11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.75" customHeight="1">
      <c r="A887" s="19"/>
      <c r="B887" s="19"/>
      <c r="C887" s="11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.75" customHeight="1">
      <c r="A888" s="19"/>
      <c r="B888" s="19"/>
      <c r="C888" s="11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.75" customHeight="1">
      <c r="A889" s="19"/>
      <c r="B889" s="19"/>
      <c r="C889" s="11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.75" customHeight="1">
      <c r="A890" s="19"/>
      <c r="B890" s="19"/>
      <c r="C890" s="11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.75" customHeight="1">
      <c r="A891" s="19"/>
      <c r="B891" s="19"/>
      <c r="C891" s="11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.75" customHeight="1">
      <c r="A892" s="19"/>
      <c r="B892" s="19"/>
      <c r="C892" s="11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.75" customHeight="1">
      <c r="A893" s="19"/>
      <c r="B893" s="19"/>
      <c r="C893" s="11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.75" customHeight="1">
      <c r="A894" s="19"/>
      <c r="B894" s="19"/>
      <c r="C894" s="11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.75" customHeight="1">
      <c r="A895" s="19"/>
      <c r="B895" s="19"/>
      <c r="C895" s="11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.75" customHeight="1">
      <c r="A896" s="19"/>
      <c r="B896" s="19"/>
      <c r="C896" s="11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.75" customHeight="1">
      <c r="A897" s="19"/>
      <c r="B897" s="19"/>
      <c r="C897" s="11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.75" customHeight="1">
      <c r="A898" s="19"/>
      <c r="B898" s="19"/>
      <c r="C898" s="11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.75" customHeight="1">
      <c r="A899" s="19"/>
      <c r="B899" s="19"/>
      <c r="C899" s="11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.75" customHeight="1">
      <c r="A900" s="19"/>
      <c r="B900" s="19"/>
      <c r="C900" s="11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.75" customHeight="1">
      <c r="A901" s="19"/>
      <c r="B901" s="19"/>
      <c r="C901" s="11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.75" customHeight="1">
      <c r="A902" s="19"/>
      <c r="B902" s="19"/>
      <c r="C902" s="11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.75" customHeight="1">
      <c r="A903" s="19"/>
      <c r="B903" s="19"/>
      <c r="C903" s="11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.75" customHeight="1">
      <c r="A904" s="19"/>
      <c r="B904" s="19"/>
      <c r="C904" s="11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.75" customHeight="1">
      <c r="A905" s="19"/>
      <c r="B905" s="19"/>
      <c r="C905" s="11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.75" customHeight="1">
      <c r="A906" s="19"/>
      <c r="B906" s="19"/>
      <c r="C906" s="11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.75" customHeight="1">
      <c r="A907" s="19"/>
      <c r="B907" s="19"/>
      <c r="C907" s="11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.75" customHeight="1">
      <c r="A908" s="19"/>
      <c r="B908" s="19"/>
      <c r="C908" s="11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.75" customHeight="1">
      <c r="A909" s="19"/>
      <c r="B909" s="19"/>
      <c r="C909" s="11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.75" customHeight="1">
      <c r="A910" s="19"/>
      <c r="B910" s="19"/>
      <c r="C910" s="11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.75" customHeight="1">
      <c r="A911" s="19"/>
      <c r="B911" s="19"/>
      <c r="C911" s="11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.75" customHeight="1">
      <c r="A912" s="19"/>
      <c r="B912" s="19"/>
      <c r="C912" s="11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.75" customHeight="1">
      <c r="A913" s="19"/>
      <c r="B913" s="19"/>
      <c r="C913" s="11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.75" customHeight="1">
      <c r="A914" s="19"/>
      <c r="B914" s="19"/>
      <c r="C914" s="11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.75" customHeight="1">
      <c r="A915" s="19"/>
      <c r="B915" s="19"/>
      <c r="C915" s="11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.75" customHeight="1">
      <c r="A916" s="19"/>
      <c r="B916" s="19"/>
      <c r="C916" s="11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.75" customHeight="1">
      <c r="A917" s="19"/>
      <c r="B917" s="19"/>
      <c r="C917" s="11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.75" customHeight="1">
      <c r="A918" s="19"/>
      <c r="B918" s="19"/>
      <c r="C918" s="11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.75" customHeight="1">
      <c r="A919" s="19"/>
      <c r="B919" s="19"/>
      <c r="C919" s="11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.75" customHeight="1">
      <c r="A920" s="19"/>
      <c r="B920" s="19"/>
      <c r="C920" s="11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.75" customHeight="1">
      <c r="A921" s="19"/>
      <c r="B921" s="19"/>
      <c r="C921" s="11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.75" customHeight="1">
      <c r="A922" s="19"/>
      <c r="B922" s="19"/>
      <c r="C922" s="11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.75" customHeight="1">
      <c r="A923" s="19"/>
      <c r="B923" s="19"/>
      <c r="C923" s="11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.75" customHeight="1">
      <c r="A924" s="19"/>
      <c r="B924" s="19"/>
      <c r="C924" s="11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.75" customHeight="1">
      <c r="A925" s="19"/>
      <c r="B925" s="19"/>
      <c r="C925" s="11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.75" customHeight="1">
      <c r="A926" s="19"/>
      <c r="B926" s="19"/>
      <c r="C926" s="11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.75" customHeight="1">
      <c r="A927" s="19"/>
      <c r="B927" s="19"/>
      <c r="C927" s="11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.75" customHeight="1">
      <c r="A928" s="19"/>
      <c r="B928" s="19"/>
      <c r="C928" s="11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.75" customHeight="1">
      <c r="A929" s="19"/>
      <c r="B929" s="19"/>
      <c r="C929" s="11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.75" customHeight="1">
      <c r="A930" s="19"/>
      <c r="B930" s="19"/>
      <c r="C930" s="11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.75" customHeight="1">
      <c r="A931" s="19"/>
      <c r="B931" s="19"/>
      <c r="C931" s="11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.75" customHeight="1">
      <c r="A932" s="19"/>
      <c r="B932" s="19"/>
      <c r="C932" s="11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.75" customHeight="1">
      <c r="A933" s="19"/>
      <c r="B933" s="19"/>
      <c r="C933" s="11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.75" customHeight="1">
      <c r="A934" s="19"/>
      <c r="B934" s="19"/>
      <c r="C934" s="11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.75" customHeight="1">
      <c r="A935" s="19"/>
      <c r="B935" s="19"/>
      <c r="C935" s="11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.75" customHeight="1">
      <c r="A936" s="19"/>
      <c r="B936" s="19"/>
      <c r="C936" s="11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.75" customHeight="1">
      <c r="A937" s="19"/>
      <c r="B937" s="19"/>
      <c r="C937" s="11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.75" customHeight="1">
      <c r="A938" s="19"/>
      <c r="B938" s="19"/>
      <c r="C938" s="11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.75" customHeight="1">
      <c r="A939" s="19"/>
      <c r="B939" s="19"/>
      <c r="C939" s="11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.75" customHeight="1">
      <c r="A940" s="19"/>
      <c r="B940" s="19"/>
      <c r="C940" s="11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.75" customHeight="1">
      <c r="A941" s="19"/>
      <c r="B941" s="19"/>
      <c r="C941" s="11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.75" customHeight="1">
      <c r="A942" s="19"/>
      <c r="B942" s="19"/>
      <c r="C942" s="11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.75" customHeight="1">
      <c r="A943" s="19"/>
      <c r="B943" s="19"/>
      <c r="C943" s="11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.75" customHeight="1">
      <c r="A944" s="19"/>
      <c r="B944" s="19"/>
      <c r="C944" s="11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.75" customHeight="1">
      <c r="A945" s="19"/>
      <c r="B945" s="19"/>
      <c r="C945" s="11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.75" customHeight="1">
      <c r="A946" s="19"/>
      <c r="B946" s="19"/>
      <c r="C946" s="11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.75" customHeight="1">
      <c r="A947" s="19"/>
      <c r="B947" s="19"/>
      <c r="C947" s="11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.75" customHeight="1">
      <c r="A948" s="19"/>
      <c r="B948" s="19"/>
      <c r="C948" s="11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.75" customHeight="1">
      <c r="A949" s="19"/>
      <c r="B949" s="19"/>
      <c r="C949" s="11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.75" customHeight="1">
      <c r="A950" s="19"/>
      <c r="B950" s="19"/>
      <c r="C950" s="11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.75" customHeight="1">
      <c r="A951" s="19"/>
      <c r="B951" s="19"/>
      <c r="C951" s="11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.75" customHeight="1">
      <c r="A952" s="19"/>
      <c r="B952" s="19"/>
      <c r="C952" s="11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.75" customHeight="1">
      <c r="A953" s="19"/>
      <c r="B953" s="19"/>
      <c r="C953" s="11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.75" customHeight="1">
      <c r="A954" s="19"/>
      <c r="B954" s="19"/>
      <c r="C954" s="11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.75" customHeight="1">
      <c r="A955" s="19"/>
      <c r="B955" s="19"/>
      <c r="C955" s="11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.75" customHeight="1">
      <c r="A956" s="19"/>
      <c r="B956" s="19"/>
      <c r="C956" s="11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.75" customHeight="1">
      <c r="A957" s="19"/>
      <c r="B957" s="19"/>
      <c r="C957" s="11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.75" customHeight="1">
      <c r="A958" s="19"/>
      <c r="B958" s="19"/>
      <c r="C958" s="11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.75" customHeight="1">
      <c r="A959" s="19"/>
      <c r="B959" s="19"/>
      <c r="C959" s="11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.75" customHeight="1">
      <c r="A960" s="19"/>
      <c r="B960" s="19"/>
      <c r="C960" s="11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.75" customHeight="1">
      <c r="A961" s="19"/>
      <c r="B961" s="19"/>
      <c r="C961" s="11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.75" customHeight="1">
      <c r="A962" s="19"/>
      <c r="B962" s="19"/>
      <c r="C962" s="11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.75" customHeight="1">
      <c r="A963" s="19"/>
      <c r="B963" s="19"/>
      <c r="C963" s="11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.75" customHeight="1">
      <c r="A964" s="19"/>
      <c r="B964" s="19"/>
      <c r="C964" s="11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.75" customHeight="1">
      <c r="A965" s="19"/>
      <c r="B965" s="19"/>
      <c r="C965" s="11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.75" customHeight="1">
      <c r="A966" s="19"/>
      <c r="B966" s="19"/>
      <c r="C966" s="11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.75" customHeight="1">
      <c r="A967" s="19"/>
      <c r="B967" s="19"/>
      <c r="C967" s="11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.75" customHeight="1">
      <c r="A968" s="19"/>
      <c r="B968" s="19"/>
      <c r="C968" s="11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.75" customHeight="1">
      <c r="A969" s="19"/>
      <c r="B969" s="19"/>
      <c r="C969" s="11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.75" customHeight="1">
      <c r="A970" s="19"/>
      <c r="B970" s="19"/>
      <c r="C970" s="11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.75" customHeight="1">
      <c r="A971" s="19"/>
      <c r="B971" s="19"/>
      <c r="C971" s="11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.75" customHeight="1">
      <c r="A972" s="19"/>
      <c r="B972" s="19"/>
      <c r="C972" s="11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.75" customHeight="1">
      <c r="A973" s="19"/>
      <c r="B973" s="19"/>
      <c r="C973" s="11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.75" customHeight="1">
      <c r="A974" s="19"/>
      <c r="B974" s="19"/>
      <c r="C974" s="11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.75" customHeight="1">
      <c r="A975" s="19"/>
      <c r="B975" s="19"/>
      <c r="C975" s="11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.75" customHeight="1">
      <c r="A976" s="19"/>
      <c r="B976" s="19"/>
      <c r="C976" s="11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.75" customHeight="1">
      <c r="A977" s="19"/>
      <c r="B977" s="19"/>
      <c r="C977" s="11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.75" customHeight="1">
      <c r="A978" s="19"/>
      <c r="B978" s="19"/>
      <c r="C978" s="11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.75" customHeight="1">
      <c r="A979" s="19"/>
      <c r="B979" s="19"/>
      <c r="C979" s="11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.75" customHeight="1">
      <c r="A980" s="19"/>
      <c r="B980" s="19"/>
      <c r="C980" s="11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.75" customHeight="1">
      <c r="A981" s="19"/>
      <c r="B981" s="19"/>
      <c r="C981" s="11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.75" customHeight="1">
      <c r="A982" s="19"/>
      <c r="B982" s="19"/>
      <c r="C982" s="11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.75" customHeight="1">
      <c r="A983" s="19"/>
      <c r="B983" s="19"/>
      <c r="C983" s="11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.75" customHeight="1">
      <c r="A984" s="19"/>
      <c r="B984" s="19"/>
      <c r="C984" s="11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.75" customHeight="1">
      <c r="A985" s="19"/>
      <c r="B985" s="19"/>
      <c r="C985" s="11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.75" customHeight="1">
      <c r="A986" s="19"/>
      <c r="B986" s="19"/>
      <c r="C986" s="11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.75" customHeight="1">
      <c r="A987" s="19"/>
      <c r="B987" s="19"/>
      <c r="C987" s="11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.75" customHeight="1">
      <c r="A988" s="19"/>
      <c r="B988" s="19"/>
      <c r="C988" s="11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.75" customHeight="1">
      <c r="A989" s="19"/>
      <c r="B989" s="19"/>
      <c r="C989" s="11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.75" customHeight="1">
      <c r="A990" s="19"/>
      <c r="B990" s="19"/>
      <c r="C990" s="11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.75" customHeight="1">
      <c r="A991" s="19"/>
      <c r="B991" s="19"/>
      <c r="C991" s="11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.75" customHeight="1">
      <c r="A992" s="19"/>
      <c r="B992" s="19"/>
      <c r="C992" s="11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.75" customHeight="1">
      <c r="A993" s="19"/>
      <c r="B993" s="19"/>
      <c r="C993" s="11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.75" customHeight="1">
      <c r="A994" s="19"/>
      <c r="B994" s="19"/>
      <c r="C994" s="11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.75" customHeight="1">
      <c r="A995" s="19"/>
      <c r="B995" s="19"/>
      <c r="C995" s="11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.75" customHeight="1">
      <c r="A996" s="19"/>
      <c r="B996" s="19"/>
      <c r="C996" s="11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.75" customHeight="1">
      <c r="A997" s="19"/>
      <c r="B997" s="19"/>
      <c r="C997" s="11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.75" customHeight="1">
      <c r="A998" s="19"/>
      <c r="B998" s="19"/>
      <c r="C998" s="11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.75" customHeight="1">
      <c r="A999" s="19"/>
      <c r="B999" s="19"/>
      <c r="C999" s="11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.75" customHeight="1">
      <c r="A1000" s="19"/>
      <c r="B1000" s="19"/>
      <c r="C1000" s="11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26">
    <mergeCell ref="B1:F2"/>
    <mergeCell ref="C3:F3"/>
    <mergeCell ref="C14:F14"/>
    <mergeCell ref="C25:F25"/>
    <mergeCell ref="C27:G27"/>
    <mergeCell ref="C36:F36"/>
    <mergeCell ref="C38:H38"/>
    <mergeCell ref="C46:F46"/>
    <mergeCell ref="K38:O38"/>
    <mergeCell ref="K39:O39"/>
    <mergeCell ref="K40:O40"/>
    <mergeCell ref="K41:M41"/>
    <mergeCell ref="K42:M42"/>
    <mergeCell ref="K43:M43"/>
    <mergeCell ref="K44:M44"/>
    <mergeCell ref="K52:M52"/>
    <mergeCell ref="K53:M53"/>
    <mergeCell ref="K54:M54"/>
    <mergeCell ref="C57:F57"/>
    <mergeCell ref="K45:M45"/>
    <mergeCell ref="K46:M46"/>
    <mergeCell ref="K47:O47"/>
    <mergeCell ref="K48:O48"/>
    <mergeCell ref="K49:M49"/>
    <mergeCell ref="K50:M50"/>
    <mergeCell ref="K51:M51"/>
  </mergeCells>
  <pageMargins left="0.7" right="0.7" top="0.75" bottom="0.75" header="0" footer="0"/>
  <pageSetup orientation="landscape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1000"/>
  <sheetViews>
    <sheetView showGridLines="0" topLeftCell="A18" zoomScale="94" workbookViewId="0">
      <selection activeCell="I27" sqref="I27"/>
    </sheetView>
  </sheetViews>
  <sheetFormatPr baseColWidth="10" defaultColWidth="12.625" defaultRowHeight="15" customHeight="1"/>
  <cols>
    <col min="1" max="1" width="4.125" customWidth="1"/>
    <col min="2" max="2" width="40.5" customWidth="1"/>
    <col min="3" max="10" width="13.75" customWidth="1"/>
    <col min="11" max="11" width="27.875" customWidth="1"/>
    <col min="12" max="19" width="13.75" customWidth="1"/>
    <col min="20" max="20" width="44.25" customWidth="1"/>
    <col min="21" max="21" width="11.25" customWidth="1"/>
    <col min="22" max="26" width="12.375" customWidth="1"/>
    <col min="27" max="30" width="10" customWidth="1"/>
  </cols>
  <sheetData>
    <row r="1" spans="1:30">
      <c r="A1" s="1"/>
      <c r="B1" s="458" t="s">
        <v>1074</v>
      </c>
      <c r="C1" s="437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>
      <c r="A2" s="1"/>
      <c r="B2" s="17" t="s">
        <v>1075</v>
      </c>
      <c r="C2" s="40">
        <f>Inversión_Inicial!N29</f>
        <v>11954.99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s="1"/>
      <c r="B3" s="17" t="s">
        <v>354</v>
      </c>
      <c r="C3" s="40">
        <f>Inversión_Inicial!N36</f>
        <v>12336.332666666667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s="1"/>
      <c r="B4" s="17" t="s">
        <v>1076</v>
      </c>
      <c r="C4" s="19">
        <v>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s="1"/>
      <c r="B5" s="17" t="s">
        <v>1077</v>
      </c>
      <c r="C5" s="39">
        <v>4368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s="1"/>
      <c r="B6" s="17" t="s">
        <v>707</v>
      </c>
      <c r="C6" s="39">
        <v>45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s="1"/>
      <c r="B7" s="17" t="s">
        <v>1078</v>
      </c>
      <c r="C7" s="19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s="1"/>
      <c r="B8" s="17" t="s">
        <v>571</v>
      </c>
      <c r="C8" s="40">
        <v>17.43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>
      <c r="A9" s="1"/>
      <c r="B9" s="17" t="s">
        <v>575</v>
      </c>
      <c r="C9" s="40">
        <v>7.05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>
      <c r="A10" s="1"/>
      <c r="B10" s="17" t="s">
        <v>1079</v>
      </c>
      <c r="C10" s="292">
        <v>24.48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>
      <c r="A11" s="1"/>
      <c r="B11" s="17" t="s">
        <v>198</v>
      </c>
      <c r="C11" s="40">
        <f>Costos_Totales!F30</f>
        <v>4411.7145158730164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>
      <c r="A12" s="1"/>
      <c r="B12" s="17" t="s">
        <v>1080</v>
      </c>
      <c r="C12" s="21">
        <f>Resumen!H6</f>
        <v>1.4999999999999999E-2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>
      <c r="A13" s="1"/>
      <c r="B13" s="17" t="s">
        <v>1081</v>
      </c>
      <c r="C13" s="20">
        <f>Ku!C34</f>
        <v>0.22474608925913628</v>
      </c>
      <c r="D13" s="1"/>
      <c r="E13" s="1"/>
      <c r="F13" s="1"/>
      <c r="G13" s="1"/>
      <c r="H13" s="1"/>
      <c r="I13" s="1"/>
      <c r="J13" s="18">
        <f t="shared" ref="J13:M13" si="0">(E20-D20)/D20</f>
        <v>0.17958964112810277</v>
      </c>
      <c r="K13" s="18">
        <f t="shared" si="0"/>
        <v>0.1522475570032574</v>
      </c>
      <c r="L13" s="18">
        <f t="shared" si="0"/>
        <v>0.1321309436309154</v>
      </c>
      <c r="M13" s="18">
        <f t="shared" si="0"/>
        <v>0.11670994806232539</v>
      </c>
      <c r="N13" s="19"/>
      <c r="O13" s="15">
        <f>SUM(J13:N13)/4</f>
        <v>0.14516952245615022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>
      <c r="A14" s="1"/>
      <c r="B14" s="17" t="s">
        <v>880</v>
      </c>
      <c r="C14" s="20">
        <f>'Ke y Kwacc'!H13</f>
        <v>0.21525871535583818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5" customHeight="1">
      <c r="A16" s="459"/>
      <c r="B16" s="431"/>
      <c r="C16" s="431"/>
      <c r="D16" s="431"/>
      <c r="E16" s="431"/>
      <c r="F16" s="431"/>
      <c r="G16" s="43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5" customHeight="1">
      <c r="A17" s="458" t="s">
        <v>831</v>
      </c>
      <c r="B17" s="436"/>
      <c r="C17" s="436"/>
      <c r="D17" s="436"/>
      <c r="E17" s="436"/>
      <c r="F17" s="436"/>
      <c r="G17" s="436"/>
      <c r="H17" s="437"/>
      <c r="I17" s="1"/>
      <c r="J17" s="458" t="s">
        <v>885</v>
      </c>
      <c r="K17" s="436"/>
      <c r="L17" s="436"/>
      <c r="M17" s="436"/>
      <c r="N17" s="436"/>
      <c r="O17" s="436"/>
      <c r="P17" s="436"/>
      <c r="Q17" s="437"/>
      <c r="R17" s="1"/>
      <c r="S17" s="1"/>
      <c r="T17" s="458" t="s">
        <v>890</v>
      </c>
      <c r="U17" s="436"/>
      <c r="V17" s="436"/>
      <c r="W17" s="436"/>
      <c r="X17" s="436"/>
      <c r="Y17" s="436"/>
      <c r="Z17" s="437"/>
      <c r="AA17" s="1"/>
      <c r="AB17" s="1"/>
      <c r="AC17" s="1"/>
      <c r="AD17" s="1"/>
    </row>
    <row r="18" spans="1:30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5" customHeight="1">
      <c r="A19" s="229"/>
      <c r="B19" s="29" t="s">
        <v>552</v>
      </c>
      <c r="C19" s="29" t="s">
        <v>833</v>
      </c>
      <c r="D19" s="29" t="s">
        <v>699</v>
      </c>
      <c r="E19" s="29" t="s">
        <v>700</v>
      </c>
      <c r="F19" s="29" t="s">
        <v>701</v>
      </c>
      <c r="G19" s="29" t="s">
        <v>702</v>
      </c>
      <c r="H19" s="29" t="s">
        <v>703</v>
      </c>
      <c r="I19" s="1"/>
      <c r="J19" s="5"/>
      <c r="K19" s="5" t="s">
        <v>798</v>
      </c>
      <c r="L19" s="5" t="s">
        <v>813</v>
      </c>
      <c r="M19" s="5" t="s">
        <v>454</v>
      </c>
      <c r="N19" s="5" t="s">
        <v>456</v>
      </c>
      <c r="O19" s="5" t="s">
        <v>458</v>
      </c>
      <c r="P19" s="5" t="s">
        <v>460</v>
      </c>
      <c r="Q19" s="5" t="s">
        <v>462</v>
      </c>
      <c r="R19" s="1"/>
      <c r="S19" s="1"/>
      <c r="T19" s="29" t="s">
        <v>552</v>
      </c>
      <c r="U19" s="29" t="s">
        <v>833</v>
      </c>
      <c r="V19" s="29" t="s">
        <v>699</v>
      </c>
      <c r="W19" s="29" t="s">
        <v>700</v>
      </c>
      <c r="X19" s="29" t="s">
        <v>701</v>
      </c>
      <c r="Y19" s="29" t="s">
        <v>702</v>
      </c>
      <c r="Z19" s="29" t="s">
        <v>703</v>
      </c>
      <c r="AA19" s="1"/>
      <c r="AB19" s="1"/>
      <c r="AC19" s="1"/>
      <c r="AD19" s="1"/>
    </row>
    <row r="20" spans="1:30" ht="15" customHeight="1">
      <c r="A20" s="1"/>
      <c r="B20" s="1" t="s">
        <v>838</v>
      </c>
      <c r="C20" s="40"/>
      <c r="D20" s="40">
        <f t="shared" ref="D20:D21" si="1">C5</f>
        <v>4368</v>
      </c>
      <c r="E20" s="40">
        <f>Venta_Unidades!O7</f>
        <v>5152.4475524475529</v>
      </c>
      <c r="F20" s="40">
        <f>Venta_Unidades!O8</f>
        <v>5936.8951048951058</v>
      </c>
      <c r="G20" s="40">
        <f>Venta_Unidades!O9</f>
        <v>6721.3426573426586</v>
      </c>
      <c r="H20" s="40">
        <f>Venta_Unidades!O10</f>
        <v>7505.7902097902124</v>
      </c>
      <c r="I20" s="1"/>
      <c r="J20" s="19"/>
      <c r="K20" s="1" t="s">
        <v>886</v>
      </c>
      <c r="L20" s="40" t="s">
        <v>1363</v>
      </c>
      <c r="M20" s="19"/>
      <c r="N20" s="19"/>
      <c r="O20" s="19"/>
      <c r="P20" s="19"/>
      <c r="Q20" s="19"/>
      <c r="R20" s="1"/>
      <c r="S20" s="1"/>
      <c r="T20" s="11" t="s">
        <v>891</v>
      </c>
      <c r="U20" s="40"/>
      <c r="V20" s="40"/>
      <c r="W20" s="40"/>
      <c r="X20" s="40"/>
      <c r="Y20" s="40"/>
      <c r="Z20" s="40"/>
      <c r="AA20" s="1"/>
      <c r="AB20" s="1"/>
      <c r="AC20" s="1"/>
      <c r="AD20" s="1"/>
    </row>
    <row r="21" spans="1:30" ht="15" customHeight="1">
      <c r="A21" s="1"/>
      <c r="B21" s="1" t="s">
        <v>839</v>
      </c>
      <c r="C21" s="40"/>
      <c r="D21" s="40">
        <f t="shared" si="1"/>
        <v>45</v>
      </c>
      <c r="E21" s="40">
        <f>C6</f>
        <v>45</v>
      </c>
      <c r="F21" s="40">
        <f>C6</f>
        <v>45</v>
      </c>
      <c r="G21" s="40">
        <f t="shared" ref="G21:H21" si="2">F21</f>
        <v>45</v>
      </c>
      <c r="H21" s="40">
        <f t="shared" si="2"/>
        <v>45</v>
      </c>
      <c r="I21" s="1"/>
      <c r="J21" s="19" t="s">
        <v>710</v>
      </c>
      <c r="K21" s="1" t="s">
        <v>887</v>
      </c>
      <c r="L21" s="19"/>
      <c r="M21" s="40" t="s">
        <v>1363</v>
      </c>
      <c r="N21" s="40" t="s">
        <v>1363</v>
      </c>
      <c r="O21" s="40" t="s">
        <v>1363</v>
      </c>
      <c r="P21" s="19"/>
      <c r="Q21" s="19"/>
      <c r="R21" s="1"/>
      <c r="S21" s="1"/>
      <c r="T21" s="11" t="s">
        <v>815</v>
      </c>
      <c r="U21" s="40" t="s">
        <v>1363</v>
      </c>
      <c r="V21" s="40" t="s">
        <v>1363</v>
      </c>
      <c r="W21" s="40" t="s">
        <v>1363</v>
      </c>
      <c r="X21" s="40" t="s">
        <v>1363</v>
      </c>
      <c r="Y21" s="40" t="s">
        <v>1363</v>
      </c>
      <c r="Z21" s="40" t="s">
        <v>1363</v>
      </c>
      <c r="AA21" s="1"/>
      <c r="AB21" s="1"/>
      <c r="AC21" s="1"/>
      <c r="AD21" s="1"/>
    </row>
    <row r="22" spans="1:30" ht="15" customHeight="1">
      <c r="A22" s="1"/>
      <c r="B22" s="1" t="s">
        <v>840</v>
      </c>
      <c r="C22" s="40"/>
      <c r="D22" s="40">
        <f t="shared" ref="D22:H22" si="3">D20*D21</f>
        <v>196560</v>
      </c>
      <c r="E22" s="40">
        <f t="shared" si="3"/>
        <v>231860.13986013987</v>
      </c>
      <c r="F22" s="40">
        <f t="shared" si="3"/>
        <v>267160.27972027974</v>
      </c>
      <c r="G22" s="40">
        <f t="shared" si="3"/>
        <v>302460.41958041966</v>
      </c>
      <c r="H22" s="40">
        <f t="shared" si="3"/>
        <v>337760.55944055953</v>
      </c>
      <c r="I22" s="1"/>
      <c r="J22" s="19" t="s">
        <v>710</v>
      </c>
      <c r="K22" s="1" t="s">
        <v>472</v>
      </c>
      <c r="L22" s="19"/>
      <c r="M22" s="40" t="s">
        <v>1363</v>
      </c>
      <c r="N22" s="40" t="s">
        <v>1363</v>
      </c>
      <c r="O22" s="40" t="s">
        <v>1363</v>
      </c>
      <c r="P22" s="19"/>
      <c r="Q22" s="19"/>
      <c r="R22" s="1"/>
      <c r="S22" s="1"/>
      <c r="T22" s="11" t="s">
        <v>816</v>
      </c>
      <c r="U22" s="40" t="s">
        <v>1363</v>
      </c>
      <c r="V22" s="40" t="s">
        <v>1363</v>
      </c>
      <c r="W22" s="40" t="s">
        <v>1363</v>
      </c>
      <c r="X22" s="40" t="s">
        <v>1363</v>
      </c>
      <c r="Y22" s="40" t="s">
        <v>1363</v>
      </c>
      <c r="Z22" s="40" t="s">
        <v>1363</v>
      </c>
      <c r="AA22" s="1"/>
      <c r="AB22" s="1"/>
      <c r="AC22" s="1"/>
      <c r="AD22" s="1"/>
    </row>
    <row r="23" spans="1:30" ht="15.75" customHeight="1">
      <c r="A23" s="1" t="s">
        <v>710</v>
      </c>
      <c r="B23" s="1" t="s">
        <v>841</v>
      </c>
      <c r="C23" s="40"/>
      <c r="D23" s="40">
        <f t="shared" ref="D23:H23" si="4">D20*($C$8+$C$9)*(-1)</f>
        <v>-106928.64</v>
      </c>
      <c r="E23" s="40">
        <f t="shared" si="4"/>
        <v>-126131.91608391609</v>
      </c>
      <c r="F23" s="40">
        <f t="shared" si="4"/>
        <v>-145335.1921678322</v>
      </c>
      <c r="G23" s="40">
        <f t="shared" si="4"/>
        <v>-164538.46825174827</v>
      </c>
      <c r="H23" s="40">
        <f t="shared" si="4"/>
        <v>-183741.74433566441</v>
      </c>
      <c r="I23" s="1"/>
      <c r="J23" s="19" t="s">
        <v>818</v>
      </c>
      <c r="K23" s="1" t="s">
        <v>888</v>
      </c>
      <c r="L23" s="19"/>
      <c r="M23" s="19" t="e">
        <f t="shared" ref="M23:O23" si="5">(M21+M22)*0%</f>
        <v>#VALUE!</v>
      </c>
      <c r="N23" s="19" t="e">
        <f t="shared" si="5"/>
        <v>#VALUE!</v>
      </c>
      <c r="O23" s="19" t="e">
        <f t="shared" si="5"/>
        <v>#VALUE!</v>
      </c>
      <c r="P23" s="19"/>
      <c r="Q23" s="19"/>
      <c r="R23" s="1"/>
      <c r="S23" s="1"/>
      <c r="T23" s="11" t="s">
        <v>303</v>
      </c>
      <c r="U23" s="40" t="s">
        <v>1363</v>
      </c>
      <c r="V23" s="40" t="s">
        <v>1363</v>
      </c>
      <c r="W23" s="40" t="s">
        <v>1363</v>
      </c>
      <c r="X23" s="40" t="s">
        <v>1363</v>
      </c>
      <c r="Y23" s="40" t="s">
        <v>1363</v>
      </c>
      <c r="Z23" s="40" t="s">
        <v>1363</v>
      </c>
      <c r="AA23" s="1"/>
      <c r="AB23" s="1"/>
      <c r="AC23" s="1"/>
      <c r="AD23" s="1"/>
    </row>
    <row r="24" spans="1:30" ht="15.75" customHeight="1">
      <c r="A24" s="1" t="s">
        <v>710</v>
      </c>
      <c r="B24" s="1" t="s">
        <v>842</v>
      </c>
      <c r="C24" s="40"/>
      <c r="D24" s="40">
        <f t="shared" ref="D24:H24" si="6">D22*0*(-1)</f>
        <v>0</v>
      </c>
      <c r="E24" s="40">
        <f t="shared" si="6"/>
        <v>0</v>
      </c>
      <c r="F24" s="40">
        <f t="shared" si="6"/>
        <v>0</v>
      </c>
      <c r="G24" s="40">
        <f t="shared" si="6"/>
        <v>0</v>
      </c>
      <c r="H24" s="40">
        <f t="shared" si="6"/>
        <v>0</v>
      </c>
      <c r="I24" s="1"/>
      <c r="J24" s="5"/>
      <c r="K24" s="5" t="s">
        <v>889</v>
      </c>
      <c r="L24" s="5">
        <f t="shared" ref="L24:Q24" si="7">SUM(L20:L23)</f>
        <v>0</v>
      </c>
      <c r="M24" s="178" t="e">
        <f t="shared" si="7"/>
        <v>#VALUE!</v>
      </c>
      <c r="N24" s="178" t="e">
        <f t="shared" si="7"/>
        <v>#VALUE!</v>
      </c>
      <c r="O24" s="178" t="e">
        <f t="shared" si="7"/>
        <v>#VALUE!</v>
      </c>
      <c r="P24" s="5">
        <f t="shared" si="7"/>
        <v>0</v>
      </c>
      <c r="Q24" s="5">
        <f t="shared" si="7"/>
        <v>0</v>
      </c>
      <c r="R24" s="1"/>
      <c r="S24" s="1"/>
      <c r="T24" s="11" t="s">
        <v>855</v>
      </c>
      <c r="U24" s="40" t="s">
        <v>1363</v>
      </c>
      <c r="V24" s="40" t="s">
        <v>1363</v>
      </c>
      <c r="W24" s="40" t="s">
        <v>1363</v>
      </c>
      <c r="X24" s="40" t="s">
        <v>1363</v>
      </c>
      <c r="Y24" s="40" t="s">
        <v>1363</v>
      </c>
      <c r="Z24" s="40" t="s">
        <v>1363</v>
      </c>
      <c r="AA24" s="1"/>
      <c r="AB24" s="1"/>
      <c r="AC24" s="1"/>
      <c r="AD24" s="1"/>
    </row>
    <row r="25" spans="1:30" ht="15.75" customHeight="1">
      <c r="A25" s="1"/>
      <c r="B25" s="1" t="s">
        <v>651</v>
      </c>
      <c r="C25" s="40"/>
      <c r="D25" s="40">
        <f>'Flujo de Caja Económico A'!D15</f>
        <v>-21420</v>
      </c>
      <c r="E25" s="40">
        <f>'Flujo de Caja Económico A'!E15</f>
        <v>-21420</v>
      </c>
      <c r="F25" s="40">
        <f>'Flujo de Caja Económico A'!F15</f>
        <v>-21420</v>
      </c>
      <c r="G25" s="40">
        <f>'Flujo de Caja Económico A'!G15</f>
        <v>-21420</v>
      </c>
      <c r="H25" s="40">
        <f>'Flujo de Caja Económico A'!H15</f>
        <v>-21420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1" t="s">
        <v>892</v>
      </c>
      <c r="U25" s="40" t="s">
        <v>1363</v>
      </c>
      <c r="V25" s="40" t="s">
        <v>1363</v>
      </c>
      <c r="W25" s="40" t="s">
        <v>1363</v>
      </c>
      <c r="X25" s="40" t="s">
        <v>1363</v>
      </c>
      <c r="Y25" s="40" t="s">
        <v>1363</v>
      </c>
      <c r="Z25" s="40" t="s">
        <v>1363</v>
      </c>
      <c r="AA25" s="1"/>
      <c r="AB25" s="1"/>
      <c r="AC25" s="1"/>
      <c r="AD25" s="1"/>
    </row>
    <row r="26" spans="1:30" ht="15.75" customHeight="1">
      <c r="A26" s="1" t="s">
        <v>710</v>
      </c>
      <c r="B26" s="1" t="s">
        <v>283</v>
      </c>
      <c r="C26" s="40"/>
      <c r="D26" s="40">
        <f>-'Estado de Resultados'!C14</f>
        <v>-27600</v>
      </c>
      <c r="E26" s="40">
        <f t="shared" ref="E26:H26" si="8">D26</f>
        <v>-27600</v>
      </c>
      <c r="F26" s="40">
        <f t="shared" si="8"/>
        <v>-27600</v>
      </c>
      <c r="G26" s="40">
        <f t="shared" si="8"/>
        <v>-27600</v>
      </c>
      <c r="H26" s="40">
        <f t="shared" si="8"/>
        <v>-27600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1" t="s">
        <v>893</v>
      </c>
      <c r="U26" s="40" t="s">
        <v>1363</v>
      </c>
      <c r="V26" s="40" t="s">
        <v>1363</v>
      </c>
      <c r="W26" s="40" t="s">
        <v>1363</v>
      </c>
      <c r="X26" s="40" t="s">
        <v>1363</v>
      </c>
      <c r="Y26" s="40" t="s">
        <v>1363</v>
      </c>
      <c r="Z26" s="40" t="s">
        <v>1363</v>
      </c>
      <c r="AA26" s="1"/>
      <c r="AB26" s="1"/>
      <c r="AC26" s="1"/>
      <c r="AD26" s="1"/>
    </row>
    <row r="27" spans="1:30" ht="15.75" customHeight="1">
      <c r="A27" s="3" t="s">
        <v>710</v>
      </c>
      <c r="B27" s="3" t="s">
        <v>527</v>
      </c>
      <c r="C27" s="79"/>
      <c r="D27" s="79">
        <f>-Depreciación_VR!F22</f>
        <v>-4237.1761904761897</v>
      </c>
      <c r="E27" s="79">
        <f t="shared" ref="E27:H27" si="9">D27</f>
        <v>-4237.1761904761897</v>
      </c>
      <c r="F27" s="79">
        <f t="shared" si="9"/>
        <v>-4237.1761904761897</v>
      </c>
      <c r="G27" s="79">
        <f t="shared" si="9"/>
        <v>-4237.1761904761897</v>
      </c>
      <c r="H27" s="40">
        <f t="shared" si="9"/>
        <v>-4237.1761904761897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1" t="s">
        <v>704</v>
      </c>
      <c r="U27" s="40" t="s">
        <v>1363</v>
      </c>
      <c r="V27" s="40" t="s">
        <v>1363</v>
      </c>
      <c r="W27" s="40" t="s">
        <v>1363</v>
      </c>
      <c r="X27" s="40" t="s">
        <v>1363</v>
      </c>
      <c r="Y27" s="40" t="s">
        <v>1363</v>
      </c>
      <c r="Z27" s="40" t="s">
        <v>1363</v>
      </c>
      <c r="AA27" s="1"/>
      <c r="AB27" s="1"/>
      <c r="AC27" s="1"/>
      <c r="AD27" s="1"/>
    </row>
    <row r="28" spans="1:30" ht="15.75" customHeight="1">
      <c r="A28" s="1"/>
      <c r="B28" s="1" t="s">
        <v>845</v>
      </c>
      <c r="C28" s="40"/>
      <c r="D28" s="40"/>
      <c r="E28" s="40"/>
      <c r="F28" s="40"/>
      <c r="G28" s="40"/>
      <c r="H28" s="40">
        <f>Depreciación_VR!L22</f>
        <v>-32.819047619047524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1" t="s">
        <v>395</v>
      </c>
      <c r="U28" s="40" t="s">
        <v>1363</v>
      </c>
      <c r="V28" s="40" t="s">
        <v>1363</v>
      </c>
      <c r="W28" s="40" t="s">
        <v>1363</v>
      </c>
      <c r="X28" s="40" t="s">
        <v>1363</v>
      </c>
      <c r="Y28" s="40" t="s">
        <v>1363</v>
      </c>
      <c r="Z28" s="40" t="s">
        <v>1363</v>
      </c>
      <c r="AA28" s="1"/>
      <c r="AB28" s="1"/>
      <c r="AC28" s="1"/>
      <c r="AD28" s="1"/>
    </row>
    <row r="29" spans="1:30" ht="15.75" customHeight="1">
      <c r="A29" s="3"/>
      <c r="B29" s="3" t="s">
        <v>846</v>
      </c>
      <c r="C29" s="79">
        <f t="shared" ref="C29:H29" si="10">SUM(C22:C28)</f>
        <v>0</v>
      </c>
      <c r="D29" s="79">
        <f t="shared" si="10"/>
        <v>36374.183809523813</v>
      </c>
      <c r="E29" s="79">
        <f t="shared" si="10"/>
        <v>52471.04758574759</v>
      </c>
      <c r="F29" s="79">
        <f t="shared" si="10"/>
        <v>68567.911361971346</v>
      </c>
      <c r="G29" s="79">
        <f t="shared" si="10"/>
        <v>84664.775138195197</v>
      </c>
      <c r="H29" s="40">
        <f t="shared" si="10"/>
        <v>100728.81986679988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1" t="s">
        <v>286</v>
      </c>
      <c r="U29" s="40" t="s">
        <v>1363</v>
      </c>
      <c r="V29" s="40" t="s">
        <v>1363</v>
      </c>
      <c r="W29" s="40" t="s">
        <v>1363</v>
      </c>
      <c r="X29" s="40" t="s">
        <v>1363</v>
      </c>
      <c r="Y29" s="40" t="s">
        <v>1363</v>
      </c>
      <c r="Z29" s="40" t="s">
        <v>1363</v>
      </c>
      <c r="AA29" s="1"/>
      <c r="AB29" s="1"/>
      <c r="AC29" s="1"/>
      <c r="AD29" s="1"/>
    </row>
    <row r="30" spans="1:30" ht="15.75" customHeight="1">
      <c r="A30" s="1"/>
      <c r="B30" s="1" t="s">
        <v>850</v>
      </c>
      <c r="C30" s="40">
        <f>-C29*Resumen!$H$6</f>
        <v>0</v>
      </c>
      <c r="D30" s="40">
        <f>'Flujo de Caja Económico A'!D18</f>
        <v>-541.95602714285724</v>
      </c>
      <c r="E30" s="40">
        <f>'Flujo de Caja Económico A'!E18</f>
        <v>-783.35407245754232</v>
      </c>
      <c r="F30" s="40">
        <f>'Flujo de Caja Económico A'!F18</f>
        <v>-1024.7521177722276</v>
      </c>
      <c r="G30" s="40">
        <f>'Flujo de Caja Económico A'!G18</f>
        <v>-1266.1501630869136</v>
      </c>
      <c r="H30" s="40">
        <f>'Flujo de Caja Económico A'!H18</f>
        <v>-1507.5482084015989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1" t="s">
        <v>823</v>
      </c>
      <c r="U30" s="40" t="s">
        <v>1363</v>
      </c>
      <c r="V30" s="40" t="s">
        <v>1363</v>
      </c>
      <c r="W30" s="40" t="s">
        <v>1363</v>
      </c>
      <c r="X30" s="40" t="s">
        <v>1363</v>
      </c>
      <c r="Y30" s="40" t="s">
        <v>1363</v>
      </c>
      <c r="Z30" s="40" t="s">
        <v>1363</v>
      </c>
      <c r="AA30" s="1"/>
      <c r="AB30" s="1"/>
      <c r="AC30" s="1"/>
      <c r="AD30" s="1"/>
    </row>
    <row r="31" spans="1:30" ht="15.75" customHeight="1">
      <c r="A31" s="1"/>
      <c r="B31" s="1" t="s">
        <v>478</v>
      </c>
      <c r="C31" s="40">
        <f t="shared" ref="C31:H31" si="11">C29+C30</f>
        <v>0</v>
      </c>
      <c r="D31" s="40">
        <f t="shared" si="11"/>
        <v>35832.227782380956</v>
      </c>
      <c r="E31" s="40">
        <f t="shared" si="11"/>
        <v>51687.693513290047</v>
      </c>
      <c r="F31" s="40">
        <f t="shared" si="11"/>
        <v>67543.159244199123</v>
      </c>
      <c r="G31" s="40">
        <f t="shared" si="11"/>
        <v>83398.62497510828</v>
      </c>
      <c r="H31" s="40">
        <f t="shared" si="11"/>
        <v>99221.271658398284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1" t="s">
        <v>526</v>
      </c>
      <c r="U31" s="40" t="s">
        <v>1363</v>
      </c>
      <c r="V31" s="40" t="s">
        <v>1363</v>
      </c>
      <c r="W31" s="40" t="s">
        <v>1363</v>
      </c>
      <c r="X31" s="40" t="s">
        <v>1363</v>
      </c>
      <c r="Y31" s="40" t="s">
        <v>1363</v>
      </c>
      <c r="Z31" s="40" t="s">
        <v>1363</v>
      </c>
      <c r="AA31" s="1"/>
      <c r="AB31" s="1"/>
      <c r="AC31" s="1"/>
      <c r="AD31" s="1"/>
    </row>
    <row r="32" spans="1:30" ht="15.75" customHeight="1">
      <c r="A32" s="3"/>
      <c r="B32" s="3" t="s">
        <v>823</v>
      </c>
      <c r="C32" s="79"/>
      <c r="D32" s="79">
        <f>-'Pago IGV'!C18</f>
        <v>-29440.799999999996</v>
      </c>
      <c r="E32" s="79">
        <f>-'Pago IGV'!D18</f>
        <v>-35794.825174825171</v>
      </c>
      <c r="F32" s="79">
        <f>-'Pago IGV'!E18</f>
        <v>-42148.850349650354</v>
      </c>
      <c r="G32" s="79">
        <f>-'Pago IGV'!F18</f>
        <v>-48502.875524475538</v>
      </c>
      <c r="H32" s="40">
        <f>-'Pago IGV'!G18</f>
        <v>-54856.900699300713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1" t="s">
        <v>894</v>
      </c>
      <c r="U32" s="40" t="s">
        <v>1363</v>
      </c>
      <c r="V32" s="40" t="s">
        <v>1363</v>
      </c>
      <c r="W32" s="40" t="s">
        <v>1363</v>
      </c>
      <c r="X32" s="40" t="s">
        <v>1363</v>
      </c>
      <c r="Y32" s="40" t="s">
        <v>1363</v>
      </c>
      <c r="Z32" s="40" t="s">
        <v>1363</v>
      </c>
      <c r="AA32" s="1"/>
      <c r="AB32" s="1"/>
      <c r="AC32" s="1"/>
      <c r="AD32" s="1"/>
    </row>
    <row r="33" spans="1:30" ht="15.75" customHeight="1">
      <c r="A33" s="1"/>
      <c r="B33" s="1" t="s">
        <v>527</v>
      </c>
      <c r="C33" s="40"/>
      <c r="D33" s="40">
        <f>Depreciación_VR!F22</f>
        <v>4237.1761904761897</v>
      </c>
      <c r="E33" s="40">
        <f t="shared" ref="E33:H33" si="12">D33</f>
        <v>4237.1761904761897</v>
      </c>
      <c r="F33" s="40">
        <f t="shared" si="12"/>
        <v>4237.1761904761897</v>
      </c>
      <c r="G33" s="40">
        <f t="shared" si="12"/>
        <v>4237.1761904761897</v>
      </c>
      <c r="H33" s="40">
        <f t="shared" si="12"/>
        <v>4237.1761904761897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305" t="s">
        <v>825</v>
      </c>
      <c r="U33" s="223" t="s">
        <v>1363</v>
      </c>
      <c r="V33" s="223" t="s">
        <v>1363</v>
      </c>
      <c r="W33" s="223" t="s">
        <v>1363</v>
      </c>
      <c r="X33" s="223" t="s">
        <v>1363</v>
      </c>
      <c r="Y33" s="223" t="s">
        <v>1363</v>
      </c>
      <c r="Z33" s="223" t="s">
        <v>1363</v>
      </c>
      <c r="AA33" s="1"/>
      <c r="AB33" s="1"/>
      <c r="AC33" s="1"/>
      <c r="AD33" s="1"/>
    </row>
    <row r="34" spans="1:30" ht="15.75" customHeight="1">
      <c r="A34" s="1"/>
      <c r="B34" s="1" t="s">
        <v>851</v>
      </c>
      <c r="C34" s="40">
        <f t="shared" ref="C34:H34" si="13">SUM(C31:C33)</f>
        <v>0</v>
      </c>
      <c r="D34" s="40">
        <f t="shared" si="13"/>
        <v>10628.60397285715</v>
      </c>
      <c r="E34" s="40">
        <f t="shared" si="13"/>
        <v>20130.044528941064</v>
      </c>
      <c r="F34" s="40">
        <f t="shared" si="13"/>
        <v>29631.485085024957</v>
      </c>
      <c r="G34" s="40">
        <f t="shared" si="13"/>
        <v>39132.92564110893</v>
      </c>
      <c r="H34" s="40">
        <f t="shared" si="13"/>
        <v>48601.547149573758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1" t="s">
        <v>895</v>
      </c>
      <c r="U34" s="40"/>
      <c r="V34" s="40"/>
      <c r="W34" s="40"/>
      <c r="X34" s="40"/>
      <c r="Y34" s="40"/>
      <c r="Z34" s="40"/>
      <c r="AA34" s="1"/>
      <c r="AB34" s="1"/>
      <c r="AC34" s="1"/>
      <c r="AD34" s="1"/>
    </row>
    <row r="35" spans="1:30" ht="15.75" customHeight="1">
      <c r="A35" s="1"/>
      <c r="B35" s="1" t="s">
        <v>852</v>
      </c>
      <c r="C35" s="40">
        <f>'Flujo de Caja Económico A'!C6</f>
        <v>-10838</v>
      </c>
      <c r="D35" s="40">
        <f>'Flujo de Caja Económico A'!D6</f>
        <v>-15</v>
      </c>
      <c r="E35" s="40">
        <f>'Flujo de Caja Económico A'!E6</f>
        <v>-5372</v>
      </c>
      <c r="F35" s="40">
        <f>'Flujo de Caja Económico A'!F6</f>
        <v>-3415</v>
      </c>
      <c r="G35" s="40">
        <f>'Flujo de Caja Económico A'!G6</f>
        <v>-5372</v>
      </c>
      <c r="H35" s="40">
        <f>'Flujo de Caja Económico A'!H6</f>
        <v>-15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1" t="s">
        <v>886</v>
      </c>
      <c r="U35" s="40" t="s">
        <v>1363</v>
      </c>
      <c r="V35" s="40" t="s">
        <v>1363</v>
      </c>
      <c r="W35" s="40" t="s">
        <v>1363</v>
      </c>
      <c r="X35" s="40" t="s">
        <v>1363</v>
      </c>
      <c r="Y35" s="40" t="s">
        <v>1363</v>
      </c>
      <c r="Z35" s="40" t="s">
        <v>1363</v>
      </c>
      <c r="AA35" s="1"/>
      <c r="AB35" s="1"/>
      <c r="AC35" s="1"/>
      <c r="AD35" s="1"/>
    </row>
    <row r="36" spans="1:30" ht="15.75" customHeight="1">
      <c r="A36" s="1"/>
      <c r="B36" s="1" t="s">
        <v>1363</v>
      </c>
      <c r="C36" s="40">
        <f>'Flujo de Caja Económico A'!C7</f>
        <v>-1116.99</v>
      </c>
      <c r="D36" s="40"/>
      <c r="E36" s="40"/>
      <c r="F36" s="40"/>
      <c r="G36" s="40"/>
      <c r="H36" s="40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1" t="s">
        <v>887</v>
      </c>
      <c r="U36" s="40" t="s">
        <v>1363</v>
      </c>
      <c r="V36" s="40" t="s">
        <v>1363</v>
      </c>
      <c r="W36" s="40" t="s">
        <v>1363</v>
      </c>
      <c r="X36" s="40" t="s">
        <v>1363</v>
      </c>
      <c r="Y36" s="40" t="s">
        <v>1363</v>
      </c>
      <c r="Z36" s="40" t="s">
        <v>1363</v>
      </c>
      <c r="AA36" s="1"/>
      <c r="AB36" s="1"/>
      <c r="AC36" s="1"/>
      <c r="AD36" s="1"/>
    </row>
    <row r="37" spans="1:30" ht="15.75" customHeight="1">
      <c r="A37" s="1"/>
      <c r="B37" s="1" t="s">
        <v>853</v>
      </c>
      <c r="C37" s="40">
        <f>'Flujo de Caja Económico A'!C8</f>
        <v>-12336.332666666667</v>
      </c>
      <c r="D37" s="40">
        <f>'Flujo de Caja Económico A'!D8</f>
        <v>-2215.4775564435586</v>
      </c>
      <c r="E37" s="40">
        <f>'Flujo de Caja Económico A'!E8</f>
        <v>-2215.4775564435568</v>
      </c>
      <c r="F37" s="40">
        <f>'Flujo de Caja Económico A'!F8</f>
        <v>-2215.4775564435586</v>
      </c>
      <c r="G37" s="40">
        <f>'Flujo de Caja Económico A'!G8</f>
        <v>-2215.4775564435622</v>
      </c>
      <c r="H37" s="40">
        <f>'Flujo de Caja Económico A'!H8</f>
        <v>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1" t="s">
        <v>472</v>
      </c>
      <c r="U37" s="40" t="s">
        <v>1363</v>
      </c>
      <c r="V37" s="40" t="s">
        <v>1363</v>
      </c>
      <c r="W37" s="40" t="s">
        <v>1363</v>
      </c>
      <c r="X37" s="40" t="s">
        <v>1363</v>
      </c>
      <c r="Y37" s="40" t="s">
        <v>1363</v>
      </c>
      <c r="Z37" s="40" t="s">
        <v>1363</v>
      </c>
      <c r="AA37" s="1"/>
      <c r="AB37" s="1"/>
      <c r="AC37" s="1"/>
      <c r="AD37" s="1"/>
    </row>
    <row r="38" spans="1:30" ht="15.75" customHeight="1">
      <c r="A38" s="3"/>
      <c r="B38" s="3" t="s">
        <v>854</v>
      </c>
      <c r="C38" s="79"/>
      <c r="D38" s="79"/>
      <c r="E38" s="79"/>
      <c r="F38" s="79"/>
      <c r="G38" s="79"/>
      <c r="H38" s="40">
        <f>'Flujo de Caja Económico A'!H10</f>
        <v>3826.1190476190477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1" t="s">
        <v>888</v>
      </c>
      <c r="U38" s="40" t="s">
        <v>1363</v>
      </c>
      <c r="V38" s="40" t="s">
        <v>1363</v>
      </c>
      <c r="W38" s="40" t="s">
        <v>1363</v>
      </c>
      <c r="X38" s="40" t="s">
        <v>1363</v>
      </c>
      <c r="Y38" s="40" t="s">
        <v>1363</v>
      </c>
      <c r="Z38" s="40" t="s">
        <v>1363</v>
      </c>
      <c r="AA38" s="1"/>
      <c r="AB38" s="1"/>
      <c r="AC38" s="1"/>
      <c r="AD38" s="1"/>
    </row>
    <row r="39" spans="1:30" ht="15.75" customHeight="1">
      <c r="A39" s="1"/>
      <c r="B39" s="1" t="s">
        <v>855</v>
      </c>
      <c r="C39" s="40"/>
      <c r="D39" s="40"/>
      <c r="E39" s="40"/>
      <c r="F39" s="40"/>
      <c r="G39" s="40"/>
      <c r="H39" s="40">
        <f>-SUM(C37:H37)</f>
        <v>21198.242892440903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305" t="s">
        <v>896</v>
      </c>
      <c r="U39" s="223" t="s">
        <v>1363</v>
      </c>
      <c r="V39" s="223" t="s">
        <v>1363</v>
      </c>
      <c r="W39" s="223" t="s">
        <v>1363</v>
      </c>
      <c r="X39" s="223" t="s">
        <v>1363</v>
      </c>
      <c r="Y39" s="223" t="s">
        <v>1363</v>
      </c>
      <c r="Z39" s="223" t="s">
        <v>1363</v>
      </c>
      <c r="AA39" s="1"/>
      <c r="AB39" s="1"/>
      <c r="AC39" s="1"/>
      <c r="AD39" s="1"/>
    </row>
    <row r="40" spans="1:30" ht="15.75" customHeight="1">
      <c r="A40" s="1"/>
      <c r="B40" s="1" t="s">
        <v>856</v>
      </c>
      <c r="C40" s="40">
        <f t="shared" ref="C40:H40" si="14">SUM(C35:C39)</f>
        <v>-24291.322666666667</v>
      </c>
      <c r="D40" s="40">
        <f t="shared" si="14"/>
        <v>-2230.4775564435586</v>
      </c>
      <c r="E40" s="40">
        <f t="shared" si="14"/>
        <v>-7587.4775564435568</v>
      </c>
      <c r="F40" s="40">
        <f t="shared" si="14"/>
        <v>-5630.4775564435586</v>
      </c>
      <c r="G40" s="40">
        <f t="shared" si="14"/>
        <v>-7587.4775564435622</v>
      </c>
      <c r="H40" s="40">
        <f t="shared" si="14"/>
        <v>25009.361940059949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29" t="s">
        <v>897</v>
      </c>
      <c r="U40" s="178">
        <f>'Flujo de Caja Financiero'!C25</f>
        <v>-6291.3226666666669</v>
      </c>
      <c r="V40" s="178">
        <f>'Flujo de Caja Financiero'!D25</f>
        <v>-2172.3170080699165</v>
      </c>
      <c r="W40" s="178">
        <f>'Flujo de Caja Financiero'!E25</f>
        <v>2921.676714772464</v>
      </c>
      <c r="X40" s="178">
        <f>'Flujo de Caja Financiero'!F25</f>
        <v>15511.902510938997</v>
      </c>
      <c r="Y40" s="178">
        <f>'Flujo de Caja Financiero'!G25</f>
        <v>31514.081818931096</v>
      </c>
      <c r="Z40" s="178">
        <f>'Flujo de Caja Financiero'!H25</f>
        <v>73608.701116273762</v>
      </c>
      <c r="AA40" s="1"/>
      <c r="AB40" s="1"/>
      <c r="AC40" s="1"/>
      <c r="AD40" s="1"/>
    </row>
    <row r="41" spans="1:30" ht="15.75" customHeight="1">
      <c r="A41" s="229"/>
      <c r="B41" s="29" t="s">
        <v>857</v>
      </c>
      <c r="C41" s="178">
        <f t="shared" ref="C41:H41" si="15">C34+C40</f>
        <v>-24291.322666666667</v>
      </c>
      <c r="D41" s="178">
        <f t="shared" si="15"/>
        <v>8398.1264164135919</v>
      </c>
      <c r="E41" s="178">
        <f t="shared" si="15"/>
        <v>12542.566972497507</v>
      </c>
      <c r="F41" s="178">
        <f t="shared" si="15"/>
        <v>24001.007528581398</v>
      </c>
      <c r="G41" s="178">
        <f t="shared" si="15"/>
        <v>31545.448084665368</v>
      </c>
      <c r="H41" s="178">
        <f t="shared" si="15"/>
        <v>73610.9090896337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5.75" customHeight="1">
      <c r="A43" s="1"/>
      <c r="B43" s="17" t="s">
        <v>29</v>
      </c>
      <c r="C43" s="20">
        <f>IRR(C41:H41)</f>
        <v>0.6725098122301334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5.75" customHeight="1">
      <c r="A44" s="1"/>
      <c r="B44" s="17" t="s">
        <v>24</v>
      </c>
      <c r="C44" s="40">
        <f t="array" ref="C44">NPV(C13,D41:H41)+C41</f>
        <v>44724.341178575291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5.75" customHeight="1">
      <c r="A45" s="1"/>
      <c r="B45" s="17" t="s">
        <v>1082</v>
      </c>
      <c r="C45" s="40">
        <f>C11/(C6-C10)</f>
        <v>214.99583410687214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5.75" customHeight="1">
      <c r="A46" s="1"/>
      <c r="B46" s="17" t="s">
        <v>25</v>
      </c>
      <c r="C46" s="40">
        <f t="array" ref="C46">NPV(C14,V40:Z40)+U40+L24</f>
        <v>44761.682196047921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5.75" customHeight="1">
      <c r="A47" s="1"/>
      <c r="B47" s="17" t="s">
        <v>30</v>
      </c>
      <c r="C47" s="20">
        <f>IRR(U40:Z40)</f>
        <v>0.9671890140052648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5.75" customHeight="1">
      <c r="A49" s="1"/>
      <c r="B49" s="435" t="s">
        <v>1083</v>
      </c>
      <c r="C49" s="436"/>
      <c r="D49" s="436"/>
      <c r="E49" s="436"/>
      <c r="F49" s="436"/>
      <c r="G49" s="436"/>
      <c r="H49" s="436"/>
      <c r="I49" s="437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5.75" customHeight="1">
      <c r="A50" s="1"/>
      <c r="B50" s="182" t="s">
        <v>1084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5.75" customHeight="1">
      <c r="A52" s="1"/>
      <c r="B52" s="3" t="s">
        <v>1085</v>
      </c>
      <c r="C52" s="3" t="s">
        <v>1086</v>
      </c>
      <c r="D52" s="3" t="s">
        <v>1087</v>
      </c>
      <c r="E52" s="3" t="s">
        <v>1088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5.75" customHeight="1">
      <c r="A53" s="1"/>
      <c r="B53" s="11" t="s">
        <v>1089</v>
      </c>
      <c r="C53" s="40">
        <f>C6</f>
        <v>45</v>
      </c>
      <c r="D53" s="40">
        <v>42.739069214998302</v>
      </c>
      <c r="E53" s="306">
        <f t="shared" ref="E53:E57" si="16">(D53-C53)/C53</f>
        <v>-5.0242906333371057E-2</v>
      </c>
      <c r="F53" s="19">
        <v>2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5.75" customHeight="1">
      <c r="A54" s="1"/>
      <c r="B54" s="11" t="s">
        <v>1090</v>
      </c>
      <c r="C54" s="18">
        <f>O13</f>
        <v>0.14516952245615022</v>
      </c>
      <c r="D54" s="20">
        <v>3.6200000000000003E-2</v>
      </c>
      <c r="E54" s="306">
        <f t="shared" si="16"/>
        <v>-0.7506363636972454</v>
      </c>
      <c r="F54" s="19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5.75" customHeight="1">
      <c r="A55" s="1"/>
      <c r="B55" s="11" t="s">
        <v>1091</v>
      </c>
      <c r="C55" s="40">
        <f t="shared" ref="C55:C56" si="17">C8</f>
        <v>17.43</v>
      </c>
      <c r="D55" s="40">
        <v>19.690930785001701</v>
      </c>
      <c r="E55" s="306">
        <f t="shared" si="16"/>
        <v>0.12971490447514061</v>
      </c>
      <c r="F55" s="19">
        <v>3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5.75" customHeight="1">
      <c r="A56" s="1"/>
      <c r="B56" s="11" t="s">
        <v>1092</v>
      </c>
      <c r="C56" s="40">
        <f t="shared" si="17"/>
        <v>7.05</v>
      </c>
      <c r="D56" s="40">
        <v>9.3109307850016894</v>
      </c>
      <c r="E56" s="306">
        <f t="shared" si="16"/>
        <v>0.32069940212789921</v>
      </c>
      <c r="F56" s="19">
        <v>4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5.75" customHeight="1">
      <c r="A57" s="1"/>
      <c r="B57" s="11" t="s">
        <v>1077</v>
      </c>
      <c r="C57" s="40">
        <f>C5</f>
        <v>4368</v>
      </c>
      <c r="D57" s="40">
        <v>2216.4365703594099</v>
      </c>
      <c r="E57" s="306">
        <f t="shared" si="16"/>
        <v>-0.49257404524738785</v>
      </c>
      <c r="F57" s="19">
        <v>1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5.75" customHeight="1">
      <c r="A59" s="1"/>
      <c r="B59" s="435" t="s">
        <v>1093</v>
      </c>
      <c r="C59" s="436"/>
      <c r="D59" s="436"/>
      <c r="E59" s="436"/>
      <c r="F59" s="436"/>
      <c r="G59" s="436"/>
      <c r="H59" s="436"/>
      <c r="I59" s="43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5.75" customHeight="1">
      <c r="A60" s="1"/>
      <c r="B60" s="182" t="s">
        <v>1094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5.75" customHeight="1">
      <c r="A62" s="1"/>
      <c r="B62" s="11"/>
      <c r="C62" s="1"/>
      <c r="D62" s="435" t="s">
        <v>1095</v>
      </c>
      <c r="E62" s="436"/>
      <c r="F62" s="437"/>
      <c r="G62" s="1"/>
      <c r="H62" s="11"/>
      <c r="I62" s="1"/>
      <c r="J62" s="435" t="s">
        <v>1095</v>
      </c>
      <c r="K62" s="436"/>
      <c r="L62" s="437"/>
      <c r="M62" s="1"/>
      <c r="N62" s="11"/>
      <c r="O62" s="1"/>
      <c r="P62" s="435" t="s">
        <v>1095</v>
      </c>
      <c r="Q62" s="436"/>
      <c r="R62" s="437"/>
      <c r="S62" s="1"/>
      <c r="T62" s="11"/>
      <c r="U62" s="1"/>
      <c r="V62" s="435" t="s">
        <v>1095</v>
      </c>
      <c r="W62" s="436"/>
      <c r="X62" s="437"/>
      <c r="Y62" s="1"/>
      <c r="Z62" s="11"/>
      <c r="AA62" s="1"/>
      <c r="AB62" s="13"/>
      <c r="AC62" s="13"/>
      <c r="AD62" s="13"/>
    </row>
    <row r="63" spans="1:30" ht="15.75" customHeight="1">
      <c r="A63" s="1"/>
      <c r="B63" s="1"/>
      <c r="C63" s="307"/>
      <c r="D63" s="307" t="s">
        <v>29</v>
      </c>
      <c r="E63" s="307" t="s">
        <v>24</v>
      </c>
      <c r="F63" s="307" t="s">
        <v>1082</v>
      </c>
      <c r="G63" s="1"/>
      <c r="H63" s="1"/>
      <c r="I63" s="307"/>
      <c r="J63" s="307" t="s">
        <v>29</v>
      </c>
      <c r="K63" s="307" t="s">
        <v>24</v>
      </c>
      <c r="L63" s="307" t="s">
        <v>872</v>
      </c>
      <c r="M63" s="1"/>
      <c r="N63" s="1"/>
      <c r="O63" s="307"/>
      <c r="P63" s="307" t="s">
        <v>29</v>
      </c>
      <c r="Q63" s="307" t="s">
        <v>24</v>
      </c>
      <c r="R63" s="307" t="s">
        <v>872</v>
      </c>
      <c r="S63" s="1"/>
      <c r="T63" s="1"/>
      <c r="U63" s="307"/>
      <c r="V63" s="307" t="s">
        <v>29</v>
      </c>
      <c r="W63" s="307" t="s">
        <v>24</v>
      </c>
      <c r="X63" s="307" t="s">
        <v>872</v>
      </c>
      <c r="Y63" s="1"/>
      <c r="Z63" s="1"/>
      <c r="AA63" s="13"/>
      <c r="AB63" s="13"/>
      <c r="AC63" s="13"/>
      <c r="AD63" s="13"/>
    </row>
    <row r="64" spans="1:30" ht="15.75" customHeight="1">
      <c r="A64" s="1"/>
      <c r="B64" s="482" t="s">
        <v>1096</v>
      </c>
      <c r="C64" s="13" t="s">
        <v>1097</v>
      </c>
      <c r="D64" s="133">
        <f>C43</f>
        <v>0.6725098122301334</v>
      </c>
      <c r="E64" s="79">
        <f>C44</f>
        <v>44724.341178575291</v>
      </c>
      <c r="F64" s="79">
        <f>C45</f>
        <v>214.99583410687214</v>
      </c>
      <c r="G64" s="1"/>
      <c r="H64" s="482" t="s">
        <v>1098</v>
      </c>
      <c r="I64" s="13" t="s">
        <v>1097</v>
      </c>
      <c r="J64" s="133">
        <f>C43</f>
        <v>0.6725098122301334</v>
      </c>
      <c r="K64" s="79">
        <f>C44</f>
        <v>44724.341178575291</v>
      </c>
      <c r="L64" s="79">
        <f>C45</f>
        <v>214.99583410687214</v>
      </c>
      <c r="M64" s="1"/>
      <c r="N64" s="482" t="s">
        <v>1099</v>
      </c>
      <c r="O64" s="13" t="s">
        <v>1097</v>
      </c>
      <c r="P64" s="136">
        <f>C44</f>
        <v>44724.341178575291</v>
      </c>
      <c r="Q64" s="79">
        <f>C43</f>
        <v>0.6725098122301334</v>
      </c>
      <c r="R64" s="79">
        <f>C45</f>
        <v>214.99583410687214</v>
      </c>
      <c r="S64" s="1"/>
      <c r="T64" s="482" t="s">
        <v>1077</v>
      </c>
      <c r="U64" s="13" t="s">
        <v>1097</v>
      </c>
      <c r="V64" s="133">
        <f>C43</f>
        <v>0.6725098122301334</v>
      </c>
      <c r="W64" s="79">
        <f>C44</f>
        <v>44724.341178575291</v>
      </c>
      <c r="X64" s="79">
        <f>C45</f>
        <v>214.99583410687214</v>
      </c>
      <c r="Y64" s="1"/>
      <c r="Z64" s="1"/>
      <c r="AA64" s="13"/>
      <c r="AB64" s="154"/>
      <c r="AC64" s="136"/>
      <c r="AD64" s="3"/>
    </row>
    <row r="65" spans="1:30" ht="15.75" customHeight="1">
      <c r="A65" s="1"/>
      <c r="B65" s="483"/>
      <c r="C65" s="113">
        <v>42.739069214998302</v>
      </c>
      <c r="D65" s="18">
        <v>0.22474608925913442</v>
      </c>
      <c r="E65" s="79">
        <v>-1.0913936421275139E-10</v>
      </c>
      <c r="F65" s="40">
        <v>241.61771139183594</v>
      </c>
      <c r="G65" s="1"/>
      <c r="H65" s="483"/>
      <c r="I65" s="19">
        <v>16</v>
      </c>
      <c r="J65" s="18">
        <v>0.80861277983058466</v>
      </c>
      <c r="K65" s="40">
        <v>58848.321848174943</v>
      </c>
      <c r="L65" s="40">
        <v>214.99583410687214</v>
      </c>
      <c r="M65" s="1"/>
      <c r="N65" s="483"/>
      <c r="O65" s="19">
        <v>5.99</v>
      </c>
      <c r="P65" s="20">
        <v>52949.029677131191</v>
      </c>
      <c r="Q65" s="40">
        <v>0.74863592626820719</v>
      </c>
      <c r="R65" s="40">
        <v>214.99583410687214</v>
      </c>
      <c r="S65" s="1"/>
      <c r="T65" s="483"/>
      <c r="U65" s="113">
        <f>D57</f>
        <v>2216.4365703594099</v>
      </c>
      <c r="V65" s="18">
        <v>0.22474608925913508</v>
      </c>
      <c r="W65" s="79">
        <v>-8.0035533756017685E-11</v>
      </c>
      <c r="X65" s="40">
        <v>214.99583410687214</v>
      </c>
      <c r="Y65" s="1"/>
      <c r="Z65" s="1"/>
      <c r="AA65" s="19"/>
      <c r="AB65" s="39"/>
      <c r="AC65" s="20"/>
      <c r="AD65" s="308"/>
    </row>
    <row r="66" spans="1:30" ht="15.75" customHeight="1">
      <c r="A66" s="1"/>
      <c r="B66" s="483"/>
      <c r="C66" s="40">
        <v>43</v>
      </c>
      <c r="D66" s="18">
        <v>0.2650687652346928</v>
      </c>
      <c r="E66" s="40">
        <v>4160.2890193101994</v>
      </c>
      <c r="F66" s="40">
        <v>238.2135267750009</v>
      </c>
      <c r="G66" s="1"/>
      <c r="H66" s="483"/>
      <c r="I66" s="40">
        <v>16.5</v>
      </c>
      <c r="J66" s="18">
        <v>0.727640310983662</v>
      </c>
      <c r="K66" s="40">
        <v>50876.30540081855</v>
      </c>
      <c r="L66" s="40">
        <v>214.99583410687214</v>
      </c>
      <c r="M66" s="1"/>
      <c r="N66" s="483"/>
      <c r="O66" s="40">
        <v>6</v>
      </c>
      <c r="P66" s="20">
        <v>52789.589348184112</v>
      </c>
      <c r="Q66" s="40">
        <v>0.7470194409892148</v>
      </c>
      <c r="R66" s="40">
        <v>214.99583410687214</v>
      </c>
      <c r="S66" s="1"/>
      <c r="T66" s="483"/>
      <c r="U66" s="40">
        <v>3001</v>
      </c>
      <c r="V66" s="18">
        <v>0.32032093907338055</v>
      </c>
      <c r="W66" s="40">
        <v>13144.962631367496</v>
      </c>
      <c r="X66" s="40">
        <v>214.99583410687214</v>
      </c>
      <c r="Y66" s="1"/>
      <c r="Z66" s="1"/>
      <c r="AA66" s="40"/>
      <c r="AB66" s="39"/>
      <c r="AC66" s="20"/>
      <c r="AD66" s="308"/>
    </row>
    <row r="67" spans="1:30" ht="15.75" customHeight="1">
      <c r="A67" s="1"/>
      <c r="B67" s="483"/>
      <c r="C67" s="40">
        <v>44</v>
      </c>
      <c r="D67" s="18">
        <v>0.42075048475648358</v>
      </c>
      <c r="E67" s="40">
        <v>20104.321914022956</v>
      </c>
      <c r="F67" s="40">
        <v>226.0099649525111</v>
      </c>
      <c r="G67" s="1"/>
      <c r="H67" s="483"/>
      <c r="I67" s="19">
        <v>17</v>
      </c>
      <c r="J67" s="18">
        <v>0.64726871928789076</v>
      </c>
      <c r="K67" s="40">
        <v>42904.288953462172</v>
      </c>
      <c r="L67" s="40">
        <v>214.99583410687214</v>
      </c>
      <c r="M67" s="1"/>
      <c r="N67" s="483"/>
      <c r="O67" s="19">
        <v>6.95</v>
      </c>
      <c r="P67" s="20">
        <v>37642.758098206985</v>
      </c>
      <c r="Q67" s="40">
        <v>0.59455738163871241</v>
      </c>
      <c r="R67" s="40">
        <v>214.99583410687214</v>
      </c>
      <c r="S67" s="1"/>
      <c r="T67" s="483"/>
      <c r="U67" s="40">
        <v>3398</v>
      </c>
      <c r="V67" s="18">
        <v>0.38055704851417715</v>
      </c>
      <c r="W67" s="40">
        <v>19796.496423916993</v>
      </c>
      <c r="X67" s="40">
        <v>214.99583410687214</v>
      </c>
      <c r="Y67" s="1"/>
      <c r="Z67" s="1"/>
      <c r="AA67" s="19"/>
      <c r="AB67" s="39"/>
      <c r="AC67" s="20"/>
      <c r="AD67" s="308"/>
    </row>
    <row r="68" spans="1:30" ht="15.75" customHeight="1">
      <c r="A68" s="1"/>
      <c r="B68" s="483"/>
      <c r="C68" s="309">
        <v>45</v>
      </c>
      <c r="D68" s="310">
        <v>0.57863678323075129</v>
      </c>
      <c r="E68" s="309">
        <v>36048.354808735698</v>
      </c>
      <c r="F68" s="309">
        <v>214.99583410687214</v>
      </c>
      <c r="G68" s="1"/>
      <c r="H68" s="483"/>
      <c r="I68" s="309">
        <v>17.43</v>
      </c>
      <c r="J68" s="310">
        <v>0.57863678323075129</v>
      </c>
      <c r="K68" s="309">
        <v>36048.354808735698</v>
      </c>
      <c r="L68" s="309">
        <v>214.99583410687214</v>
      </c>
      <c r="M68" s="1"/>
      <c r="N68" s="483"/>
      <c r="O68" s="309">
        <v>7.05</v>
      </c>
      <c r="P68" s="311">
        <v>36048.354808735698</v>
      </c>
      <c r="Q68" s="309">
        <v>0.57863678323075129</v>
      </c>
      <c r="R68" s="309">
        <v>214.99583410687214</v>
      </c>
      <c r="S68" s="1"/>
      <c r="T68" s="483"/>
      <c r="U68" s="309">
        <v>4368</v>
      </c>
      <c r="V68" s="310">
        <v>0.57863678323075129</v>
      </c>
      <c r="W68" s="309">
        <v>36048.354808735698</v>
      </c>
      <c r="X68" s="309">
        <v>214.99583410687214</v>
      </c>
      <c r="Y68" s="1"/>
      <c r="Z68" s="1"/>
      <c r="AA68" s="79"/>
      <c r="AB68" s="39"/>
      <c r="AC68" s="20"/>
      <c r="AD68" s="308"/>
    </row>
    <row r="69" spans="1:30" ht="15.75" customHeight="1">
      <c r="A69" s="1"/>
      <c r="B69" s="483"/>
      <c r="C69" s="40">
        <v>46</v>
      </c>
      <c r="D69" s="18">
        <v>0.73894060520534288</v>
      </c>
      <c r="E69" s="40">
        <v>51992.387703448454</v>
      </c>
      <c r="F69" s="40">
        <v>205.00532136956397</v>
      </c>
      <c r="G69" s="1"/>
      <c r="H69" s="483"/>
      <c r="I69" s="40">
        <v>17.8</v>
      </c>
      <c r="J69" s="18">
        <v>0.5199418310763706</v>
      </c>
      <c r="K69" s="40">
        <v>30149.062637691946</v>
      </c>
      <c r="L69" s="40">
        <v>214.99583410687214</v>
      </c>
      <c r="M69" s="1"/>
      <c r="N69" s="483"/>
      <c r="O69" s="40">
        <v>8</v>
      </c>
      <c r="P69" s="20">
        <v>20901.52355875857</v>
      </c>
      <c r="Q69" s="40">
        <v>0.42858936903094103</v>
      </c>
      <c r="R69" s="40">
        <v>214.99583410687214</v>
      </c>
      <c r="S69" s="1"/>
      <c r="T69" s="483"/>
      <c r="U69" s="40">
        <v>4900</v>
      </c>
      <c r="V69" s="18">
        <v>0.73135319699066215</v>
      </c>
      <c r="W69" s="40">
        <v>44961.745180615639</v>
      </c>
      <c r="X69" s="40">
        <v>214.99583410687214</v>
      </c>
      <c r="Y69" s="1"/>
      <c r="Z69" s="1"/>
      <c r="AA69" s="40"/>
      <c r="AB69" s="39"/>
      <c r="AC69" s="20"/>
      <c r="AD69" s="308"/>
    </row>
    <row r="70" spans="1:30" ht="15.75" customHeight="1">
      <c r="A70" s="1"/>
      <c r="B70" s="483"/>
      <c r="C70" s="40">
        <v>47</v>
      </c>
      <c r="D70" s="18">
        <v>0.90163169545457178</v>
      </c>
      <c r="E70" s="40">
        <v>67936.420598161232</v>
      </c>
      <c r="F70" s="40">
        <v>195.90206553610199</v>
      </c>
      <c r="G70" s="1"/>
      <c r="H70" s="483"/>
      <c r="I70" s="40">
        <v>18.940000000000001</v>
      </c>
      <c r="J70" s="18">
        <v>0.34110411099762872</v>
      </c>
      <c r="K70" s="40">
        <v>11972.865137719404</v>
      </c>
      <c r="L70" s="40">
        <v>214.99583410687214</v>
      </c>
      <c r="M70" s="1"/>
      <c r="N70" s="483"/>
      <c r="O70" s="40">
        <v>8.75</v>
      </c>
      <c r="P70" s="20">
        <v>8943.4988877240103</v>
      </c>
      <c r="Q70" s="40">
        <v>0.3115683288294806</v>
      </c>
      <c r="R70" s="40">
        <v>214.99583410687214</v>
      </c>
      <c r="S70" s="1"/>
      <c r="T70" s="483"/>
      <c r="U70" s="40">
        <v>5010</v>
      </c>
      <c r="V70" s="18">
        <v>0.76802645998466423</v>
      </c>
      <c r="W70" s="40">
        <v>46804.739430440437</v>
      </c>
      <c r="X70" s="40">
        <v>214.99583410687214</v>
      </c>
      <c r="Y70" s="1"/>
      <c r="Z70" s="1"/>
      <c r="AA70" s="40"/>
      <c r="AB70" s="39"/>
      <c r="AC70" s="20"/>
      <c r="AD70" s="308"/>
    </row>
    <row r="71" spans="1:30" ht="15.75" customHeight="1">
      <c r="A71" s="1"/>
      <c r="B71" s="443"/>
      <c r="C71" s="40">
        <v>48</v>
      </c>
      <c r="D71" s="18">
        <v>1.066543363775545</v>
      </c>
      <c r="E71" s="40">
        <v>83880.453492873989</v>
      </c>
      <c r="F71" s="40">
        <v>187.57289608303643</v>
      </c>
      <c r="G71" s="1"/>
      <c r="H71" s="443"/>
      <c r="I71" s="113">
        <f>D55</f>
        <v>19.690930785001701</v>
      </c>
      <c r="J71" s="18">
        <v>0.22474608925913353</v>
      </c>
      <c r="K71" s="79">
        <v>-1.8917489796876907E-10</v>
      </c>
      <c r="L71" s="40">
        <v>214.99583410687214</v>
      </c>
      <c r="M71" s="1"/>
      <c r="N71" s="443"/>
      <c r="O71" s="113">
        <f>D56</f>
        <v>9.3109307850016894</v>
      </c>
      <c r="P71" s="20">
        <v>5.0931703299283981E-11</v>
      </c>
      <c r="Q71" s="40">
        <v>0.22474608925913597</v>
      </c>
      <c r="R71" s="40">
        <v>214.99583410687214</v>
      </c>
      <c r="S71" s="1"/>
      <c r="T71" s="443"/>
      <c r="U71" s="40">
        <v>6000</v>
      </c>
      <c r="V71" s="18">
        <v>1.1926087362316768</v>
      </c>
      <c r="W71" s="40">
        <v>63391.687678863651</v>
      </c>
      <c r="X71" s="40">
        <v>214.99583410687214</v>
      </c>
      <c r="Y71" s="1"/>
      <c r="Z71" s="1"/>
      <c r="AA71" s="19"/>
      <c r="AB71" s="39"/>
      <c r="AC71" s="20"/>
      <c r="AD71" s="308"/>
    </row>
    <row r="72" spans="1:30" ht="15.75" customHeight="1">
      <c r="A72" s="1"/>
      <c r="B72" s="1"/>
      <c r="C72" s="1"/>
      <c r="D72" s="1"/>
      <c r="E72" s="1"/>
      <c r="F72" s="1"/>
      <c r="G72" s="1"/>
      <c r="H72" s="1"/>
      <c r="I72" s="19"/>
      <c r="J72" s="39"/>
      <c r="K72" s="20"/>
      <c r="L72" s="308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5.75" customHeight="1">
      <c r="A73" s="1"/>
      <c r="B73" s="1" t="s">
        <v>1100</v>
      </c>
      <c r="C73" s="19"/>
      <c r="D73" s="19"/>
      <c r="E73" s="19"/>
      <c r="F73" s="19"/>
      <c r="G73" s="1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5.75" customHeight="1">
      <c r="A74" s="1"/>
      <c r="B74" s="1" t="s">
        <v>1101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5.75" customHeight="1">
      <c r="A75" s="1"/>
      <c r="B75" s="1" t="s">
        <v>1102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5.75" customHeight="1">
      <c r="A77" s="1"/>
      <c r="B77" s="484" t="s">
        <v>1103</v>
      </c>
      <c r="C77" s="436"/>
      <c r="D77" s="436"/>
      <c r="E77" s="436"/>
      <c r="F77" s="436"/>
      <c r="G77" s="436"/>
      <c r="H77" s="436"/>
      <c r="I77" s="43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5.75" customHeight="1">
      <c r="A78" s="1"/>
      <c r="B78" s="79" t="s">
        <v>1104</v>
      </c>
      <c r="C78" s="1"/>
      <c r="D78" s="19"/>
      <c r="E78" s="19"/>
      <c r="F78" s="19"/>
      <c r="G78" s="19"/>
      <c r="H78" s="292"/>
      <c r="I78" s="1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5.75" customHeight="1">
      <c r="A79" s="1"/>
      <c r="B79" s="182" t="s">
        <v>1105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5.75" customHeight="1">
      <c r="A81" s="1"/>
      <c r="B81" s="79">
        <f>C44</f>
        <v>44724.341178575291</v>
      </c>
      <c r="C81" s="40">
        <v>16</v>
      </c>
      <c r="D81" s="40">
        <v>16.5</v>
      </c>
      <c r="E81" s="40">
        <v>17</v>
      </c>
      <c r="F81" s="40">
        <v>17.43</v>
      </c>
      <c r="G81" s="40">
        <v>17.8</v>
      </c>
      <c r="H81" s="40">
        <v>18.940000000000001</v>
      </c>
      <c r="I81" s="40">
        <v>19.690930785001701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5.75" customHeight="1">
      <c r="A82" s="1"/>
      <c r="B82" s="40">
        <v>42.739069214998302</v>
      </c>
      <c r="C82" s="40">
        <v>22799.967039439136</v>
      </c>
      <c r="D82" s="40">
        <v>14827.950592082743</v>
      </c>
      <c r="E82" s="40">
        <v>6855.9341447263614</v>
      </c>
      <c r="F82" s="40">
        <v>-1.0913936421275139E-10</v>
      </c>
      <c r="G82" s="40">
        <v>-5899.2921710438568</v>
      </c>
      <c r="H82" s="40">
        <v>-24075.48967101641</v>
      </c>
      <c r="I82" s="40">
        <v>-36048.354808735996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5.75" customHeight="1">
      <c r="A83" s="1"/>
      <c r="B83" s="40">
        <v>43</v>
      </c>
      <c r="C83" s="40">
        <v>26960.256058749437</v>
      </c>
      <c r="D83" s="40">
        <v>18988.239611393044</v>
      </c>
      <c r="E83" s="40">
        <v>11016.223164036674</v>
      </c>
      <c r="F83" s="40">
        <v>4160.2890193101994</v>
      </c>
      <c r="G83" s="40">
        <v>-1739.0031517335519</v>
      </c>
      <c r="H83" s="40">
        <v>-19915.200651706102</v>
      </c>
      <c r="I83" s="40">
        <v>-31888.065789425691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5.75" customHeight="1">
      <c r="A84" s="1"/>
      <c r="B84" s="40">
        <v>44</v>
      </c>
      <c r="C84" s="40">
        <v>42904.288953462186</v>
      </c>
      <c r="D84" s="40">
        <v>34932.272506105815</v>
      </c>
      <c r="E84" s="40">
        <v>26960.25605874943</v>
      </c>
      <c r="F84" s="40">
        <v>20104.321914022956</v>
      </c>
      <c r="G84" s="40">
        <v>14205.029742979204</v>
      </c>
      <c r="H84" s="40">
        <v>-3971.1677569933454</v>
      </c>
      <c r="I84" s="40">
        <v>-15944.032894712929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5.75" customHeight="1">
      <c r="A85" s="1"/>
      <c r="B85" s="40">
        <v>45</v>
      </c>
      <c r="C85" s="40">
        <v>58848.321848174943</v>
      </c>
      <c r="D85" s="40">
        <v>50876.30540081855</v>
      </c>
      <c r="E85" s="40">
        <v>42904.288953462172</v>
      </c>
      <c r="F85" s="40">
        <v>36048.354808735698</v>
      </c>
      <c r="G85" s="40">
        <v>30149.062637691946</v>
      </c>
      <c r="H85" s="40">
        <v>11972.865137719404</v>
      </c>
      <c r="I85" s="40">
        <v>-1.8917489796876907E-10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5.75" customHeight="1">
      <c r="A86" s="1"/>
      <c r="B86" s="40">
        <v>46</v>
      </c>
      <c r="C86" s="40">
        <v>74792.354742887692</v>
      </c>
      <c r="D86" s="40">
        <v>66820.338295531314</v>
      </c>
      <c r="E86" s="40">
        <v>58848.321848174943</v>
      </c>
      <c r="F86" s="40">
        <v>51992.387703448454</v>
      </c>
      <c r="G86" s="40">
        <v>46093.095532404703</v>
      </c>
      <c r="H86" s="40">
        <v>27916.898032432146</v>
      </c>
      <c r="I86" s="40">
        <v>15944.032894712567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5.75" customHeight="1">
      <c r="A87" s="1"/>
      <c r="B87" s="40">
        <v>47</v>
      </c>
      <c r="C87" s="40">
        <v>90736.387637600477</v>
      </c>
      <c r="D87" s="40">
        <v>82764.37119024407</v>
      </c>
      <c r="E87" s="40">
        <v>74792.354742887721</v>
      </c>
      <c r="F87" s="40">
        <v>67936.420598161232</v>
      </c>
      <c r="G87" s="40">
        <v>62037.128427117488</v>
      </c>
      <c r="H87" s="40">
        <v>43860.930927144938</v>
      </c>
      <c r="I87" s="40">
        <v>31888.065789425345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5.75" customHeight="1">
      <c r="A88" s="1"/>
      <c r="B88" s="40">
        <v>48</v>
      </c>
      <c r="C88" s="40">
        <v>106680.42053231326</v>
      </c>
      <c r="D88" s="40">
        <v>98708.404084956885</v>
      </c>
      <c r="E88" s="40">
        <v>90736.387637600506</v>
      </c>
      <c r="F88" s="40">
        <v>83880.453492873989</v>
      </c>
      <c r="G88" s="40">
        <v>77981.161321830266</v>
      </c>
      <c r="H88" s="40">
        <v>59804.963821857709</v>
      </c>
      <c r="I88" s="40">
        <v>47832.098684138131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5.75" customHeight="1">
      <c r="A90" s="1"/>
      <c r="B90" s="3" t="s">
        <v>1106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5.75" customHeight="1">
      <c r="A91" s="1"/>
      <c r="B91" s="182" t="s">
        <v>1107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5.75" customHeight="1">
      <c r="A93" s="1"/>
      <c r="B93" s="79">
        <f>C44</f>
        <v>44724.341178575291</v>
      </c>
      <c r="C93" s="19">
        <v>2216.4365703594099</v>
      </c>
      <c r="D93" s="19">
        <v>3001</v>
      </c>
      <c r="E93" s="19">
        <v>3398</v>
      </c>
      <c r="F93" s="19">
        <v>4368</v>
      </c>
      <c r="G93" s="19">
        <v>4900</v>
      </c>
      <c r="H93" s="19">
        <v>5010</v>
      </c>
      <c r="I93" s="19">
        <v>6000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5.75" customHeight="1">
      <c r="A94" s="1"/>
      <c r="B94" s="40">
        <v>42.739069214998302</v>
      </c>
      <c r="C94" s="40">
        <v>-32076.481751438867</v>
      </c>
      <c r="D94" s="40">
        <v>-20379.854923236784</v>
      </c>
      <c r="E94" s="40">
        <v>-14461.199177424822</v>
      </c>
      <c r="F94" s="40">
        <v>-1.0913936421275139E-10</v>
      </c>
      <c r="G94" s="40">
        <v>7931.2968684431507</v>
      </c>
      <c r="H94" s="40">
        <v>9571.2266720686239</v>
      </c>
      <c r="I94" s="40">
        <v>24330.594904697973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5.75" customHeight="1">
      <c r="A95" s="1"/>
      <c r="B95" s="40">
        <v>43</v>
      </c>
      <c r="C95" s="40">
        <v>-28374.580915279792</v>
      </c>
      <c r="D95" s="40">
        <v>-16510.803725565976</v>
      </c>
      <c r="E95" s="40">
        <v>-10507.567573615846</v>
      </c>
      <c r="F95" s="40">
        <v>4160.2890193101994</v>
      </c>
      <c r="G95" s="40">
        <v>12204.927892956228</v>
      </c>
      <c r="H95" s="40">
        <v>13868.293073597328</v>
      </c>
      <c r="I95" s="40">
        <v>28838.57969936719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5.75" customHeight="1">
      <c r="A96" s="1"/>
      <c r="B96" s="40">
        <v>44</v>
      </c>
      <c r="C96" s="40">
        <v>-14187.290457639927</v>
      </c>
      <c r="D96" s="40">
        <v>-1682.920547099231</v>
      </c>
      <c r="E96" s="40">
        <v>4644.4644251505815</v>
      </c>
      <c r="F96" s="40">
        <v>20104.321914022956</v>
      </c>
      <c r="G96" s="40">
        <v>28583.336536785944</v>
      </c>
      <c r="H96" s="40">
        <v>30336.51625201889</v>
      </c>
      <c r="I96" s="40">
        <v>46115.133689115442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5.75" customHeight="1">
      <c r="A97" s="1"/>
      <c r="B97" s="40">
        <v>45</v>
      </c>
      <c r="C97" s="40">
        <v>-8.0035533756017685E-11</v>
      </c>
      <c r="D97" s="40">
        <v>13144.962631367496</v>
      </c>
      <c r="E97" s="40">
        <v>19796.496423916993</v>
      </c>
      <c r="F97" s="40">
        <v>36048.354808735698</v>
      </c>
      <c r="G97" s="40">
        <v>44961.745180615639</v>
      </c>
      <c r="H97" s="40">
        <v>46804.739430440437</v>
      </c>
      <c r="I97" s="40">
        <v>63391.687678863651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5.75" customHeight="1">
      <c r="A98" s="1"/>
      <c r="B98" s="40">
        <v>46</v>
      </c>
      <c r="C98" s="40">
        <v>14187.290457639792</v>
      </c>
      <c r="D98" s="40">
        <v>27972.845809834245</v>
      </c>
      <c r="E98" s="40">
        <v>34948.528422683419</v>
      </c>
      <c r="F98" s="40">
        <v>51992.387703448454</v>
      </c>
      <c r="G98" s="40">
        <v>61340.153824445348</v>
      </c>
      <c r="H98" s="40">
        <v>63272.962608862006</v>
      </c>
      <c r="I98" s="40">
        <v>80668.241668611852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5.75" customHeight="1">
      <c r="A99" s="1"/>
      <c r="B99" s="40">
        <v>47</v>
      </c>
      <c r="C99" s="40">
        <v>28374.580915279686</v>
      </c>
      <c r="D99" s="40">
        <v>42800.728988301016</v>
      </c>
      <c r="E99" s="40">
        <v>50100.560421449882</v>
      </c>
      <c r="F99" s="40">
        <v>67936.420598161232</v>
      </c>
      <c r="G99" s="40">
        <v>77718.562468275108</v>
      </c>
      <c r="H99" s="40">
        <v>79741.185787283612</v>
      </c>
      <c r="I99" s="40">
        <v>97944.795658360119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5.75" customHeight="1">
      <c r="A100" s="1"/>
      <c r="B100" s="40">
        <v>48</v>
      </c>
      <c r="C100" s="40">
        <v>42561.871372919552</v>
      </c>
      <c r="D100" s="40">
        <v>57628.612166767773</v>
      </c>
      <c r="E100" s="40">
        <v>65252.592420216322</v>
      </c>
      <c r="F100" s="40">
        <v>83880.453492873989</v>
      </c>
      <c r="G100" s="40">
        <v>94096.971112104831</v>
      </c>
      <c r="H100" s="40">
        <v>96209.408965705166</v>
      </c>
      <c r="I100" s="40">
        <v>115221.34964810836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5.75" customHeight="1">
      <c r="A101" s="1"/>
      <c r="B101" s="6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5.75" customHeight="1">
      <c r="A103" s="1"/>
      <c r="B103" s="3" t="s">
        <v>1108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5.75" customHeight="1">
      <c r="A104" s="1"/>
      <c r="B104" s="182" t="s">
        <v>1109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5.75" customHeight="1">
      <c r="A106" s="1"/>
      <c r="B106" s="136">
        <f>C43</f>
        <v>0.6725098122301334</v>
      </c>
      <c r="C106" s="40">
        <v>5.99</v>
      </c>
      <c r="D106" s="40">
        <v>6</v>
      </c>
      <c r="E106" s="40">
        <v>6.95</v>
      </c>
      <c r="F106" s="40">
        <v>7.05</v>
      </c>
      <c r="G106" s="40">
        <v>8</v>
      </c>
      <c r="H106" s="40">
        <v>8.75</v>
      </c>
      <c r="I106" s="40">
        <v>9.3109307850016894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5.75" customHeight="1">
      <c r="A107" s="1"/>
      <c r="B107" s="40">
        <v>16.5</v>
      </c>
      <c r="C107" s="40">
        <v>0.89999344282249294</v>
      </c>
      <c r="D107" s="40">
        <v>0.89835541296215404</v>
      </c>
      <c r="E107" s="40">
        <v>0.74378718817838285</v>
      </c>
      <c r="F107" s="40">
        <v>0.727640310983662</v>
      </c>
      <c r="G107" s="40">
        <v>0.57545559007771274</v>
      </c>
      <c r="H107" s="40">
        <v>0.45685631374752589</v>
      </c>
      <c r="I107" s="40">
        <v>0.36900654002044986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5.75" customHeight="1">
      <c r="A108" s="1"/>
      <c r="B108" s="40">
        <v>17</v>
      </c>
      <c r="C108" s="40">
        <v>0.81836909603083607</v>
      </c>
      <c r="D108" s="40">
        <v>0.81674246103229997</v>
      </c>
      <c r="E108" s="40">
        <v>0.66329439413387536</v>
      </c>
      <c r="F108" s="40">
        <v>0.64726871928789076</v>
      </c>
      <c r="G108" s="40">
        <v>0.49624045170986886</v>
      </c>
      <c r="H108" s="40">
        <v>0.37851588446518303</v>
      </c>
      <c r="I108" s="40">
        <v>0.2912546259158999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5.75" customHeight="1">
      <c r="A109" s="1"/>
      <c r="B109" s="40">
        <v>17.43</v>
      </c>
      <c r="C109" s="40">
        <v>0.74863592626820719</v>
      </c>
      <c r="D109" s="40">
        <v>0.7470194409892148</v>
      </c>
      <c r="E109" s="40">
        <v>0.59455738163871241</v>
      </c>
      <c r="F109" s="40">
        <v>0.57863678323075129</v>
      </c>
      <c r="G109" s="40">
        <v>0.42858936903094103</v>
      </c>
      <c r="H109" s="40">
        <v>0.3115683288294806</v>
      </c>
      <c r="I109" s="40">
        <v>0.22474608925913597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5.75" customHeight="1">
      <c r="A110" s="1"/>
      <c r="B110" s="40">
        <v>17.8</v>
      </c>
      <c r="C110" s="40">
        <v>0.68898617622370573</v>
      </c>
      <c r="D110" s="40">
        <v>0.68737861524386523</v>
      </c>
      <c r="E110" s="40">
        <v>0.53577268644919562</v>
      </c>
      <c r="F110" s="40">
        <v>0.5199418310763706</v>
      </c>
      <c r="G110" s="40">
        <v>0.37071191020286487</v>
      </c>
      <c r="H110" s="40">
        <v>0.25424101460747184</v>
      </c>
      <c r="I110" s="40">
        <v>0.16772810821197481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5.75" customHeight="1">
      <c r="A111" s="1"/>
      <c r="B111" s="40">
        <v>18.940000000000001</v>
      </c>
      <c r="C111" s="40">
        <v>0.50729441765114713</v>
      </c>
      <c r="D111" s="40">
        <v>0.50571456580188312</v>
      </c>
      <c r="E111" s="40">
        <v>0.35667793691846605</v>
      </c>
      <c r="F111" s="40">
        <v>0.34110411099762872</v>
      </c>
      <c r="G111" s="40">
        <v>0.19404847199666353</v>
      </c>
      <c r="H111" s="40">
        <v>7.8736842970855703E-2</v>
      </c>
      <c r="I111" s="40">
        <v>-7.4267676895429791E-3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5.75" customHeight="1">
      <c r="A112" s="1"/>
      <c r="B112" s="40">
        <v>19.690930785001701</v>
      </c>
      <c r="C112" s="40">
        <v>0.38930491487544283</v>
      </c>
      <c r="D112" s="40">
        <v>0.38774222123079416</v>
      </c>
      <c r="E112" s="40">
        <v>0.24018722341375232</v>
      </c>
      <c r="F112" s="40">
        <v>0.22474608925913353</v>
      </c>
      <c r="G112" s="40">
        <v>7.859392057498793E-2</v>
      </c>
      <c r="H112" s="40">
        <v>-3.6663288642681424E-2</v>
      </c>
      <c r="I112" s="40">
        <v>-0.12334656513388553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5.75" customHeight="1">
      <c r="A113" s="1"/>
      <c r="B113" s="62"/>
      <c r="C113" s="62"/>
      <c r="D113" s="62"/>
      <c r="E113" s="62"/>
      <c r="F113" s="62"/>
      <c r="G113" s="62"/>
      <c r="H113" s="62"/>
      <c r="I113" s="62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5.75" customHeight="1">
      <c r="A115" s="1"/>
      <c r="B115" s="458" t="s">
        <v>1110</v>
      </c>
      <c r="C115" s="436"/>
      <c r="D115" s="436"/>
      <c r="E115" s="436"/>
      <c r="F115" s="436"/>
      <c r="G115" s="436"/>
      <c r="H115" s="436"/>
      <c r="I115" s="437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5.75" customHeight="1">
      <c r="A117" s="1"/>
      <c r="B117" s="1" t="s">
        <v>1111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5.75" customHeight="1">
      <c r="A119" s="1"/>
      <c r="B119" s="1" t="s">
        <v>1112</v>
      </c>
      <c r="C119" s="1" t="s">
        <v>1113</v>
      </c>
      <c r="D119" s="1" t="s">
        <v>1114</v>
      </c>
      <c r="E119" s="1" t="s">
        <v>1115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5.75" customHeight="1">
      <c r="A120" s="1"/>
      <c r="B120" s="11" t="s">
        <v>1089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5.75" customHeight="1">
      <c r="A121" s="1"/>
      <c r="B121" s="11" t="s">
        <v>1091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5.75" customHeight="1">
      <c r="A122" s="1"/>
      <c r="B122" s="11" t="s">
        <v>1092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5.75" customHeight="1">
      <c r="A123" s="1"/>
      <c r="B123" s="11" t="s">
        <v>1077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5.75" customHeight="1">
      <c r="A125" s="1"/>
      <c r="B125" s="1" t="s">
        <v>1116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5.75" customHeight="1">
      <c r="A127" s="1"/>
      <c r="B127" s="1" t="s">
        <v>1112</v>
      </c>
      <c r="C127" s="1" t="s">
        <v>1113</v>
      </c>
      <c r="D127" s="1" t="s">
        <v>1114</v>
      </c>
      <c r="E127" s="1" t="s">
        <v>1115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5.75" customHeight="1">
      <c r="A128" s="1"/>
      <c r="B128" s="11" t="s">
        <v>1089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5.75" customHeight="1">
      <c r="A129" s="1"/>
      <c r="B129" s="11" t="s">
        <v>1091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5.75" customHeight="1">
      <c r="A130" s="1"/>
      <c r="B130" s="11" t="s">
        <v>1092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>
      <c r="A131" s="1"/>
      <c r="B131" s="11" t="s">
        <v>1077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17">
    <mergeCell ref="B1:C1"/>
    <mergeCell ref="A16:G16"/>
    <mergeCell ref="A17:H17"/>
    <mergeCell ref="J17:Q17"/>
    <mergeCell ref="T17:Z17"/>
    <mergeCell ref="B49:I49"/>
    <mergeCell ref="B59:I59"/>
    <mergeCell ref="H64:H71"/>
    <mergeCell ref="B77:I77"/>
    <mergeCell ref="B115:I115"/>
    <mergeCell ref="D62:F62"/>
    <mergeCell ref="J62:L62"/>
    <mergeCell ref="P62:R62"/>
    <mergeCell ref="V62:X62"/>
    <mergeCell ref="B64:B71"/>
    <mergeCell ref="N64:N71"/>
    <mergeCell ref="T64:T71"/>
  </mergeCells>
  <conditionalFormatting sqref="C82:I88">
    <cfRule type="cellIs" dxfId="7" priority="1" operator="lessThan">
      <formula>0</formula>
    </cfRule>
  </conditionalFormatting>
  <conditionalFormatting sqref="C82:I88">
    <cfRule type="cellIs" dxfId="6" priority="2" operator="greaterThan">
      <formula>0</formula>
    </cfRule>
  </conditionalFormatting>
  <conditionalFormatting sqref="C94:I100">
    <cfRule type="cellIs" dxfId="5" priority="3" operator="lessThan">
      <formula>0</formula>
    </cfRule>
  </conditionalFormatting>
  <conditionalFormatting sqref="C94:I100">
    <cfRule type="cellIs" dxfId="4" priority="4" operator="greaterThan">
      <formula>0</formula>
    </cfRule>
  </conditionalFormatting>
  <conditionalFormatting sqref="C107:I112">
    <cfRule type="cellIs" dxfId="3" priority="5" operator="lessThan">
      <formula>0</formula>
    </cfRule>
  </conditionalFormatting>
  <conditionalFormatting sqref="C107:I112">
    <cfRule type="cellIs" dxfId="2" priority="6" operator="greaterThan">
      <formula>0</formula>
    </cfRule>
  </conditionalFormatting>
  <conditionalFormatting sqref="E53:E57">
    <cfRule type="cellIs" dxfId="1" priority="7" operator="lessThan">
      <formula>0</formula>
    </cfRule>
  </conditionalFormatting>
  <conditionalFormatting sqref="E53:E57">
    <cfRule type="cellIs" dxfId="0" priority="8" operator="greaterThan">
      <formula>0</formula>
    </cfRule>
  </conditionalFormatting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Z1000"/>
  <sheetViews>
    <sheetView showGridLines="0" workbookViewId="0"/>
  </sheetViews>
  <sheetFormatPr baseColWidth="10" defaultColWidth="12.625" defaultRowHeight="15" customHeight="1" outlineLevelRow="1" outlineLevelCol="1"/>
  <cols>
    <col min="1" max="2" width="10" customWidth="1"/>
    <col min="3" max="3" width="23.5" customWidth="1"/>
    <col min="4" max="6" width="12.75" customWidth="1" outlineLevel="1"/>
    <col min="7" max="26" width="9.375" customWidth="1"/>
  </cols>
  <sheetData>
    <row r="1" spans="1:26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>
      <c r="A2" s="257"/>
      <c r="B2" s="312" t="s">
        <v>1117</v>
      </c>
      <c r="C2" s="312"/>
      <c r="D2" s="313"/>
      <c r="E2" s="313"/>
      <c r="F2" s="313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</row>
    <row r="3" spans="1:26" ht="15.75" collapsed="1">
      <c r="A3" s="257"/>
      <c r="B3" s="314"/>
      <c r="C3" s="314"/>
      <c r="D3" s="315" t="s">
        <v>1118</v>
      </c>
      <c r="E3" s="315" t="s">
        <v>1119</v>
      </c>
      <c r="F3" s="315" t="s">
        <v>1120</v>
      </c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</row>
    <row r="4" spans="1:26" ht="33.75" hidden="1" outlineLevel="1">
      <c r="A4" s="257"/>
      <c r="B4" s="316"/>
      <c r="C4" s="316"/>
      <c r="D4" s="257"/>
      <c r="E4" s="317" t="s">
        <v>1121</v>
      </c>
      <c r="F4" s="317" t="s">
        <v>1121</v>
      </c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</row>
    <row r="5" spans="1:26">
      <c r="A5" s="257"/>
      <c r="B5" s="318" t="s">
        <v>1122</v>
      </c>
      <c r="C5" s="318"/>
      <c r="D5" s="319"/>
      <c r="E5" s="319"/>
      <c r="F5" s="319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</row>
    <row r="6" spans="1:26" outlineLevel="1">
      <c r="A6" s="257"/>
      <c r="B6" s="316"/>
      <c r="C6" s="316" t="s">
        <v>1096</v>
      </c>
      <c r="D6" s="268">
        <v>45</v>
      </c>
      <c r="E6" s="320">
        <v>48</v>
      </c>
      <c r="F6" s="320">
        <v>43</v>
      </c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</row>
    <row r="7" spans="1:26" outlineLevel="1">
      <c r="A7" s="257"/>
      <c r="B7" s="316"/>
      <c r="C7" s="316" t="s">
        <v>1123</v>
      </c>
      <c r="D7" s="266">
        <v>17.43</v>
      </c>
      <c r="E7" s="321">
        <v>16</v>
      </c>
      <c r="F7" s="321">
        <v>19</v>
      </c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</row>
    <row r="8" spans="1:26" outlineLevel="1">
      <c r="A8" s="257"/>
      <c r="B8" s="316"/>
      <c r="C8" s="316" t="s">
        <v>642</v>
      </c>
      <c r="D8" s="266">
        <v>7.05</v>
      </c>
      <c r="E8" s="321">
        <v>6</v>
      </c>
      <c r="F8" s="321">
        <v>8</v>
      </c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</row>
    <row r="9" spans="1:26" outlineLevel="1">
      <c r="A9" s="257"/>
      <c r="B9" s="316"/>
      <c r="C9" s="316" t="s">
        <v>1124</v>
      </c>
      <c r="D9" s="268">
        <v>4368</v>
      </c>
      <c r="E9" s="320">
        <v>4500</v>
      </c>
      <c r="F9" s="320">
        <v>4100</v>
      </c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</row>
    <row r="10" spans="1:26">
      <c r="A10" s="257"/>
      <c r="B10" s="318" t="s">
        <v>1125</v>
      </c>
      <c r="C10" s="318"/>
      <c r="D10" s="322"/>
      <c r="E10" s="322"/>
      <c r="F10" s="322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</row>
    <row r="11" spans="1:26" outlineLevel="1">
      <c r="A11" s="257"/>
      <c r="B11" s="316"/>
      <c r="C11" s="316" t="s">
        <v>29</v>
      </c>
      <c r="D11" s="267">
        <v>0.57863678323075096</v>
      </c>
      <c r="E11" s="267">
        <v>1.5579367713875101</v>
      </c>
      <c r="F11" s="267">
        <v>-0.13872806449181699</v>
      </c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</row>
    <row r="12" spans="1:26" outlineLevel="1">
      <c r="A12" s="257"/>
      <c r="B12" s="316"/>
      <c r="C12" s="316" t="s">
        <v>24</v>
      </c>
      <c r="D12" s="323">
        <v>36048.354808735698</v>
      </c>
      <c r="E12" s="323">
        <v>126223.868551027</v>
      </c>
      <c r="F12" s="323">
        <v>-39519.807732910202</v>
      </c>
      <c r="G12" s="257"/>
      <c r="H12" s="257"/>
      <c r="I12" s="257"/>
      <c r="J12" s="257"/>
      <c r="K12" s="257"/>
      <c r="L12" s="257"/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</row>
    <row r="13" spans="1:26" outlineLevel="1">
      <c r="A13" s="257"/>
      <c r="B13" s="316"/>
      <c r="C13" s="316" t="s">
        <v>25</v>
      </c>
      <c r="D13" s="323">
        <v>170851.62010524501</v>
      </c>
      <c r="E13" s="323">
        <v>170851.62010524501</v>
      </c>
      <c r="F13" s="323">
        <v>170851.62010524501</v>
      </c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</row>
    <row r="14" spans="1:26" outlineLevel="1">
      <c r="A14" s="257"/>
      <c r="B14" s="324"/>
      <c r="C14" s="324" t="s">
        <v>30</v>
      </c>
      <c r="D14" s="325">
        <v>4.5863766813658202</v>
      </c>
      <c r="E14" s="325">
        <v>4.5863766813658202</v>
      </c>
      <c r="F14" s="325">
        <v>4.5863766813658202</v>
      </c>
      <c r="G14" s="257"/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</row>
    <row r="15" spans="1:26">
      <c r="A15" s="257"/>
      <c r="B15" s="257" t="s">
        <v>1126</v>
      </c>
      <c r="C15" s="257"/>
      <c r="D15" s="257"/>
      <c r="E15" s="257"/>
      <c r="F15" s="257"/>
      <c r="G15" s="257"/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257"/>
      <c r="W15" s="257"/>
      <c r="X15" s="257"/>
      <c r="Y15" s="257"/>
      <c r="Z15" s="257"/>
    </row>
    <row r="16" spans="1:26">
      <c r="A16" s="257"/>
      <c r="B16" s="257" t="s">
        <v>1127</v>
      </c>
      <c r="C16" s="257"/>
      <c r="D16" s="257"/>
      <c r="E16" s="257"/>
      <c r="F16" s="257"/>
      <c r="G16" s="257"/>
      <c r="H16" s="257"/>
      <c r="I16" s="257"/>
      <c r="J16" s="257"/>
      <c r="K16" s="257"/>
      <c r="L16" s="257"/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</row>
    <row r="17" spans="1:26">
      <c r="A17" s="257"/>
      <c r="B17" s="257" t="s">
        <v>1128</v>
      </c>
      <c r="C17" s="257"/>
      <c r="D17" s="257"/>
      <c r="E17" s="257"/>
      <c r="F17" s="257"/>
      <c r="G17" s="257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</row>
    <row r="18" spans="1:26">
      <c r="A18" s="257"/>
      <c r="B18" s="257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</row>
    <row r="19" spans="1:26">
      <c r="A19" s="257"/>
      <c r="B19" s="257"/>
      <c r="C19" s="257"/>
      <c r="D19" s="257"/>
      <c r="E19" s="257"/>
      <c r="F19" s="257"/>
      <c r="G19" s="257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</row>
    <row r="20" spans="1:26">
      <c r="A20" s="257"/>
      <c r="B20" s="257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</row>
    <row r="21" spans="1:26" ht="15.75" customHeight="1">
      <c r="A21" s="257"/>
      <c r="B21" s="257"/>
      <c r="C21" s="257"/>
      <c r="D21" s="257"/>
      <c r="E21" s="257"/>
      <c r="F21" s="257"/>
      <c r="G21" s="257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</row>
    <row r="22" spans="1:26" ht="15.75" customHeight="1">
      <c r="A22" s="257"/>
      <c r="B22" s="257"/>
      <c r="C22" s="257"/>
      <c r="D22" s="257"/>
      <c r="E22" s="257"/>
      <c r="F22" s="257"/>
      <c r="G22" s="257"/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</row>
    <row r="23" spans="1:26" ht="15.75" customHeight="1">
      <c r="A23" s="257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</row>
    <row r="24" spans="1:26" ht="15.75" customHeight="1">
      <c r="A24" s="257"/>
      <c r="B24" s="257"/>
      <c r="C24" s="257"/>
      <c r="D24" s="257"/>
      <c r="E24" s="257"/>
      <c r="F24" s="257"/>
      <c r="G24" s="257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</row>
    <row r="25" spans="1:26" ht="15.75" customHeight="1">
      <c r="A25" s="257"/>
      <c r="B25" s="257"/>
      <c r="C25" s="257"/>
      <c r="D25" s="257"/>
      <c r="E25" s="257"/>
      <c r="F25" s="257"/>
      <c r="G25" s="257"/>
      <c r="H25" s="257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</row>
    <row r="26" spans="1:26" ht="15.75" customHeight="1">
      <c r="A26" s="257"/>
      <c r="B26" s="257"/>
      <c r="C26" s="257"/>
      <c r="D26" s="257"/>
      <c r="E26" s="257"/>
      <c r="F26" s="257"/>
      <c r="G26" s="257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</row>
    <row r="27" spans="1:26" ht="15.75" customHeight="1">
      <c r="A27" s="257"/>
      <c r="B27" s="257"/>
      <c r="C27" s="257"/>
      <c r="D27" s="257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</row>
    <row r="28" spans="1:26" ht="15.75" customHeight="1">
      <c r="A28" s="257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</row>
    <row r="29" spans="1:26" ht="15.75" customHeight="1">
      <c r="A29" s="257"/>
      <c r="B29" s="257"/>
      <c r="C29" s="257"/>
      <c r="D29" s="257"/>
      <c r="E29" s="257"/>
      <c r="F29" s="257"/>
      <c r="G29" s="257"/>
      <c r="H29" s="257"/>
      <c r="I29" s="257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</row>
    <row r="30" spans="1:26" ht="15.75" customHeight="1">
      <c r="A30" s="257"/>
      <c r="B30" s="257"/>
      <c r="C30" s="257"/>
      <c r="D30" s="257"/>
      <c r="E30" s="257"/>
      <c r="F30" s="257"/>
      <c r="G30" s="257"/>
      <c r="H30" s="257"/>
      <c r="I30" s="257"/>
      <c r="J30" s="257"/>
      <c r="K30" s="257"/>
      <c r="L30" s="257"/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</row>
    <row r="31" spans="1:26" ht="15.75" customHeight="1">
      <c r="A31" s="257"/>
      <c r="B31" s="257"/>
      <c r="C31" s="257"/>
      <c r="D31" s="257"/>
      <c r="E31" s="257"/>
      <c r="F31" s="257"/>
      <c r="G31" s="257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</row>
    <row r="32" spans="1:26" ht="15.75" customHeight="1">
      <c r="A32" s="257"/>
      <c r="B32" s="257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</row>
    <row r="33" spans="1:26" ht="15.75" customHeight="1">
      <c r="A33" s="257"/>
      <c r="B33" s="257"/>
      <c r="C33" s="257"/>
      <c r="D33" s="257"/>
      <c r="E33" s="257"/>
      <c r="F33" s="257"/>
      <c r="G33" s="257"/>
      <c r="H33" s="257"/>
      <c r="I33" s="257"/>
      <c r="J33" s="257"/>
      <c r="K33" s="257"/>
      <c r="L33" s="257"/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</row>
    <row r="34" spans="1:26" ht="15.75" customHeight="1">
      <c r="A34" s="257"/>
      <c r="B34" s="257"/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</row>
    <row r="35" spans="1:26" ht="15.75" customHeight="1">
      <c r="A35" s="257"/>
      <c r="B35" s="257"/>
      <c r="C35" s="257"/>
      <c r="D35" s="257"/>
      <c r="E35" s="257"/>
      <c r="F35" s="257"/>
      <c r="G35" s="257"/>
      <c r="H35" s="257"/>
      <c r="I35" s="257"/>
      <c r="J35" s="257"/>
      <c r="K35" s="257"/>
      <c r="L35" s="257"/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</row>
    <row r="36" spans="1:26" ht="15.75" customHeight="1">
      <c r="A36" s="257"/>
      <c r="B36" s="257"/>
      <c r="C36" s="257"/>
      <c r="D36" s="257"/>
      <c r="E36" s="257"/>
      <c r="F36" s="257"/>
      <c r="G36" s="257"/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</row>
    <row r="37" spans="1:26" ht="15.75" customHeight="1">
      <c r="A37" s="257"/>
      <c r="B37" s="257"/>
      <c r="C37" s="257"/>
      <c r="D37" s="257"/>
      <c r="E37" s="257"/>
      <c r="F37" s="257"/>
      <c r="G37" s="257"/>
      <c r="H37" s="257"/>
      <c r="I37" s="257"/>
      <c r="J37" s="257"/>
      <c r="K37" s="257"/>
      <c r="L37" s="257"/>
      <c r="M37" s="257"/>
      <c r="N37" s="257"/>
      <c r="O37" s="257"/>
      <c r="P37" s="257"/>
      <c r="Q37" s="257"/>
      <c r="R37" s="257"/>
      <c r="S37" s="257"/>
      <c r="T37" s="257"/>
      <c r="U37" s="257"/>
      <c r="V37" s="257"/>
      <c r="W37" s="257"/>
      <c r="X37" s="257"/>
      <c r="Y37" s="257"/>
      <c r="Z37" s="257"/>
    </row>
    <row r="38" spans="1:26" ht="15.75" customHeight="1">
      <c r="A38" s="257"/>
      <c r="B38" s="257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</row>
    <row r="39" spans="1:26" ht="15.75" customHeight="1">
      <c r="A39" s="257"/>
      <c r="B39" s="257"/>
      <c r="C39" s="257"/>
      <c r="D39" s="257"/>
      <c r="E39" s="257"/>
      <c r="F39" s="257"/>
      <c r="G39" s="257"/>
      <c r="H39" s="257"/>
      <c r="I39" s="257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</row>
    <row r="40" spans="1:26" ht="15.75" customHeight="1">
      <c r="A40" s="257"/>
      <c r="B40" s="257"/>
      <c r="C40" s="257"/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7"/>
      <c r="S40" s="257"/>
      <c r="T40" s="257"/>
      <c r="U40" s="257"/>
      <c r="V40" s="257"/>
      <c r="W40" s="257"/>
      <c r="X40" s="257"/>
      <c r="Y40" s="257"/>
      <c r="Z40" s="257"/>
    </row>
    <row r="41" spans="1:26" ht="15.75" customHeight="1">
      <c r="A41" s="257"/>
      <c r="B41" s="257"/>
      <c r="C41" s="257"/>
      <c r="D41" s="257"/>
      <c r="E41" s="257"/>
      <c r="F41" s="257"/>
      <c r="G41" s="257"/>
      <c r="H41" s="257"/>
      <c r="I41" s="257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</row>
    <row r="42" spans="1:26" ht="15.75" customHeight="1">
      <c r="A42" s="257"/>
      <c r="B42" s="257"/>
      <c r="C42" s="257"/>
      <c r="D42" s="257"/>
      <c r="E42" s="257"/>
      <c r="F42" s="257"/>
      <c r="G42" s="257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</row>
    <row r="43" spans="1:26" ht="15.75" customHeight="1">
      <c r="A43" s="257"/>
      <c r="B43" s="257"/>
      <c r="C43" s="257"/>
      <c r="D43" s="257"/>
      <c r="E43" s="257"/>
      <c r="F43" s="257"/>
      <c r="G43" s="257"/>
      <c r="H43" s="257"/>
      <c r="I43" s="257"/>
      <c r="J43" s="257"/>
      <c r="K43" s="257"/>
      <c r="L43" s="257"/>
      <c r="M43" s="257"/>
      <c r="N43" s="257"/>
      <c r="O43" s="257"/>
      <c r="P43" s="257"/>
      <c r="Q43" s="257"/>
      <c r="R43" s="257"/>
      <c r="S43" s="257"/>
      <c r="T43" s="257"/>
      <c r="U43" s="257"/>
      <c r="V43" s="257"/>
      <c r="W43" s="257"/>
      <c r="X43" s="257"/>
      <c r="Y43" s="257"/>
      <c r="Z43" s="257"/>
    </row>
    <row r="44" spans="1:26" ht="15.75" customHeight="1">
      <c r="A44" s="257"/>
      <c r="B44" s="257"/>
      <c r="C44" s="257"/>
      <c r="D44" s="257"/>
      <c r="E44" s="257"/>
      <c r="F44" s="257"/>
      <c r="G44" s="257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</row>
    <row r="45" spans="1:26" ht="15.75" customHeight="1">
      <c r="A45" s="257"/>
      <c r="B45" s="257"/>
      <c r="C45" s="257"/>
      <c r="D45" s="257"/>
      <c r="E45" s="257"/>
      <c r="F45" s="257"/>
      <c r="G45" s="257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</row>
    <row r="46" spans="1:26" ht="15.75" customHeight="1">
      <c r="A46" s="257"/>
      <c r="B46" s="257"/>
      <c r="C46" s="257"/>
      <c r="D46" s="257"/>
      <c r="E46" s="257"/>
      <c r="F46" s="257"/>
      <c r="G46" s="257"/>
      <c r="H46" s="257"/>
      <c r="I46" s="257"/>
      <c r="J46" s="257"/>
      <c r="K46" s="257"/>
      <c r="L46" s="257"/>
      <c r="M46" s="257"/>
      <c r="N46" s="257"/>
      <c r="O46" s="257"/>
      <c r="P46" s="257"/>
      <c r="Q46" s="257"/>
      <c r="R46" s="257"/>
      <c r="S46" s="257"/>
      <c r="T46" s="257"/>
      <c r="U46" s="257"/>
      <c r="V46" s="257"/>
      <c r="W46" s="257"/>
      <c r="X46" s="257"/>
      <c r="Y46" s="257"/>
      <c r="Z46" s="257"/>
    </row>
    <row r="47" spans="1:26" ht="15.75" customHeight="1">
      <c r="A47" s="257"/>
      <c r="B47" s="257"/>
      <c r="C47" s="257"/>
      <c r="D47" s="257"/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</row>
    <row r="48" spans="1:26" ht="15.75" customHeight="1">
      <c r="A48" s="257"/>
      <c r="B48" s="257"/>
      <c r="C48" s="257"/>
      <c r="D48" s="257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257"/>
      <c r="P48" s="257"/>
      <c r="Q48" s="257"/>
      <c r="R48" s="257"/>
      <c r="S48" s="257"/>
      <c r="T48" s="257"/>
      <c r="U48" s="257"/>
      <c r="V48" s="257"/>
      <c r="W48" s="257"/>
      <c r="X48" s="257"/>
      <c r="Y48" s="257"/>
      <c r="Z48" s="257"/>
    </row>
    <row r="49" spans="1:26" ht="15.75" customHeight="1">
      <c r="A49" s="257"/>
      <c r="B49" s="257"/>
      <c r="C49" s="257"/>
      <c r="D49" s="257"/>
      <c r="E49" s="257"/>
      <c r="F49" s="257"/>
      <c r="G49" s="257"/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</row>
    <row r="50" spans="1:26" ht="15.75" customHeight="1">
      <c r="A50" s="257"/>
      <c r="B50" s="257"/>
      <c r="C50" s="257"/>
      <c r="D50" s="257"/>
      <c r="E50" s="257"/>
      <c r="F50" s="257"/>
      <c r="G50" s="257"/>
      <c r="H50" s="257"/>
      <c r="I50" s="257"/>
      <c r="J50" s="257"/>
      <c r="K50" s="257"/>
      <c r="L50" s="257"/>
      <c r="M50" s="257"/>
      <c r="N50" s="257"/>
      <c r="O50" s="257"/>
      <c r="P50" s="257"/>
      <c r="Q50" s="257"/>
      <c r="R50" s="257"/>
      <c r="S50" s="257"/>
      <c r="T50" s="257"/>
      <c r="U50" s="257"/>
      <c r="V50" s="257"/>
      <c r="W50" s="257"/>
      <c r="X50" s="257"/>
      <c r="Y50" s="257"/>
      <c r="Z50" s="257"/>
    </row>
    <row r="51" spans="1:26" ht="15.75" customHeight="1">
      <c r="A51" s="257"/>
      <c r="B51" s="257"/>
      <c r="C51" s="257"/>
      <c r="D51" s="257"/>
      <c r="E51" s="257"/>
      <c r="F51" s="257"/>
      <c r="G51" s="257"/>
      <c r="H51" s="257"/>
      <c r="I51" s="257"/>
      <c r="J51" s="257"/>
      <c r="K51" s="257"/>
      <c r="L51" s="257"/>
      <c r="M51" s="257"/>
      <c r="N51" s="257"/>
      <c r="O51" s="257"/>
      <c r="P51" s="257"/>
      <c r="Q51" s="257"/>
      <c r="R51" s="257"/>
      <c r="S51" s="257"/>
      <c r="T51" s="257"/>
      <c r="U51" s="257"/>
      <c r="V51" s="257"/>
      <c r="W51" s="257"/>
      <c r="X51" s="257"/>
      <c r="Y51" s="257"/>
      <c r="Z51" s="257"/>
    </row>
    <row r="52" spans="1:26" ht="15.75" customHeight="1">
      <c r="A52" s="257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</row>
    <row r="53" spans="1:26" ht="15.75" customHeight="1">
      <c r="A53" s="257"/>
      <c r="B53" s="257"/>
      <c r="C53" s="257"/>
      <c r="D53" s="257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</row>
    <row r="54" spans="1:26" ht="15.75" customHeight="1">
      <c r="A54" s="257"/>
      <c r="B54" s="257"/>
      <c r="C54" s="257"/>
      <c r="D54" s="257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257"/>
      <c r="P54" s="257"/>
      <c r="Q54" s="257"/>
      <c r="R54" s="257"/>
      <c r="S54" s="257"/>
      <c r="T54" s="257"/>
      <c r="U54" s="257"/>
      <c r="V54" s="257"/>
      <c r="W54" s="257"/>
      <c r="X54" s="257"/>
      <c r="Y54" s="257"/>
      <c r="Z54" s="257"/>
    </row>
    <row r="55" spans="1:26" ht="15.75" customHeight="1">
      <c r="A55" s="257"/>
      <c r="B55" s="257"/>
      <c r="C55" s="257"/>
      <c r="D55" s="257"/>
      <c r="E55" s="257"/>
      <c r="F55" s="257"/>
      <c r="G55" s="257"/>
      <c r="H55" s="257"/>
      <c r="I55" s="257"/>
      <c r="J55" s="257"/>
      <c r="K55" s="257"/>
      <c r="L55" s="257"/>
      <c r="M55" s="257"/>
      <c r="N55" s="257"/>
      <c r="O55" s="257"/>
      <c r="P55" s="257"/>
      <c r="Q55" s="257"/>
      <c r="R55" s="257"/>
      <c r="S55" s="257"/>
      <c r="T55" s="257"/>
      <c r="U55" s="257"/>
      <c r="V55" s="257"/>
      <c r="W55" s="257"/>
      <c r="X55" s="257"/>
      <c r="Y55" s="257"/>
      <c r="Z55" s="257"/>
    </row>
    <row r="56" spans="1:26" ht="15.75" customHeight="1">
      <c r="A56" s="257"/>
      <c r="B56" s="257"/>
      <c r="C56" s="257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7"/>
      <c r="S56" s="257"/>
      <c r="T56" s="257"/>
      <c r="U56" s="257"/>
      <c r="V56" s="257"/>
      <c r="W56" s="257"/>
      <c r="X56" s="257"/>
      <c r="Y56" s="257"/>
      <c r="Z56" s="257"/>
    </row>
    <row r="57" spans="1:26" ht="15.75" customHeight="1">
      <c r="A57" s="257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</row>
    <row r="58" spans="1:26" ht="15.75" customHeight="1">
      <c r="A58" s="257"/>
      <c r="B58" s="257"/>
      <c r="C58" s="257"/>
      <c r="D58" s="257"/>
      <c r="E58" s="257"/>
      <c r="F58" s="257"/>
      <c r="G58" s="257"/>
      <c r="H58" s="257"/>
      <c r="I58" s="257"/>
      <c r="J58" s="257"/>
      <c r="K58" s="257"/>
      <c r="L58" s="257"/>
      <c r="M58" s="257"/>
      <c r="N58" s="257"/>
      <c r="O58" s="257"/>
      <c r="P58" s="257"/>
      <c r="Q58" s="257"/>
      <c r="R58" s="257"/>
      <c r="S58" s="257"/>
      <c r="T58" s="257"/>
      <c r="U58" s="257"/>
      <c r="V58" s="257"/>
      <c r="W58" s="257"/>
      <c r="X58" s="257"/>
      <c r="Y58" s="257"/>
      <c r="Z58" s="257"/>
    </row>
    <row r="59" spans="1:26" ht="15.75" customHeight="1">
      <c r="A59" s="257"/>
      <c r="B59" s="257"/>
      <c r="C59" s="257"/>
      <c r="D59" s="257"/>
      <c r="E59" s="257"/>
      <c r="F59" s="257"/>
      <c r="G59" s="257"/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</row>
    <row r="60" spans="1:26" ht="15.75" customHeight="1">
      <c r="A60" s="257"/>
      <c r="B60" s="257"/>
      <c r="C60" s="257"/>
      <c r="D60" s="257"/>
      <c r="E60" s="257"/>
      <c r="F60" s="257"/>
      <c r="G60" s="257"/>
      <c r="H60" s="257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7"/>
      <c r="V60" s="257"/>
      <c r="W60" s="257"/>
      <c r="X60" s="257"/>
      <c r="Y60" s="257"/>
      <c r="Z60" s="257"/>
    </row>
    <row r="61" spans="1:26" ht="15.75" customHeight="1">
      <c r="A61" s="257"/>
      <c r="B61" s="257"/>
      <c r="C61" s="257"/>
      <c r="D61" s="257"/>
      <c r="E61" s="257"/>
      <c r="F61" s="257"/>
      <c r="G61" s="257"/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/>
      <c r="U61" s="257"/>
      <c r="V61" s="257"/>
      <c r="W61" s="257"/>
      <c r="X61" s="257"/>
      <c r="Y61" s="257"/>
      <c r="Z61" s="257"/>
    </row>
    <row r="62" spans="1:26" ht="15.75" customHeight="1">
      <c r="A62" s="257"/>
      <c r="B62" s="257"/>
      <c r="C62" s="257"/>
      <c r="D62" s="257"/>
      <c r="E62" s="257"/>
      <c r="F62" s="257"/>
      <c r="G62" s="257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</row>
    <row r="63" spans="1:26" ht="15.75" customHeight="1">
      <c r="A63" s="257"/>
      <c r="B63" s="257"/>
      <c r="C63" s="257"/>
      <c r="D63" s="257"/>
      <c r="E63" s="257"/>
      <c r="F63" s="257"/>
      <c r="G63" s="257"/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</row>
    <row r="64" spans="1:26" ht="15.75" customHeight="1">
      <c r="A64" s="257"/>
      <c r="B64" s="257"/>
      <c r="C64" s="257"/>
      <c r="D64" s="257"/>
      <c r="E64" s="257"/>
      <c r="F64" s="257"/>
      <c r="G64" s="257"/>
      <c r="H64" s="257"/>
      <c r="I64" s="257"/>
      <c r="J64" s="257"/>
      <c r="K64" s="257"/>
      <c r="L64" s="257"/>
      <c r="M64" s="257"/>
      <c r="N64" s="257"/>
      <c r="O64" s="257"/>
      <c r="P64" s="257"/>
      <c r="Q64" s="257"/>
      <c r="R64" s="257"/>
      <c r="S64" s="257"/>
      <c r="T64" s="257"/>
      <c r="U64" s="257"/>
      <c r="V64" s="257"/>
      <c r="W64" s="257"/>
      <c r="X64" s="257"/>
      <c r="Y64" s="257"/>
      <c r="Z64" s="257"/>
    </row>
    <row r="65" spans="1:26" ht="15.75" customHeight="1">
      <c r="A65" s="257"/>
      <c r="B65" s="257"/>
      <c r="C65" s="257"/>
      <c r="D65" s="257"/>
      <c r="E65" s="257"/>
      <c r="F65" s="257"/>
      <c r="G65" s="257"/>
      <c r="H65" s="257"/>
      <c r="I65" s="257"/>
      <c r="J65" s="257"/>
      <c r="K65" s="257"/>
      <c r="L65" s="257"/>
      <c r="M65" s="257"/>
      <c r="N65" s="257"/>
      <c r="O65" s="257"/>
      <c r="P65" s="257"/>
      <c r="Q65" s="257"/>
      <c r="R65" s="257"/>
      <c r="S65" s="257"/>
      <c r="T65" s="257"/>
      <c r="U65" s="257"/>
      <c r="V65" s="257"/>
      <c r="W65" s="257"/>
      <c r="X65" s="257"/>
      <c r="Y65" s="257"/>
      <c r="Z65" s="257"/>
    </row>
    <row r="66" spans="1:26" ht="15.75" customHeight="1">
      <c r="A66" s="257"/>
      <c r="B66" s="257"/>
      <c r="C66" s="257"/>
      <c r="D66" s="257"/>
      <c r="E66" s="257"/>
      <c r="F66" s="257"/>
      <c r="G66" s="257"/>
      <c r="H66" s="257"/>
      <c r="I66" s="257"/>
      <c r="J66" s="257"/>
      <c r="K66" s="257"/>
      <c r="L66" s="257"/>
      <c r="M66" s="257"/>
      <c r="N66" s="257"/>
      <c r="O66" s="257"/>
      <c r="P66" s="257"/>
      <c r="Q66" s="257"/>
      <c r="R66" s="257"/>
      <c r="S66" s="257"/>
      <c r="T66" s="257"/>
      <c r="U66" s="257"/>
      <c r="V66" s="257"/>
      <c r="W66" s="257"/>
      <c r="X66" s="257"/>
      <c r="Y66" s="257"/>
      <c r="Z66" s="257"/>
    </row>
    <row r="67" spans="1:26" ht="15.75" customHeight="1">
      <c r="A67" s="257"/>
      <c r="B67" s="257"/>
      <c r="C67" s="257"/>
      <c r="D67" s="257"/>
      <c r="E67" s="257"/>
      <c r="F67" s="257"/>
      <c r="G67" s="257"/>
      <c r="H67" s="257"/>
      <c r="I67" s="257"/>
      <c r="J67" s="257"/>
      <c r="K67" s="257"/>
      <c r="L67" s="257"/>
      <c r="M67" s="257"/>
      <c r="N67" s="257"/>
      <c r="O67" s="257"/>
      <c r="P67" s="257"/>
      <c r="Q67" s="257"/>
      <c r="R67" s="257"/>
      <c r="S67" s="257"/>
      <c r="T67" s="257"/>
      <c r="U67" s="257"/>
      <c r="V67" s="257"/>
      <c r="W67" s="257"/>
      <c r="X67" s="257"/>
      <c r="Y67" s="257"/>
      <c r="Z67" s="257"/>
    </row>
    <row r="68" spans="1:26" ht="15.75" customHeight="1">
      <c r="A68" s="257"/>
      <c r="B68" s="257"/>
      <c r="C68" s="257"/>
      <c r="D68" s="257"/>
      <c r="E68" s="257"/>
      <c r="F68" s="257"/>
      <c r="G68" s="257"/>
      <c r="H68" s="257"/>
      <c r="I68" s="257"/>
      <c r="J68" s="257"/>
      <c r="K68" s="257"/>
      <c r="L68" s="257"/>
      <c r="M68" s="257"/>
      <c r="N68" s="257"/>
      <c r="O68" s="257"/>
      <c r="P68" s="257"/>
      <c r="Q68" s="257"/>
      <c r="R68" s="257"/>
      <c r="S68" s="257"/>
      <c r="T68" s="257"/>
      <c r="U68" s="257"/>
      <c r="V68" s="257"/>
      <c r="W68" s="257"/>
      <c r="X68" s="257"/>
      <c r="Y68" s="257"/>
      <c r="Z68" s="257"/>
    </row>
    <row r="69" spans="1:26" ht="15.75" customHeight="1">
      <c r="A69" s="257"/>
      <c r="B69" s="257"/>
      <c r="C69" s="257"/>
      <c r="D69" s="257"/>
      <c r="E69" s="257"/>
      <c r="F69" s="257"/>
      <c r="G69" s="257"/>
      <c r="H69" s="257"/>
      <c r="I69" s="257"/>
      <c r="J69" s="257"/>
      <c r="K69" s="257"/>
      <c r="L69" s="257"/>
      <c r="M69" s="257"/>
      <c r="N69" s="257"/>
      <c r="O69" s="257"/>
      <c r="P69" s="257"/>
      <c r="Q69" s="257"/>
      <c r="R69" s="257"/>
      <c r="S69" s="257"/>
      <c r="T69" s="257"/>
      <c r="U69" s="257"/>
      <c r="V69" s="257"/>
      <c r="W69" s="257"/>
      <c r="X69" s="257"/>
      <c r="Y69" s="257"/>
      <c r="Z69" s="257"/>
    </row>
    <row r="70" spans="1:26" ht="15.75" customHeight="1">
      <c r="A70" s="257"/>
      <c r="B70" s="257"/>
      <c r="C70" s="257"/>
      <c r="D70" s="257"/>
      <c r="E70" s="257"/>
      <c r="F70" s="257"/>
      <c r="G70" s="257"/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</row>
    <row r="71" spans="1:26" ht="15.75" customHeight="1">
      <c r="A71" s="257"/>
      <c r="B71" s="257"/>
      <c r="C71" s="257"/>
      <c r="D71" s="257"/>
      <c r="E71" s="257"/>
      <c r="F71" s="257"/>
      <c r="G71" s="257"/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</row>
    <row r="72" spans="1:26" ht="15.75" customHeight="1">
      <c r="A72" s="257"/>
      <c r="B72" s="257"/>
      <c r="C72" s="257"/>
      <c r="D72" s="257"/>
      <c r="E72" s="257"/>
      <c r="F72" s="257"/>
      <c r="G72" s="257"/>
      <c r="H72" s="257"/>
      <c r="I72" s="257"/>
      <c r="J72" s="257"/>
      <c r="K72" s="257"/>
      <c r="L72" s="257"/>
      <c r="M72" s="257"/>
      <c r="N72" s="257"/>
      <c r="O72" s="257"/>
      <c r="P72" s="257"/>
      <c r="Q72" s="257"/>
      <c r="R72" s="257"/>
      <c r="S72" s="257"/>
      <c r="T72" s="257"/>
      <c r="U72" s="257"/>
      <c r="V72" s="257"/>
      <c r="W72" s="257"/>
      <c r="X72" s="257"/>
      <c r="Y72" s="257"/>
      <c r="Z72" s="257"/>
    </row>
    <row r="73" spans="1:26" ht="15.75" customHeight="1">
      <c r="A73" s="257"/>
      <c r="B73" s="257"/>
      <c r="C73" s="257"/>
      <c r="D73" s="257"/>
      <c r="E73" s="257"/>
      <c r="F73" s="257"/>
      <c r="G73" s="257"/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</row>
    <row r="74" spans="1:26" ht="15.75" customHeight="1">
      <c r="A74" s="257"/>
      <c r="B74" s="257"/>
      <c r="C74" s="257"/>
      <c r="D74" s="257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</row>
    <row r="75" spans="1:26" ht="15.75" customHeight="1">
      <c r="A75" s="257"/>
      <c r="B75" s="257"/>
      <c r="C75" s="257"/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</row>
    <row r="76" spans="1:26" ht="15.75" customHeight="1">
      <c r="A76" s="257"/>
      <c r="B76" s="257"/>
      <c r="C76" s="257"/>
      <c r="D76" s="257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</row>
    <row r="77" spans="1:26" ht="15.75" customHeight="1">
      <c r="A77" s="257"/>
      <c r="B77" s="257"/>
      <c r="C77" s="257"/>
      <c r="D77" s="257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7"/>
      <c r="W77" s="257"/>
      <c r="X77" s="257"/>
      <c r="Y77" s="257"/>
      <c r="Z77" s="257"/>
    </row>
    <row r="78" spans="1:26" ht="15.75" customHeight="1">
      <c r="A78" s="257"/>
      <c r="B78" s="257"/>
      <c r="C78" s="257"/>
      <c r="D78" s="257"/>
      <c r="E78" s="257"/>
      <c r="F78" s="257"/>
      <c r="G78" s="257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7"/>
      <c r="V78" s="257"/>
      <c r="W78" s="257"/>
      <c r="X78" s="257"/>
      <c r="Y78" s="257"/>
      <c r="Z78" s="257"/>
    </row>
    <row r="79" spans="1:26" ht="15.75" customHeight="1">
      <c r="A79" s="257"/>
      <c r="B79" s="257"/>
      <c r="C79" s="257"/>
      <c r="D79" s="257"/>
      <c r="E79" s="257"/>
      <c r="F79" s="257"/>
      <c r="G79" s="257"/>
      <c r="H79" s="257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</row>
    <row r="80" spans="1:26" ht="15.75" customHeight="1">
      <c r="A80" s="257"/>
      <c r="B80" s="257"/>
      <c r="C80" s="257"/>
      <c r="D80" s="257"/>
      <c r="E80" s="257"/>
      <c r="F80" s="257"/>
      <c r="G80" s="257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57"/>
      <c r="V80" s="257"/>
      <c r="W80" s="257"/>
      <c r="X80" s="257"/>
      <c r="Y80" s="257"/>
      <c r="Z80" s="257"/>
    </row>
    <row r="81" spans="1:26" ht="15.75" customHeight="1">
      <c r="A81" s="257"/>
      <c r="B81" s="257"/>
      <c r="C81" s="257"/>
      <c r="D81" s="257"/>
      <c r="E81" s="257"/>
      <c r="F81" s="257"/>
      <c r="G81" s="257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7"/>
      <c r="W81" s="257"/>
      <c r="X81" s="257"/>
      <c r="Y81" s="257"/>
      <c r="Z81" s="257"/>
    </row>
    <row r="82" spans="1:26" ht="15.75" customHeight="1">
      <c r="A82" s="257"/>
      <c r="B82" s="257"/>
      <c r="C82" s="257"/>
      <c r="D82" s="257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</row>
    <row r="83" spans="1:26" ht="15.75" customHeight="1">
      <c r="A83" s="257"/>
      <c r="B83" s="257"/>
      <c r="C83" s="257"/>
      <c r="D83" s="257"/>
      <c r="E83" s="257"/>
      <c r="F83" s="257"/>
      <c r="G83" s="257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</row>
    <row r="84" spans="1:26" ht="15.75" customHeight="1">
      <c r="A84" s="257"/>
      <c r="B84" s="257"/>
      <c r="C84" s="257"/>
      <c r="D84" s="257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</row>
    <row r="85" spans="1:26" ht="15.75" customHeight="1">
      <c r="A85" s="257"/>
      <c r="B85" s="257"/>
      <c r="C85" s="257"/>
      <c r="D85" s="257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</row>
    <row r="86" spans="1:26" ht="15.75" customHeight="1">
      <c r="A86" s="257"/>
      <c r="B86" s="257"/>
      <c r="C86" s="257"/>
      <c r="D86" s="257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7"/>
      <c r="P86" s="257"/>
      <c r="Q86" s="257"/>
      <c r="R86" s="257"/>
      <c r="S86" s="257"/>
      <c r="T86" s="257"/>
      <c r="U86" s="257"/>
      <c r="V86" s="257"/>
      <c r="W86" s="257"/>
      <c r="X86" s="257"/>
      <c r="Y86" s="257"/>
      <c r="Z86" s="257"/>
    </row>
    <row r="87" spans="1:26" ht="15.75" customHeight="1">
      <c r="A87" s="257"/>
      <c r="B87" s="257"/>
      <c r="C87" s="257"/>
      <c r="D87" s="257"/>
      <c r="E87" s="257"/>
      <c r="F87" s="257"/>
      <c r="G87" s="257"/>
      <c r="H87" s="257"/>
      <c r="I87" s="257"/>
      <c r="J87" s="257"/>
      <c r="K87" s="257"/>
      <c r="L87" s="257"/>
      <c r="M87" s="257"/>
      <c r="N87" s="257"/>
      <c r="O87" s="257"/>
      <c r="P87" s="257"/>
      <c r="Q87" s="257"/>
      <c r="R87" s="257"/>
      <c r="S87" s="257"/>
      <c r="T87" s="257"/>
      <c r="U87" s="257"/>
      <c r="V87" s="257"/>
      <c r="W87" s="257"/>
      <c r="X87" s="257"/>
      <c r="Y87" s="257"/>
      <c r="Z87" s="257"/>
    </row>
    <row r="88" spans="1:26" ht="15.75" customHeight="1">
      <c r="A88" s="257"/>
      <c r="B88" s="257"/>
      <c r="C88" s="257"/>
      <c r="D88" s="257"/>
      <c r="E88" s="257"/>
      <c r="F88" s="257"/>
      <c r="G88" s="257"/>
      <c r="H88" s="257"/>
      <c r="I88" s="257"/>
      <c r="J88" s="257"/>
      <c r="K88" s="257"/>
      <c r="L88" s="257"/>
      <c r="M88" s="257"/>
      <c r="N88" s="257"/>
      <c r="O88" s="25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</row>
    <row r="89" spans="1:26" ht="15.75" customHeight="1">
      <c r="A89" s="257"/>
      <c r="B89" s="257"/>
      <c r="C89" s="257"/>
      <c r="D89" s="257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257"/>
      <c r="P89" s="257"/>
      <c r="Q89" s="257"/>
      <c r="R89" s="257"/>
      <c r="S89" s="257"/>
      <c r="T89" s="257"/>
      <c r="U89" s="257"/>
      <c r="V89" s="257"/>
      <c r="W89" s="257"/>
      <c r="X89" s="257"/>
      <c r="Y89" s="257"/>
      <c r="Z89" s="257"/>
    </row>
    <row r="90" spans="1:26" ht="15.75" customHeight="1">
      <c r="A90" s="257"/>
      <c r="B90" s="257"/>
      <c r="C90" s="257"/>
      <c r="D90" s="257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257"/>
      <c r="P90" s="257"/>
      <c r="Q90" s="257"/>
      <c r="R90" s="257"/>
      <c r="S90" s="257"/>
      <c r="T90" s="257"/>
      <c r="U90" s="257"/>
      <c r="V90" s="257"/>
      <c r="W90" s="257"/>
      <c r="X90" s="257"/>
      <c r="Y90" s="257"/>
      <c r="Z90" s="257"/>
    </row>
    <row r="91" spans="1:26" ht="15.75" customHeight="1">
      <c r="A91" s="257"/>
      <c r="B91" s="257"/>
      <c r="C91" s="257"/>
      <c r="D91" s="257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257"/>
      <c r="P91" s="257"/>
      <c r="Q91" s="257"/>
      <c r="R91" s="257"/>
      <c r="S91" s="257"/>
      <c r="T91" s="257"/>
      <c r="U91" s="257"/>
      <c r="V91" s="257"/>
      <c r="W91" s="257"/>
      <c r="X91" s="257"/>
      <c r="Y91" s="257"/>
      <c r="Z91" s="257"/>
    </row>
    <row r="92" spans="1:26" ht="15.75" customHeight="1">
      <c r="A92" s="257"/>
      <c r="B92" s="257"/>
      <c r="C92" s="257"/>
      <c r="D92" s="257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257"/>
      <c r="P92" s="257"/>
      <c r="Q92" s="257"/>
      <c r="R92" s="257"/>
      <c r="S92" s="257"/>
      <c r="T92" s="257"/>
      <c r="U92" s="257"/>
      <c r="V92" s="257"/>
      <c r="W92" s="257"/>
      <c r="X92" s="257"/>
      <c r="Y92" s="257"/>
      <c r="Z92" s="257"/>
    </row>
    <row r="93" spans="1:26" ht="15.75" customHeight="1">
      <c r="A93" s="257"/>
      <c r="B93" s="257"/>
      <c r="C93" s="257"/>
      <c r="D93" s="257"/>
      <c r="E93" s="257"/>
      <c r="F93" s="257"/>
      <c r="G93" s="257"/>
      <c r="H93" s="257"/>
      <c r="I93" s="257"/>
      <c r="J93" s="257"/>
      <c r="K93" s="257"/>
      <c r="L93" s="257"/>
      <c r="M93" s="257"/>
      <c r="N93" s="257"/>
      <c r="O93" s="257"/>
      <c r="P93" s="257"/>
      <c r="Q93" s="257"/>
      <c r="R93" s="257"/>
      <c r="S93" s="257"/>
      <c r="T93" s="257"/>
      <c r="U93" s="257"/>
      <c r="V93" s="257"/>
      <c r="W93" s="257"/>
      <c r="X93" s="257"/>
      <c r="Y93" s="257"/>
      <c r="Z93" s="257"/>
    </row>
    <row r="94" spans="1:26" ht="15.75" customHeight="1">
      <c r="A94" s="257"/>
      <c r="B94" s="257"/>
      <c r="C94" s="257"/>
      <c r="D94" s="257"/>
      <c r="E94" s="257"/>
      <c r="F94" s="257"/>
      <c r="G94" s="257"/>
      <c r="H94" s="257"/>
      <c r="I94" s="257"/>
      <c r="J94" s="257"/>
      <c r="K94" s="257"/>
      <c r="L94" s="257"/>
      <c r="M94" s="257"/>
      <c r="N94" s="257"/>
      <c r="O94" s="257"/>
      <c r="P94" s="257"/>
      <c r="Q94" s="257"/>
      <c r="R94" s="257"/>
      <c r="S94" s="257"/>
      <c r="T94" s="257"/>
      <c r="U94" s="257"/>
      <c r="V94" s="257"/>
      <c r="W94" s="257"/>
      <c r="X94" s="257"/>
      <c r="Y94" s="257"/>
      <c r="Z94" s="257"/>
    </row>
    <row r="95" spans="1:26" ht="15.75" customHeight="1">
      <c r="A95" s="257"/>
      <c r="B95" s="257"/>
      <c r="C95" s="257"/>
      <c r="D95" s="257"/>
      <c r="E95" s="257"/>
      <c r="F95" s="257"/>
      <c r="G95" s="257"/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7"/>
      <c r="W95" s="257"/>
      <c r="X95" s="257"/>
      <c r="Y95" s="257"/>
      <c r="Z95" s="257"/>
    </row>
    <row r="96" spans="1:26" ht="15.75" customHeight="1">
      <c r="A96" s="257"/>
      <c r="B96" s="257"/>
      <c r="C96" s="257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7"/>
      <c r="S96" s="257"/>
      <c r="T96" s="257"/>
      <c r="U96" s="257"/>
      <c r="V96" s="257"/>
      <c r="W96" s="257"/>
      <c r="X96" s="257"/>
      <c r="Y96" s="257"/>
      <c r="Z96" s="257"/>
    </row>
    <row r="97" spans="1:26" ht="15.75" customHeight="1">
      <c r="A97" s="257"/>
      <c r="B97" s="257"/>
      <c r="C97" s="257"/>
      <c r="D97" s="257"/>
      <c r="E97" s="257"/>
      <c r="F97" s="257"/>
      <c r="G97" s="257"/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7"/>
      <c r="S97" s="257"/>
      <c r="T97" s="257"/>
      <c r="U97" s="257"/>
      <c r="V97" s="257"/>
      <c r="W97" s="257"/>
      <c r="X97" s="257"/>
      <c r="Y97" s="257"/>
      <c r="Z97" s="257"/>
    </row>
    <row r="98" spans="1:26" ht="15.75" customHeight="1">
      <c r="A98" s="257"/>
      <c r="B98" s="257"/>
      <c r="C98" s="257"/>
      <c r="D98" s="257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</row>
    <row r="99" spans="1:26" ht="15.75" customHeight="1">
      <c r="A99" s="257"/>
      <c r="B99" s="257"/>
      <c r="C99" s="257"/>
      <c r="D99" s="257"/>
      <c r="E99" s="257"/>
      <c r="F99" s="257"/>
      <c r="G99" s="257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7"/>
      <c r="S99" s="257"/>
      <c r="T99" s="257"/>
      <c r="U99" s="257"/>
      <c r="V99" s="257"/>
      <c r="W99" s="257"/>
      <c r="X99" s="257"/>
      <c r="Y99" s="257"/>
      <c r="Z99" s="257"/>
    </row>
    <row r="100" spans="1:26" ht="15.75" customHeight="1">
      <c r="A100" s="257"/>
      <c r="B100" s="257"/>
      <c r="C100" s="257"/>
      <c r="D100" s="257"/>
      <c r="E100" s="257"/>
      <c r="F100" s="257"/>
      <c r="G100" s="257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57"/>
      <c r="S100" s="257"/>
      <c r="T100" s="257"/>
      <c r="U100" s="257"/>
      <c r="V100" s="257"/>
      <c r="W100" s="257"/>
      <c r="X100" s="257"/>
      <c r="Y100" s="257"/>
      <c r="Z100" s="257"/>
    </row>
    <row r="101" spans="1:26" ht="15.75" customHeight="1">
      <c r="A101" s="257"/>
      <c r="B101" s="257"/>
      <c r="C101" s="257"/>
      <c r="D101" s="257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</row>
    <row r="102" spans="1:26" ht="15.75" customHeight="1">
      <c r="A102" s="257"/>
      <c r="B102" s="257"/>
      <c r="C102" s="257"/>
      <c r="D102" s="257"/>
      <c r="E102" s="257"/>
      <c r="F102" s="257"/>
      <c r="G102" s="257"/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</row>
    <row r="103" spans="1:26" ht="15.75" customHeight="1">
      <c r="A103" s="257"/>
      <c r="B103" s="257"/>
      <c r="C103" s="257"/>
      <c r="D103" s="257"/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257"/>
      <c r="P103" s="257"/>
      <c r="Q103" s="257"/>
      <c r="R103" s="257"/>
      <c r="S103" s="257"/>
      <c r="T103" s="257"/>
      <c r="U103" s="257"/>
      <c r="V103" s="257"/>
      <c r="W103" s="257"/>
      <c r="X103" s="257"/>
      <c r="Y103" s="257"/>
      <c r="Z103" s="257"/>
    </row>
    <row r="104" spans="1:26" ht="15.75" customHeight="1">
      <c r="A104" s="257"/>
      <c r="B104" s="257"/>
      <c r="C104" s="257"/>
      <c r="D104" s="257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</row>
    <row r="105" spans="1:26" ht="15.75" customHeight="1">
      <c r="A105" s="257"/>
      <c r="B105" s="257"/>
      <c r="C105" s="257"/>
      <c r="D105" s="257"/>
      <c r="E105" s="257"/>
      <c r="F105" s="257"/>
      <c r="G105" s="257"/>
      <c r="H105" s="257"/>
      <c r="I105" s="257"/>
      <c r="J105" s="257"/>
      <c r="K105" s="257"/>
      <c r="L105" s="257"/>
      <c r="M105" s="257"/>
      <c r="N105" s="257"/>
      <c r="O105" s="257"/>
      <c r="P105" s="257"/>
      <c r="Q105" s="257"/>
      <c r="R105" s="257"/>
      <c r="S105" s="257"/>
      <c r="T105" s="257"/>
      <c r="U105" s="257"/>
      <c r="V105" s="257"/>
      <c r="W105" s="257"/>
      <c r="X105" s="257"/>
      <c r="Y105" s="257"/>
      <c r="Z105" s="257"/>
    </row>
    <row r="106" spans="1:26" ht="15.75" customHeight="1">
      <c r="A106" s="257"/>
      <c r="B106" s="257"/>
      <c r="C106" s="257"/>
      <c r="D106" s="257"/>
      <c r="E106" s="257"/>
      <c r="F106" s="257"/>
      <c r="G106" s="257"/>
      <c r="H106" s="257"/>
      <c r="I106" s="257"/>
      <c r="J106" s="257"/>
      <c r="K106" s="257"/>
      <c r="L106" s="257"/>
      <c r="M106" s="257"/>
      <c r="N106" s="257"/>
      <c r="O106" s="257"/>
      <c r="P106" s="257"/>
      <c r="Q106" s="257"/>
      <c r="R106" s="257"/>
      <c r="S106" s="257"/>
      <c r="T106" s="257"/>
      <c r="U106" s="257"/>
      <c r="V106" s="257"/>
      <c r="W106" s="257"/>
      <c r="X106" s="257"/>
      <c r="Y106" s="257"/>
      <c r="Z106" s="257"/>
    </row>
    <row r="107" spans="1:26" ht="15.75" customHeight="1">
      <c r="A107" s="257"/>
      <c r="B107" s="257"/>
      <c r="C107" s="257"/>
      <c r="D107" s="257"/>
      <c r="E107" s="257"/>
      <c r="F107" s="257"/>
      <c r="G107" s="257"/>
      <c r="H107" s="257"/>
      <c r="I107" s="257"/>
      <c r="J107" s="257"/>
      <c r="K107" s="257"/>
      <c r="L107" s="257"/>
      <c r="M107" s="257"/>
      <c r="N107" s="257"/>
      <c r="O107" s="257"/>
      <c r="P107" s="257"/>
      <c r="Q107" s="257"/>
      <c r="R107" s="257"/>
      <c r="S107" s="257"/>
      <c r="T107" s="257"/>
      <c r="U107" s="257"/>
      <c r="V107" s="257"/>
      <c r="W107" s="257"/>
      <c r="X107" s="257"/>
      <c r="Y107" s="257"/>
      <c r="Z107" s="257"/>
    </row>
    <row r="108" spans="1:26" ht="15.75" customHeight="1">
      <c r="A108" s="257"/>
      <c r="B108" s="257"/>
      <c r="C108" s="257"/>
      <c r="D108" s="257"/>
      <c r="E108" s="257"/>
      <c r="F108" s="257"/>
      <c r="G108" s="257"/>
      <c r="H108" s="257"/>
      <c r="I108" s="257"/>
      <c r="J108" s="257"/>
      <c r="K108" s="257"/>
      <c r="L108" s="257"/>
      <c r="M108" s="257"/>
      <c r="N108" s="257"/>
      <c r="O108" s="257"/>
      <c r="P108" s="257"/>
      <c r="Q108" s="257"/>
      <c r="R108" s="257"/>
      <c r="S108" s="257"/>
      <c r="T108" s="257"/>
      <c r="U108" s="257"/>
      <c r="V108" s="257"/>
      <c r="W108" s="257"/>
      <c r="X108" s="257"/>
      <c r="Y108" s="257"/>
      <c r="Z108" s="257"/>
    </row>
    <row r="109" spans="1:26" ht="15.75" customHeight="1">
      <c r="A109" s="257"/>
      <c r="B109" s="257"/>
      <c r="C109" s="257"/>
      <c r="D109" s="257"/>
      <c r="E109" s="257"/>
      <c r="F109" s="257"/>
      <c r="G109" s="257"/>
      <c r="H109" s="257"/>
      <c r="I109" s="257"/>
      <c r="J109" s="257"/>
      <c r="K109" s="257"/>
      <c r="L109" s="257"/>
      <c r="M109" s="257"/>
      <c r="N109" s="257"/>
      <c r="O109" s="257"/>
      <c r="P109" s="257"/>
      <c r="Q109" s="257"/>
      <c r="R109" s="257"/>
      <c r="S109" s="257"/>
      <c r="T109" s="257"/>
      <c r="U109" s="257"/>
      <c r="V109" s="257"/>
      <c r="W109" s="257"/>
      <c r="X109" s="257"/>
      <c r="Y109" s="257"/>
      <c r="Z109" s="257"/>
    </row>
    <row r="110" spans="1:26" ht="15.75" customHeight="1">
      <c r="A110" s="257"/>
      <c r="B110" s="257"/>
      <c r="C110" s="257"/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</row>
    <row r="111" spans="1:26" ht="15.75" customHeight="1">
      <c r="A111" s="257"/>
      <c r="B111" s="257"/>
      <c r="C111" s="257"/>
      <c r="D111" s="257"/>
      <c r="E111" s="257"/>
      <c r="F111" s="257"/>
      <c r="G111" s="257"/>
      <c r="H111" s="257"/>
      <c r="I111" s="257"/>
      <c r="J111" s="257"/>
      <c r="K111" s="257"/>
      <c r="L111" s="257"/>
      <c r="M111" s="257"/>
      <c r="N111" s="257"/>
      <c r="O111" s="257"/>
      <c r="P111" s="257"/>
      <c r="Q111" s="257"/>
      <c r="R111" s="257"/>
      <c r="S111" s="257"/>
      <c r="T111" s="257"/>
      <c r="U111" s="257"/>
      <c r="V111" s="257"/>
      <c r="W111" s="257"/>
      <c r="X111" s="257"/>
      <c r="Y111" s="257"/>
      <c r="Z111" s="257"/>
    </row>
    <row r="112" spans="1:26" ht="15.75" customHeight="1">
      <c r="A112" s="257"/>
      <c r="B112" s="257"/>
      <c r="C112" s="257"/>
      <c r="D112" s="257"/>
      <c r="E112" s="257"/>
      <c r="F112" s="257"/>
      <c r="G112" s="257"/>
      <c r="H112" s="257"/>
      <c r="I112" s="257"/>
      <c r="J112" s="257"/>
      <c r="K112" s="257"/>
      <c r="L112" s="257"/>
      <c r="M112" s="257"/>
      <c r="N112" s="257"/>
      <c r="O112" s="257"/>
      <c r="P112" s="257"/>
      <c r="Q112" s="257"/>
      <c r="R112" s="257"/>
      <c r="S112" s="257"/>
      <c r="T112" s="257"/>
      <c r="U112" s="257"/>
      <c r="V112" s="257"/>
      <c r="W112" s="257"/>
      <c r="X112" s="257"/>
      <c r="Y112" s="257"/>
      <c r="Z112" s="257"/>
    </row>
    <row r="113" spans="1:26" ht="15.75" customHeight="1">
      <c r="A113" s="257"/>
      <c r="B113" s="257"/>
      <c r="C113" s="257"/>
      <c r="D113" s="257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</row>
    <row r="114" spans="1:26" ht="15.75" customHeight="1">
      <c r="A114" s="257"/>
      <c r="B114" s="257"/>
      <c r="C114" s="257"/>
      <c r="D114" s="257"/>
      <c r="E114" s="257"/>
      <c r="F114" s="257"/>
      <c r="G114" s="257"/>
      <c r="H114" s="257"/>
      <c r="I114" s="257"/>
      <c r="J114" s="257"/>
      <c r="K114" s="257"/>
      <c r="L114" s="257"/>
      <c r="M114" s="257"/>
      <c r="N114" s="257"/>
      <c r="O114" s="257"/>
      <c r="P114" s="257"/>
      <c r="Q114" s="257"/>
      <c r="R114" s="257"/>
      <c r="S114" s="257"/>
      <c r="T114" s="257"/>
      <c r="U114" s="257"/>
      <c r="V114" s="257"/>
      <c r="W114" s="257"/>
      <c r="X114" s="257"/>
      <c r="Y114" s="257"/>
      <c r="Z114" s="257"/>
    </row>
    <row r="115" spans="1:26" ht="15.75" customHeight="1">
      <c r="A115" s="257"/>
      <c r="B115" s="257"/>
      <c r="C115" s="257"/>
      <c r="D115" s="257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</row>
    <row r="116" spans="1:26" ht="15.75" customHeight="1">
      <c r="A116" s="257"/>
      <c r="B116" s="257"/>
      <c r="C116" s="257"/>
      <c r="D116" s="257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</row>
    <row r="117" spans="1:26" ht="15.75" customHeight="1">
      <c r="A117" s="257"/>
      <c r="B117" s="257"/>
      <c r="C117" s="257"/>
      <c r="D117" s="257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257"/>
      <c r="P117" s="257"/>
      <c r="Q117" s="257"/>
      <c r="R117" s="257"/>
      <c r="S117" s="257"/>
      <c r="T117" s="257"/>
      <c r="U117" s="257"/>
      <c r="V117" s="257"/>
      <c r="W117" s="257"/>
      <c r="X117" s="257"/>
      <c r="Y117" s="257"/>
      <c r="Z117" s="257"/>
    </row>
    <row r="118" spans="1:26" ht="15.75" customHeight="1">
      <c r="A118" s="257"/>
      <c r="B118" s="257"/>
      <c r="C118" s="257"/>
      <c r="D118" s="257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257"/>
      <c r="P118" s="257"/>
      <c r="Q118" s="257"/>
      <c r="R118" s="257"/>
      <c r="S118" s="257"/>
      <c r="T118" s="257"/>
      <c r="U118" s="257"/>
      <c r="V118" s="257"/>
      <c r="W118" s="257"/>
      <c r="X118" s="257"/>
      <c r="Y118" s="257"/>
      <c r="Z118" s="257"/>
    </row>
    <row r="119" spans="1:26" ht="15.75" customHeight="1">
      <c r="A119" s="257"/>
      <c r="B119" s="257"/>
      <c r="C119" s="257"/>
      <c r="D119" s="257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257"/>
      <c r="P119" s="257"/>
      <c r="Q119" s="257"/>
      <c r="R119" s="257"/>
      <c r="S119" s="257"/>
      <c r="T119" s="257"/>
      <c r="U119" s="257"/>
      <c r="V119" s="257"/>
      <c r="W119" s="257"/>
      <c r="X119" s="257"/>
      <c r="Y119" s="257"/>
      <c r="Z119" s="257"/>
    </row>
    <row r="120" spans="1:26" ht="15.75" customHeight="1">
      <c r="A120" s="257"/>
      <c r="B120" s="257"/>
      <c r="C120" s="257"/>
      <c r="D120" s="257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257"/>
      <c r="P120" s="257"/>
      <c r="Q120" s="257"/>
      <c r="R120" s="257"/>
      <c r="S120" s="257"/>
      <c r="T120" s="257"/>
      <c r="U120" s="257"/>
      <c r="V120" s="257"/>
      <c r="W120" s="257"/>
      <c r="X120" s="257"/>
      <c r="Y120" s="257"/>
      <c r="Z120" s="257"/>
    </row>
    <row r="121" spans="1:26" ht="15.75" customHeight="1">
      <c r="A121" s="257"/>
      <c r="B121" s="257"/>
      <c r="C121" s="257"/>
      <c r="D121" s="257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257"/>
      <c r="P121" s="257"/>
      <c r="Q121" s="257"/>
      <c r="R121" s="257"/>
      <c r="S121" s="257"/>
      <c r="T121" s="257"/>
      <c r="U121" s="257"/>
      <c r="V121" s="257"/>
      <c r="W121" s="257"/>
      <c r="X121" s="257"/>
      <c r="Y121" s="257"/>
      <c r="Z121" s="257"/>
    </row>
    <row r="122" spans="1:26" ht="15.75" customHeight="1">
      <c r="A122" s="257"/>
      <c r="B122" s="257"/>
      <c r="C122" s="257"/>
      <c r="D122" s="257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257"/>
      <c r="P122" s="257"/>
      <c r="Q122" s="257"/>
      <c r="R122" s="257"/>
      <c r="S122" s="257"/>
      <c r="T122" s="257"/>
      <c r="U122" s="257"/>
      <c r="V122" s="257"/>
      <c r="W122" s="257"/>
      <c r="X122" s="257"/>
      <c r="Y122" s="257"/>
      <c r="Z122" s="257"/>
    </row>
    <row r="123" spans="1:26" ht="15.75" customHeight="1">
      <c r="A123" s="257"/>
      <c r="B123" s="257"/>
      <c r="C123" s="257"/>
      <c r="D123" s="257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257"/>
      <c r="P123" s="257"/>
      <c r="Q123" s="257"/>
      <c r="R123" s="257"/>
      <c r="S123" s="257"/>
      <c r="T123" s="257"/>
      <c r="U123" s="257"/>
      <c r="V123" s="257"/>
      <c r="W123" s="257"/>
      <c r="X123" s="257"/>
      <c r="Y123" s="257"/>
      <c r="Z123" s="257"/>
    </row>
    <row r="124" spans="1:26" ht="15.75" customHeight="1">
      <c r="A124" s="257"/>
      <c r="B124" s="257"/>
      <c r="C124" s="257"/>
      <c r="D124" s="257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</row>
    <row r="125" spans="1:26" ht="15.75" customHeight="1">
      <c r="A125" s="257"/>
      <c r="B125" s="257"/>
      <c r="C125" s="257"/>
      <c r="D125" s="257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257"/>
      <c r="P125" s="257"/>
      <c r="Q125" s="257"/>
      <c r="R125" s="257"/>
      <c r="S125" s="257"/>
      <c r="T125" s="257"/>
      <c r="U125" s="257"/>
      <c r="V125" s="257"/>
      <c r="W125" s="257"/>
      <c r="X125" s="257"/>
      <c r="Y125" s="257"/>
      <c r="Z125" s="257"/>
    </row>
    <row r="126" spans="1:26" ht="15.75" customHeight="1">
      <c r="A126" s="257"/>
      <c r="B126" s="257"/>
      <c r="C126" s="257"/>
      <c r="D126" s="257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257"/>
      <c r="P126" s="257"/>
      <c r="Q126" s="257"/>
      <c r="R126" s="257"/>
      <c r="S126" s="257"/>
      <c r="T126" s="257"/>
      <c r="U126" s="257"/>
      <c r="V126" s="257"/>
      <c r="W126" s="257"/>
      <c r="X126" s="257"/>
      <c r="Y126" s="257"/>
      <c r="Z126" s="257"/>
    </row>
    <row r="127" spans="1:26" ht="15.75" customHeight="1">
      <c r="A127" s="257"/>
      <c r="B127" s="257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</row>
    <row r="128" spans="1:26" ht="15.75" customHeight="1">
      <c r="A128" s="257"/>
      <c r="B128" s="257"/>
      <c r="C128" s="257"/>
      <c r="D128" s="257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257"/>
      <c r="P128" s="257"/>
      <c r="Q128" s="257"/>
      <c r="R128" s="257"/>
      <c r="S128" s="257"/>
      <c r="T128" s="257"/>
      <c r="U128" s="257"/>
      <c r="V128" s="257"/>
      <c r="W128" s="257"/>
      <c r="X128" s="257"/>
      <c r="Y128" s="257"/>
      <c r="Z128" s="257"/>
    </row>
    <row r="129" spans="1:26" ht="15.75" customHeight="1">
      <c r="A129" s="257"/>
      <c r="B129" s="257"/>
      <c r="C129" s="257"/>
      <c r="D129" s="257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257"/>
      <c r="P129" s="257"/>
      <c r="Q129" s="257"/>
      <c r="R129" s="257"/>
      <c r="S129" s="257"/>
      <c r="T129" s="257"/>
      <c r="U129" s="257"/>
      <c r="V129" s="257"/>
      <c r="W129" s="257"/>
      <c r="X129" s="257"/>
      <c r="Y129" s="257"/>
      <c r="Z129" s="257"/>
    </row>
    <row r="130" spans="1:26" ht="15.75" customHeight="1">
      <c r="A130" s="257"/>
      <c r="B130" s="257"/>
      <c r="C130" s="257"/>
      <c r="D130" s="257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257"/>
      <c r="P130" s="257"/>
      <c r="Q130" s="257"/>
      <c r="R130" s="257"/>
      <c r="S130" s="257"/>
      <c r="T130" s="257"/>
      <c r="U130" s="257"/>
      <c r="V130" s="257"/>
      <c r="W130" s="257"/>
      <c r="X130" s="257"/>
      <c r="Y130" s="257"/>
      <c r="Z130" s="257"/>
    </row>
    <row r="131" spans="1:26" ht="15.75" customHeight="1">
      <c r="A131" s="257"/>
      <c r="B131" s="257"/>
      <c r="C131" s="257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</row>
    <row r="132" spans="1:26" ht="15.75" customHeight="1">
      <c r="A132" s="257"/>
      <c r="B132" s="257"/>
      <c r="C132" s="257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7"/>
      <c r="V132" s="257"/>
      <c r="W132" s="257"/>
      <c r="X132" s="257"/>
      <c r="Y132" s="257"/>
      <c r="Z132" s="257"/>
    </row>
    <row r="133" spans="1:26" ht="15.75" customHeight="1">
      <c r="A133" s="257"/>
      <c r="B133" s="257"/>
      <c r="C133" s="257"/>
      <c r="D133" s="257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7"/>
      <c r="V133" s="257"/>
      <c r="W133" s="257"/>
      <c r="X133" s="257"/>
      <c r="Y133" s="257"/>
      <c r="Z133" s="257"/>
    </row>
    <row r="134" spans="1:26" ht="15.75" customHeight="1">
      <c r="A134" s="257"/>
      <c r="B134" s="257"/>
      <c r="C134" s="257"/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</row>
    <row r="135" spans="1:26" ht="15.75" customHeight="1">
      <c r="A135" s="257"/>
      <c r="B135" s="257"/>
      <c r="C135" s="257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</row>
    <row r="136" spans="1:26" ht="15.75" customHeight="1">
      <c r="A136" s="257"/>
      <c r="B136" s="257"/>
      <c r="C136" s="257"/>
      <c r="D136" s="257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257"/>
      <c r="P136" s="257"/>
      <c r="Q136" s="257"/>
      <c r="R136" s="257"/>
      <c r="S136" s="257"/>
      <c r="T136" s="257"/>
      <c r="U136" s="257"/>
      <c r="V136" s="257"/>
      <c r="W136" s="257"/>
      <c r="X136" s="257"/>
      <c r="Y136" s="257"/>
      <c r="Z136" s="257"/>
    </row>
    <row r="137" spans="1:26" ht="15.75" customHeight="1">
      <c r="A137" s="257"/>
      <c r="B137" s="257"/>
      <c r="C137" s="257"/>
      <c r="D137" s="257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257"/>
      <c r="P137" s="257"/>
      <c r="Q137" s="257"/>
      <c r="R137" s="257"/>
      <c r="S137" s="257"/>
      <c r="T137" s="257"/>
      <c r="U137" s="257"/>
      <c r="V137" s="257"/>
      <c r="W137" s="257"/>
      <c r="X137" s="257"/>
      <c r="Y137" s="257"/>
      <c r="Z137" s="257"/>
    </row>
    <row r="138" spans="1:26" ht="15.75" customHeight="1">
      <c r="A138" s="257"/>
      <c r="B138" s="257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257"/>
      <c r="Y138" s="257"/>
      <c r="Z138" s="257"/>
    </row>
    <row r="139" spans="1:26" ht="15.75" customHeight="1">
      <c r="A139" s="257"/>
      <c r="B139" s="257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257"/>
      <c r="Y139" s="257"/>
      <c r="Z139" s="257"/>
    </row>
    <row r="140" spans="1:26" ht="15.75" customHeight="1">
      <c r="A140" s="257"/>
      <c r="B140" s="257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257"/>
      <c r="Y140" s="257"/>
      <c r="Z140" s="257"/>
    </row>
    <row r="141" spans="1:26" ht="15.75" customHeight="1">
      <c r="A141" s="257"/>
      <c r="B141" s="257"/>
      <c r="C141" s="257"/>
      <c r="D141" s="257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257"/>
      <c r="P141" s="257"/>
      <c r="Q141" s="257"/>
      <c r="R141" s="257"/>
      <c r="S141" s="257"/>
      <c r="T141" s="257"/>
      <c r="U141" s="257"/>
      <c r="V141" s="257"/>
      <c r="W141" s="257"/>
      <c r="X141" s="257"/>
      <c r="Y141" s="257"/>
      <c r="Z141" s="257"/>
    </row>
    <row r="142" spans="1:26" ht="15.75" customHeight="1">
      <c r="A142" s="257"/>
      <c r="B142" s="257"/>
      <c r="C142" s="257"/>
      <c r="D142" s="257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257"/>
      <c r="P142" s="257"/>
      <c r="Q142" s="257"/>
      <c r="R142" s="257"/>
      <c r="S142" s="257"/>
      <c r="T142" s="257"/>
      <c r="U142" s="257"/>
      <c r="V142" s="257"/>
      <c r="W142" s="257"/>
      <c r="X142" s="257"/>
      <c r="Y142" s="257"/>
      <c r="Z142" s="257"/>
    </row>
    <row r="143" spans="1:26" ht="15.75" customHeight="1">
      <c r="A143" s="257"/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</row>
    <row r="144" spans="1:26" ht="15.75" customHeight="1">
      <c r="A144" s="257"/>
      <c r="B144" s="257"/>
      <c r="C144" s="257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</row>
    <row r="145" spans="1:26" ht="15.75" customHeight="1">
      <c r="A145" s="257"/>
      <c r="B145" s="257"/>
      <c r="C145" s="257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</row>
    <row r="146" spans="1:26" ht="15.75" customHeight="1">
      <c r="A146" s="257"/>
      <c r="B146" s="257"/>
      <c r="C146" s="257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</row>
    <row r="147" spans="1:26" ht="15.75" customHeight="1">
      <c r="A147" s="257"/>
      <c r="B147" s="257"/>
      <c r="C147" s="257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</row>
    <row r="148" spans="1:26" ht="15.75" customHeight="1">
      <c r="A148" s="257"/>
      <c r="B148" s="257"/>
      <c r="C148" s="257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</row>
    <row r="149" spans="1:26" ht="15.75" customHeight="1">
      <c r="A149" s="257"/>
      <c r="B149" s="257"/>
      <c r="C149" s="257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</row>
    <row r="150" spans="1:26" ht="15.75" customHeight="1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</row>
    <row r="151" spans="1:26" ht="15.75" customHeight="1">
      <c r="A151" s="257"/>
      <c r="B151" s="257"/>
      <c r="C151" s="257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</row>
    <row r="152" spans="1:26" ht="15.75" customHeight="1">
      <c r="A152" s="257"/>
      <c r="B152" s="257"/>
      <c r="C152" s="257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</row>
    <row r="153" spans="1:26" ht="15.75" customHeight="1">
      <c r="A153" s="257"/>
      <c r="B153" s="257"/>
      <c r="C153" s="257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</row>
    <row r="154" spans="1:26" ht="15.75" customHeight="1">
      <c r="A154" s="257"/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</row>
    <row r="155" spans="1:26" ht="15.75" customHeight="1">
      <c r="A155" s="257"/>
      <c r="B155" s="257"/>
      <c r="C155" s="257"/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</row>
    <row r="156" spans="1:26" ht="15.75" customHeight="1">
      <c r="A156" s="257"/>
      <c r="B156" s="257"/>
      <c r="C156" s="257"/>
      <c r="D156" s="257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</row>
    <row r="157" spans="1:26" ht="15.75" customHeight="1">
      <c r="A157" s="257"/>
      <c r="B157" s="257"/>
      <c r="C157" s="257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</row>
    <row r="158" spans="1:26" ht="15.75" customHeight="1">
      <c r="A158" s="257"/>
      <c r="B158" s="257"/>
      <c r="C158" s="257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</row>
    <row r="159" spans="1:26" ht="15.75" customHeight="1">
      <c r="A159" s="257"/>
      <c r="B159" s="257"/>
      <c r="C159" s="257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</row>
    <row r="160" spans="1:26" ht="15.75" customHeight="1">
      <c r="A160" s="257"/>
      <c r="B160" s="257"/>
      <c r="C160" s="257"/>
      <c r="D160" s="257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</row>
    <row r="161" spans="1:26" ht="15.75" customHeight="1">
      <c r="A161" s="257"/>
      <c r="B161" s="257"/>
      <c r="C161" s="257"/>
      <c r="D161" s="257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</row>
    <row r="162" spans="1:26" ht="15.75" customHeight="1">
      <c r="A162" s="257"/>
      <c r="B162" s="257"/>
      <c r="C162" s="257"/>
      <c r="D162" s="257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</row>
    <row r="163" spans="1:26" ht="15.75" customHeight="1">
      <c r="A163" s="257"/>
      <c r="B163" s="257"/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</row>
    <row r="164" spans="1:26" ht="15.75" customHeight="1">
      <c r="A164" s="257"/>
      <c r="B164" s="257"/>
      <c r="C164" s="257"/>
      <c r="D164" s="257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</row>
    <row r="165" spans="1:26" ht="15.75" customHeight="1">
      <c r="A165" s="257"/>
      <c r="B165" s="257"/>
      <c r="C165" s="257"/>
      <c r="D165" s="257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</row>
    <row r="166" spans="1:26" ht="15.75" customHeight="1">
      <c r="A166" s="257"/>
      <c r="B166" s="257"/>
      <c r="C166" s="257"/>
      <c r="D166" s="257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</row>
    <row r="167" spans="1:26" ht="15.75" customHeight="1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</row>
    <row r="168" spans="1:26" ht="15.75" customHeight="1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</row>
    <row r="169" spans="1:26" ht="15.75" customHeight="1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</row>
    <row r="170" spans="1:26" ht="15.75" customHeight="1">
      <c r="A170" s="257"/>
      <c r="B170" s="257"/>
      <c r="C170" s="257"/>
      <c r="D170" s="257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</row>
    <row r="171" spans="1:26" ht="15.75" customHeight="1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</row>
    <row r="172" spans="1:26" ht="15.75" customHeight="1">
      <c r="A172" s="257"/>
      <c r="B172" s="257"/>
      <c r="C172" s="257"/>
      <c r="D172" s="257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</row>
    <row r="173" spans="1:26" ht="15.75" customHeight="1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</row>
    <row r="174" spans="1:26" ht="15.75" customHeight="1">
      <c r="A174" s="257"/>
      <c r="B174" s="257"/>
      <c r="C174" s="257"/>
      <c r="D174" s="257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</row>
    <row r="175" spans="1:26" ht="15.75" customHeight="1">
      <c r="A175" s="257"/>
      <c r="B175" s="257"/>
      <c r="C175" s="257"/>
      <c r="D175" s="257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257"/>
      <c r="P175" s="257"/>
      <c r="Q175" s="257"/>
      <c r="R175" s="257"/>
      <c r="S175" s="257"/>
      <c r="T175" s="257"/>
      <c r="U175" s="257"/>
      <c r="V175" s="257"/>
      <c r="W175" s="257"/>
      <c r="X175" s="257"/>
      <c r="Y175" s="257"/>
      <c r="Z175" s="257"/>
    </row>
    <row r="176" spans="1:26" ht="15.75" customHeight="1">
      <c r="A176" s="257"/>
      <c r="B176" s="257"/>
      <c r="C176" s="257"/>
      <c r="D176" s="257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257"/>
      <c r="P176" s="257"/>
      <c r="Q176" s="257"/>
      <c r="R176" s="257"/>
      <c r="S176" s="257"/>
      <c r="T176" s="257"/>
      <c r="U176" s="257"/>
      <c r="V176" s="257"/>
      <c r="W176" s="257"/>
      <c r="X176" s="257"/>
      <c r="Y176" s="257"/>
      <c r="Z176" s="257"/>
    </row>
    <row r="177" spans="1:26" ht="15.75" customHeight="1">
      <c r="A177" s="257"/>
      <c r="B177" s="257"/>
      <c r="C177" s="257"/>
      <c r="D177" s="257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257"/>
      <c r="P177" s="257"/>
      <c r="Q177" s="257"/>
      <c r="R177" s="257"/>
      <c r="S177" s="257"/>
      <c r="T177" s="257"/>
      <c r="U177" s="257"/>
      <c r="V177" s="257"/>
      <c r="W177" s="257"/>
      <c r="X177" s="257"/>
      <c r="Y177" s="257"/>
      <c r="Z177" s="257"/>
    </row>
    <row r="178" spans="1:26" ht="15.75" customHeight="1">
      <c r="A178" s="257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257"/>
      <c r="P178" s="257"/>
      <c r="Q178" s="257"/>
      <c r="R178" s="257"/>
      <c r="S178" s="257"/>
      <c r="T178" s="257"/>
      <c r="U178" s="257"/>
      <c r="V178" s="257"/>
      <c r="W178" s="257"/>
      <c r="X178" s="257"/>
      <c r="Y178" s="257"/>
      <c r="Z178" s="257"/>
    </row>
    <row r="179" spans="1:26" ht="15.75" customHeight="1">
      <c r="A179" s="257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257"/>
      <c r="P179" s="257"/>
      <c r="Q179" s="257"/>
      <c r="R179" s="257"/>
      <c r="S179" s="257"/>
      <c r="T179" s="257"/>
      <c r="U179" s="257"/>
      <c r="V179" s="257"/>
      <c r="W179" s="257"/>
      <c r="X179" s="257"/>
      <c r="Y179" s="257"/>
      <c r="Z179" s="257"/>
    </row>
    <row r="180" spans="1:26" ht="15.75" customHeight="1">
      <c r="A180" s="257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7"/>
      <c r="S180" s="257"/>
      <c r="T180" s="257"/>
      <c r="U180" s="257"/>
      <c r="V180" s="257"/>
      <c r="W180" s="257"/>
      <c r="X180" s="257"/>
      <c r="Y180" s="257"/>
      <c r="Z180" s="257"/>
    </row>
    <row r="181" spans="1:26" ht="15.75" customHeight="1">
      <c r="A181" s="257"/>
      <c r="B181" s="257"/>
      <c r="C181" s="257"/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57"/>
      <c r="V181" s="257"/>
      <c r="W181" s="257"/>
      <c r="X181" s="257"/>
      <c r="Y181" s="257"/>
      <c r="Z181" s="257"/>
    </row>
    <row r="182" spans="1:26" ht="15.75" customHeight="1">
      <c r="A182" s="257"/>
      <c r="B182" s="257"/>
      <c r="C182" s="257"/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257"/>
      <c r="P182" s="257"/>
      <c r="Q182" s="257"/>
      <c r="R182" s="257"/>
      <c r="S182" s="257"/>
      <c r="T182" s="257"/>
      <c r="U182" s="257"/>
      <c r="V182" s="257"/>
      <c r="W182" s="257"/>
      <c r="X182" s="257"/>
      <c r="Y182" s="257"/>
      <c r="Z182" s="257"/>
    </row>
    <row r="183" spans="1:26" ht="15.75" customHeight="1">
      <c r="A183" s="257"/>
      <c r="B183" s="257"/>
      <c r="C183" s="257"/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</row>
    <row r="184" spans="1:26" ht="15.75" customHeight="1">
      <c r="A184" s="257"/>
      <c r="B184" s="257"/>
      <c r="C184" s="257"/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257"/>
      <c r="P184" s="257"/>
      <c r="Q184" s="257"/>
      <c r="R184" s="257"/>
      <c r="S184" s="257"/>
      <c r="T184" s="257"/>
      <c r="U184" s="257"/>
      <c r="V184" s="257"/>
      <c r="W184" s="257"/>
      <c r="X184" s="257"/>
      <c r="Y184" s="257"/>
      <c r="Z184" s="257"/>
    </row>
    <row r="185" spans="1:26" ht="15.75" customHeight="1">
      <c r="A185" s="257"/>
      <c r="B185" s="257"/>
      <c r="C185" s="257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</row>
    <row r="186" spans="1:26" ht="15.75" customHeight="1">
      <c r="A186" s="257"/>
      <c r="B186" s="257"/>
      <c r="C186" s="257"/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7"/>
      <c r="V186" s="257"/>
      <c r="W186" s="257"/>
      <c r="X186" s="257"/>
      <c r="Y186" s="257"/>
      <c r="Z186" s="257"/>
    </row>
    <row r="187" spans="1:26" ht="15.75" customHeight="1">
      <c r="A187" s="257"/>
      <c r="B187" s="257"/>
      <c r="C187" s="257"/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257"/>
      <c r="P187" s="257"/>
      <c r="Q187" s="257"/>
      <c r="R187" s="257"/>
      <c r="S187" s="257"/>
      <c r="T187" s="257"/>
      <c r="U187" s="257"/>
      <c r="V187" s="257"/>
      <c r="W187" s="257"/>
      <c r="X187" s="257"/>
      <c r="Y187" s="257"/>
      <c r="Z187" s="257"/>
    </row>
    <row r="188" spans="1:26" ht="15.75" customHeight="1">
      <c r="A188" s="257"/>
      <c r="B188" s="257"/>
      <c r="C188" s="257"/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</row>
    <row r="189" spans="1:26" ht="15.75" customHeight="1">
      <c r="A189" s="257"/>
      <c r="B189" s="257"/>
      <c r="C189" s="257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</row>
    <row r="190" spans="1:26" ht="15.75" customHeight="1">
      <c r="A190" s="257"/>
      <c r="B190" s="257"/>
      <c r="C190" s="257"/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  <c r="P190" s="257"/>
      <c r="Q190" s="257"/>
      <c r="R190" s="257"/>
      <c r="S190" s="257"/>
      <c r="T190" s="257"/>
      <c r="U190" s="257"/>
      <c r="V190" s="257"/>
      <c r="W190" s="257"/>
      <c r="X190" s="257"/>
      <c r="Y190" s="257"/>
      <c r="Z190" s="257"/>
    </row>
    <row r="191" spans="1:26" ht="15.75" customHeight="1">
      <c r="A191" s="257"/>
      <c r="B191" s="257"/>
      <c r="C191" s="257"/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  <c r="P191" s="257"/>
      <c r="Q191" s="257"/>
      <c r="R191" s="257"/>
      <c r="S191" s="257"/>
      <c r="T191" s="257"/>
      <c r="U191" s="257"/>
      <c r="V191" s="257"/>
      <c r="W191" s="257"/>
      <c r="X191" s="257"/>
      <c r="Y191" s="257"/>
      <c r="Z191" s="257"/>
    </row>
    <row r="192" spans="1:26" ht="15.75" customHeight="1">
      <c r="A192" s="257"/>
      <c r="B192" s="257"/>
      <c r="C192" s="257"/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/>
      <c r="V192" s="257"/>
      <c r="W192" s="257"/>
      <c r="X192" s="257"/>
      <c r="Y192" s="257"/>
      <c r="Z192" s="257"/>
    </row>
    <row r="193" spans="1:26" ht="15.75" customHeight="1">
      <c r="A193" s="257"/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</row>
    <row r="194" spans="1:26" ht="15.75" customHeight="1">
      <c r="A194" s="257"/>
      <c r="B194" s="257"/>
      <c r="C194" s="257"/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  <c r="P194" s="257"/>
      <c r="Q194" s="257"/>
      <c r="R194" s="257"/>
      <c r="S194" s="257"/>
      <c r="T194" s="257"/>
      <c r="U194" s="257"/>
      <c r="V194" s="257"/>
      <c r="W194" s="257"/>
      <c r="X194" s="257"/>
      <c r="Y194" s="257"/>
      <c r="Z194" s="257"/>
    </row>
    <row r="195" spans="1:26" ht="15.75" customHeight="1">
      <c r="A195" s="257"/>
      <c r="B195" s="257"/>
      <c r="C195" s="257"/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  <c r="P195" s="257"/>
      <c r="Q195" s="257"/>
      <c r="R195" s="257"/>
      <c r="S195" s="257"/>
      <c r="T195" s="257"/>
      <c r="U195" s="257"/>
      <c r="V195" s="257"/>
      <c r="W195" s="257"/>
      <c r="X195" s="257"/>
      <c r="Y195" s="257"/>
      <c r="Z195" s="257"/>
    </row>
    <row r="196" spans="1:26" ht="15.75" customHeight="1">
      <c r="A196" s="257"/>
      <c r="B196" s="257"/>
      <c r="C196" s="257"/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  <c r="P196" s="257"/>
      <c r="Q196" s="257"/>
      <c r="R196" s="257"/>
      <c r="S196" s="257"/>
      <c r="T196" s="257"/>
      <c r="U196" s="257"/>
      <c r="V196" s="257"/>
      <c r="W196" s="257"/>
      <c r="X196" s="257"/>
      <c r="Y196" s="257"/>
      <c r="Z196" s="257"/>
    </row>
    <row r="197" spans="1:26" ht="15.75" customHeight="1">
      <c r="A197" s="257"/>
      <c r="B197" s="257"/>
      <c r="C197" s="257"/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  <c r="P197" s="257"/>
      <c r="Q197" s="257"/>
      <c r="R197" s="257"/>
      <c r="S197" s="257"/>
      <c r="T197" s="257"/>
      <c r="U197" s="257"/>
      <c r="V197" s="257"/>
      <c r="W197" s="257"/>
      <c r="X197" s="257"/>
      <c r="Y197" s="257"/>
      <c r="Z197" s="257"/>
    </row>
    <row r="198" spans="1:26" ht="15.75" customHeight="1">
      <c r="A198" s="257"/>
      <c r="B198" s="257"/>
      <c r="C198" s="257"/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  <c r="P198" s="257"/>
      <c r="Q198" s="257"/>
      <c r="R198" s="257"/>
      <c r="S198" s="257"/>
      <c r="T198" s="257"/>
      <c r="U198" s="257"/>
      <c r="V198" s="257"/>
      <c r="W198" s="257"/>
      <c r="X198" s="257"/>
      <c r="Y198" s="257"/>
      <c r="Z198" s="257"/>
    </row>
    <row r="199" spans="1:26" ht="15.75" customHeight="1">
      <c r="A199" s="257"/>
      <c r="B199" s="257"/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</row>
    <row r="200" spans="1:26" ht="15.75" customHeight="1">
      <c r="A200" s="257"/>
      <c r="B200" s="257"/>
      <c r="C200" s="257"/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  <c r="P200" s="257"/>
      <c r="Q200" s="257"/>
      <c r="R200" s="257"/>
      <c r="S200" s="257"/>
      <c r="T200" s="257"/>
      <c r="U200" s="257"/>
      <c r="V200" s="257"/>
      <c r="W200" s="257"/>
      <c r="X200" s="257"/>
      <c r="Y200" s="257"/>
      <c r="Z200" s="257"/>
    </row>
    <row r="201" spans="1:26" ht="15.75" customHeight="1">
      <c r="A201" s="257"/>
      <c r="B201" s="257"/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</row>
    <row r="202" spans="1:26" ht="15.75" customHeight="1">
      <c r="A202" s="257"/>
      <c r="B202" s="257"/>
      <c r="C202" s="257"/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  <c r="P202" s="257"/>
      <c r="Q202" s="257"/>
      <c r="R202" s="257"/>
      <c r="S202" s="257"/>
      <c r="T202" s="257"/>
      <c r="U202" s="257"/>
      <c r="V202" s="257"/>
      <c r="W202" s="257"/>
      <c r="X202" s="257"/>
      <c r="Y202" s="257"/>
      <c r="Z202" s="257"/>
    </row>
    <row r="203" spans="1:26" ht="15.75" customHeight="1">
      <c r="A203" s="257"/>
      <c r="B203" s="257"/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</row>
    <row r="204" spans="1:26" ht="15.75" customHeight="1">
      <c r="A204" s="257"/>
      <c r="B204" s="257"/>
      <c r="C204" s="257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  <c r="P204" s="257"/>
      <c r="Q204" s="257"/>
      <c r="R204" s="257"/>
      <c r="S204" s="257"/>
      <c r="T204" s="257"/>
      <c r="U204" s="257"/>
      <c r="V204" s="257"/>
      <c r="W204" s="257"/>
      <c r="X204" s="257"/>
      <c r="Y204" s="257"/>
      <c r="Z204" s="257"/>
    </row>
    <row r="205" spans="1:26" ht="15.75" customHeight="1">
      <c r="A205" s="257"/>
      <c r="B205" s="257"/>
      <c r="C205" s="257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  <c r="P205" s="257"/>
      <c r="Q205" s="257"/>
      <c r="R205" s="257"/>
      <c r="S205" s="257"/>
      <c r="T205" s="257"/>
      <c r="U205" s="257"/>
      <c r="V205" s="257"/>
      <c r="W205" s="257"/>
      <c r="X205" s="257"/>
      <c r="Y205" s="257"/>
      <c r="Z205" s="257"/>
    </row>
    <row r="206" spans="1:26" ht="15.75" customHeight="1">
      <c r="A206" s="257"/>
      <c r="B206" s="257"/>
      <c r="C206" s="257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7"/>
      <c r="W206" s="257"/>
      <c r="X206" s="257"/>
      <c r="Y206" s="257"/>
      <c r="Z206" s="257"/>
    </row>
    <row r="207" spans="1:26" ht="15.75" customHeight="1">
      <c r="A207" s="257"/>
      <c r="B207" s="257"/>
      <c r="C207" s="257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7"/>
      <c r="W207" s="257"/>
      <c r="X207" s="257"/>
      <c r="Y207" s="257"/>
      <c r="Z207" s="257"/>
    </row>
    <row r="208" spans="1:26" ht="15.75" customHeight="1">
      <c r="A208" s="257"/>
      <c r="B208" s="257"/>
      <c r="C208" s="257"/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  <c r="P208" s="257"/>
      <c r="Q208" s="257"/>
      <c r="R208" s="257"/>
      <c r="S208" s="257"/>
      <c r="T208" s="257"/>
      <c r="U208" s="257"/>
      <c r="V208" s="257"/>
      <c r="W208" s="257"/>
      <c r="X208" s="257"/>
      <c r="Y208" s="257"/>
      <c r="Z208" s="257"/>
    </row>
    <row r="209" spans="1:26" ht="15.75" customHeight="1">
      <c r="A209" s="257"/>
      <c r="B209" s="257"/>
      <c r="C209" s="257"/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  <c r="P209" s="257"/>
      <c r="Q209" s="257"/>
      <c r="R209" s="257"/>
      <c r="S209" s="257"/>
      <c r="T209" s="257"/>
      <c r="U209" s="257"/>
      <c r="V209" s="257"/>
      <c r="W209" s="257"/>
      <c r="X209" s="257"/>
      <c r="Y209" s="257"/>
      <c r="Z209" s="257"/>
    </row>
    <row r="210" spans="1:26" ht="15.75" customHeight="1">
      <c r="A210" s="257"/>
      <c r="B210" s="257"/>
      <c r="C210" s="257"/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57"/>
    </row>
    <row r="211" spans="1:26" ht="15.75" customHeight="1">
      <c r="A211" s="257"/>
      <c r="B211" s="257"/>
      <c r="C211" s="257"/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  <c r="P211" s="257"/>
      <c r="Q211" s="257"/>
      <c r="R211" s="257"/>
      <c r="S211" s="257"/>
      <c r="T211" s="257"/>
      <c r="U211" s="257"/>
      <c r="V211" s="257"/>
      <c r="W211" s="257"/>
      <c r="X211" s="257"/>
      <c r="Y211" s="257"/>
      <c r="Z211" s="257"/>
    </row>
    <row r="212" spans="1:26" ht="15.75" customHeight="1">
      <c r="A212" s="257"/>
      <c r="B212" s="257"/>
      <c r="C212" s="257"/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57"/>
    </row>
    <row r="213" spans="1:26" ht="15.75" customHeight="1">
      <c r="A213" s="257"/>
      <c r="B213" s="257"/>
      <c r="C213" s="257"/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  <c r="P213" s="257"/>
      <c r="Q213" s="257"/>
      <c r="R213" s="257"/>
      <c r="S213" s="257"/>
      <c r="T213" s="257"/>
      <c r="U213" s="257"/>
      <c r="V213" s="257"/>
      <c r="W213" s="257"/>
      <c r="X213" s="257"/>
      <c r="Y213" s="257"/>
      <c r="Z213" s="257"/>
    </row>
    <row r="214" spans="1:26" ht="15.75" customHeight="1">
      <c r="A214" s="257"/>
      <c r="B214" s="257"/>
      <c r="C214" s="257"/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57"/>
    </row>
    <row r="215" spans="1:26" ht="15.75" customHeight="1">
      <c r="A215" s="257"/>
      <c r="B215" s="257"/>
      <c r="C215" s="257"/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7"/>
      <c r="S215" s="257"/>
      <c r="T215" s="257"/>
      <c r="U215" s="257"/>
      <c r="V215" s="257"/>
      <c r="W215" s="257"/>
      <c r="X215" s="257"/>
      <c r="Y215" s="257"/>
      <c r="Z215" s="257"/>
    </row>
    <row r="216" spans="1:26" ht="15.75" customHeight="1">
      <c r="A216" s="257"/>
      <c r="B216" s="257"/>
      <c r="C216" s="257"/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  <c r="P216" s="257"/>
      <c r="Q216" s="257"/>
      <c r="R216" s="257"/>
      <c r="S216" s="257"/>
      <c r="T216" s="257"/>
      <c r="U216" s="257"/>
      <c r="V216" s="257"/>
      <c r="W216" s="257"/>
      <c r="X216" s="257"/>
      <c r="Y216" s="257"/>
      <c r="Z216" s="257"/>
    </row>
    <row r="217" spans="1:26" ht="15.75" customHeight="1">
      <c r="A217" s="257"/>
      <c r="B217" s="257"/>
      <c r="C217" s="257"/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  <c r="P217" s="257"/>
      <c r="Q217" s="257"/>
      <c r="R217" s="257"/>
      <c r="S217" s="257"/>
      <c r="T217" s="257"/>
      <c r="U217" s="257"/>
      <c r="V217" s="257"/>
      <c r="W217" s="257"/>
      <c r="X217" s="257"/>
      <c r="Y217" s="257"/>
      <c r="Z217" s="257"/>
    </row>
    <row r="218" spans="1:26" ht="15.75" customHeight="1">
      <c r="A218" s="257"/>
      <c r="B218" s="257"/>
      <c r="C218" s="257"/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  <c r="P218" s="257"/>
      <c r="Q218" s="257"/>
      <c r="R218" s="257"/>
      <c r="S218" s="257"/>
      <c r="T218" s="257"/>
      <c r="U218" s="257"/>
      <c r="V218" s="257"/>
      <c r="W218" s="257"/>
      <c r="X218" s="257"/>
      <c r="Y218" s="257"/>
      <c r="Z218" s="257"/>
    </row>
    <row r="219" spans="1:26" ht="15.75" customHeight="1">
      <c r="A219" s="257"/>
      <c r="B219" s="257"/>
      <c r="C219" s="257"/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  <c r="P219" s="257"/>
      <c r="Q219" s="257"/>
      <c r="R219" s="257"/>
      <c r="S219" s="257"/>
      <c r="T219" s="257"/>
      <c r="U219" s="257"/>
      <c r="V219" s="257"/>
      <c r="W219" s="257"/>
      <c r="X219" s="257"/>
      <c r="Y219" s="257"/>
      <c r="Z219" s="257"/>
    </row>
    <row r="220" spans="1:26" ht="15.75" customHeight="1">
      <c r="A220" s="257"/>
      <c r="B220" s="257"/>
      <c r="C220" s="257"/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  <c r="P220" s="257"/>
      <c r="Q220" s="257"/>
      <c r="R220" s="257"/>
      <c r="S220" s="257"/>
      <c r="T220" s="257"/>
      <c r="U220" s="257"/>
      <c r="V220" s="257"/>
      <c r="W220" s="257"/>
      <c r="X220" s="257"/>
      <c r="Y220" s="257"/>
      <c r="Z220" s="257"/>
    </row>
    <row r="221" spans="1:26" ht="15.7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</row>
    <row r="222" spans="1:26" ht="15.7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</row>
    <row r="223" spans="1:26" ht="15.7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</row>
    <row r="224" spans="1:26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</row>
    <row r="225" spans="1:26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</row>
    <row r="226" spans="1: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</row>
    <row r="227" spans="1:26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</row>
    <row r="228" spans="1:26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</row>
    <row r="229" spans="1:26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</row>
    <row r="230" spans="1:26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</row>
    <row r="231" spans="1:26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</row>
    <row r="232" spans="1:26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</row>
    <row r="233" spans="1:26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</row>
    <row r="234" spans="1:26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</row>
    <row r="235" spans="1:26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</row>
    <row r="236" spans="1:2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</row>
    <row r="237" spans="1:26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</row>
    <row r="238" spans="1:26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</row>
    <row r="239" spans="1:26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</row>
    <row r="240" spans="1:26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</row>
    <row r="241" spans="1:26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</row>
    <row r="242" spans="1:26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</row>
    <row r="243" spans="1:26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</row>
    <row r="244" spans="1:26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</row>
    <row r="245" spans="1:26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</row>
    <row r="246" spans="1:2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</row>
    <row r="247" spans="1:26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</row>
    <row r="248" spans="1:26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</row>
    <row r="249" spans="1:26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</row>
    <row r="250" spans="1:26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</row>
    <row r="251" spans="1:26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</row>
    <row r="252" spans="1:26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</row>
    <row r="253" spans="1:26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</row>
    <row r="254" spans="1:26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</row>
    <row r="255" spans="1:26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</row>
    <row r="256" spans="1:2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</row>
    <row r="257" spans="1:26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</row>
    <row r="258" spans="1:26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</row>
    <row r="259" spans="1:26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</row>
    <row r="260" spans="1:26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</row>
    <row r="261" spans="1:26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</row>
    <row r="262" spans="1:26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</row>
    <row r="263" spans="1:26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</row>
    <row r="264" spans="1:26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</row>
    <row r="265" spans="1:26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</row>
    <row r="266" spans="1:2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</row>
    <row r="267" spans="1:26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</row>
    <row r="268" spans="1:26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</row>
    <row r="269" spans="1:26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</row>
    <row r="270" spans="1:26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</row>
    <row r="271" spans="1:26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</row>
    <row r="272" spans="1:26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</row>
    <row r="273" spans="1:26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</row>
    <row r="274" spans="1:26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</row>
    <row r="275" spans="1:26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</row>
    <row r="276" spans="1:2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</row>
    <row r="277" spans="1:26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</row>
    <row r="278" spans="1:26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</row>
    <row r="279" spans="1:26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</row>
    <row r="280" spans="1:26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</row>
    <row r="281" spans="1:26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</row>
    <row r="282" spans="1:26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</row>
    <row r="283" spans="1:26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</row>
    <row r="284" spans="1:26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</row>
    <row r="285" spans="1:26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</row>
    <row r="286" spans="1:2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</row>
    <row r="287" spans="1:26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</row>
    <row r="288" spans="1:26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</row>
    <row r="289" spans="1:26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</row>
    <row r="290" spans="1:26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</row>
    <row r="291" spans="1:26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</row>
    <row r="292" spans="1:26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</row>
    <row r="293" spans="1:26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</row>
    <row r="294" spans="1:26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</row>
    <row r="295" spans="1:26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</row>
    <row r="296" spans="1:2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</row>
    <row r="297" spans="1:26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</row>
    <row r="298" spans="1:26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</row>
    <row r="299" spans="1:26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</row>
    <row r="300" spans="1:26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</row>
    <row r="301" spans="1:26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</row>
    <row r="302" spans="1:26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</row>
    <row r="303" spans="1:26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</row>
    <row r="304" spans="1:26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</row>
    <row r="305" spans="1:26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</row>
    <row r="306" spans="1:2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</row>
    <row r="307" spans="1:26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</row>
    <row r="308" spans="1:26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</row>
    <row r="309" spans="1:26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</row>
    <row r="310" spans="1:26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</row>
    <row r="311" spans="1:26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</row>
    <row r="312" spans="1:26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</row>
    <row r="313" spans="1:26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</row>
    <row r="314" spans="1:26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</row>
    <row r="315" spans="1:26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</row>
    <row r="316" spans="1:2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</row>
    <row r="317" spans="1:26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</row>
    <row r="318" spans="1:26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</row>
    <row r="319" spans="1:26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</row>
    <row r="320" spans="1:26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</row>
    <row r="321" spans="1:26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</row>
    <row r="322" spans="1:26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</row>
    <row r="323" spans="1:26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</row>
    <row r="324" spans="1:26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</row>
    <row r="325" spans="1:26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</row>
    <row r="326" spans="1: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</row>
    <row r="327" spans="1:26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</row>
    <row r="328" spans="1:26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</row>
    <row r="329" spans="1:26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</row>
    <row r="330" spans="1:26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</row>
    <row r="331" spans="1:26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</row>
    <row r="332" spans="1:26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</row>
    <row r="333" spans="1:26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</row>
    <row r="334" spans="1:26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</row>
    <row r="335" spans="1:26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</row>
    <row r="336" spans="1:2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</row>
    <row r="337" spans="1:26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</row>
    <row r="338" spans="1:26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</row>
    <row r="339" spans="1:26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</row>
    <row r="340" spans="1:26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</row>
    <row r="341" spans="1:26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</row>
    <row r="342" spans="1:26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</row>
    <row r="343" spans="1:26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</row>
    <row r="344" spans="1:26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</row>
    <row r="345" spans="1:26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</row>
    <row r="346" spans="1:2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</row>
    <row r="347" spans="1:26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</row>
    <row r="348" spans="1:26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</row>
    <row r="349" spans="1:26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</row>
    <row r="350" spans="1:26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</row>
    <row r="351" spans="1:26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</row>
    <row r="352" spans="1:26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</row>
    <row r="353" spans="1:26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</row>
    <row r="354" spans="1:26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</row>
    <row r="355" spans="1:26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</row>
    <row r="356" spans="1:2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</row>
    <row r="357" spans="1:26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</row>
    <row r="358" spans="1:26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</row>
    <row r="359" spans="1:26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</row>
    <row r="360" spans="1:26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</row>
    <row r="361" spans="1:26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</row>
    <row r="362" spans="1:26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</row>
    <row r="363" spans="1:26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</row>
    <row r="364" spans="1:26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</row>
    <row r="365" spans="1:26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</row>
    <row r="366" spans="1:2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</row>
    <row r="367" spans="1:26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</row>
    <row r="368" spans="1:26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</row>
    <row r="369" spans="1:26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</row>
    <row r="370" spans="1:26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</row>
    <row r="371" spans="1:26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</row>
    <row r="372" spans="1:26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</row>
    <row r="373" spans="1:26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</row>
    <row r="374" spans="1:26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</row>
    <row r="375" spans="1:26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</row>
    <row r="376" spans="1:2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</row>
    <row r="377" spans="1:26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</row>
    <row r="378" spans="1:26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</row>
    <row r="379" spans="1:26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</row>
    <row r="380" spans="1:26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</row>
    <row r="381" spans="1:26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</row>
    <row r="382" spans="1:26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</row>
    <row r="383" spans="1:26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</row>
    <row r="384" spans="1:26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</row>
    <row r="385" spans="1:26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</row>
    <row r="386" spans="1:2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</row>
    <row r="387" spans="1:26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</row>
    <row r="388" spans="1:26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</row>
    <row r="389" spans="1:26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</row>
    <row r="390" spans="1:26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</row>
    <row r="391" spans="1:26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</row>
    <row r="392" spans="1:26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</row>
    <row r="393" spans="1:26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</row>
    <row r="394" spans="1:26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</row>
    <row r="395" spans="1:26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</row>
    <row r="396" spans="1:2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</row>
    <row r="397" spans="1:26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</row>
    <row r="398" spans="1:26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</row>
    <row r="399" spans="1:26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</row>
    <row r="400" spans="1:26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</row>
    <row r="401" spans="1:26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</row>
    <row r="402" spans="1:26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</row>
    <row r="403" spans="1:26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</row>
    <row r="404" spans="1:26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</row>
    <row r="405" spans="1:26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</row>
    <row r="406" spans="1:2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</row>
    <row r="407" spans="1:26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</row>
    <row r="408" spans="1:26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</row>
    <row r="409" spans="1:26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</row>
    <row r="410" spans="1:26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</row>
    <row r="411" spans="1:26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</row>
    <row r="412" spans="1:26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</row>
    <row r="413" spans="1:26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</row>
    <row r="414" spans="1:26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</row>
    <row r="415" spans="1:26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</row>
    <row r="416" spans="1:2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</row>
    <row r="417" spans="1:26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</row>
    <row r="418" spans="1:26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</row>
    <row r="419" spans="1:26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</row>
    <row r="420" spans="1:26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</row>
    <row r="421" spans="1:26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</row>
    <row r="422" spans="1:26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</row>
    <row r="423" spans="1:26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</row>
    <row r="424" spans="1:26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</row>
    <row r="425" spans="1:26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</row>
    <row r="426" spans="1: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</row>
    <row r="427" spans="1:26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</row>
    <row r="428" spans="1:26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</row>
    <row r="429" spans="1:26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</row>
    <row r="430" spans="1:26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</row>
    <row r="431" spans="1:26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</row>
    <row r="432" spans="1:26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</row>
    <row r="433" spans="1:26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</row>
    <row r="434" spans="1:26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</row>
    <row r="435" spans="1:26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</row>
    <row r="436" spans="1:2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</row>
    <row r="437" spans="1:26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</row>
    <row r="438" spans="1:26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</row>
    <row r="439" spans="1:26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</row>
    <row r="440" spans="1:26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</row>
    <row r="441" spans="1:26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</row>
    <row r="442" spans="1:26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</row>
    <row r="443" spans="1:26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</row>
    <row r="444" spans="1:26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</row>
    <row r="445" spans="1:26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</row>
    <row r="446" spans="1:2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</row>
    <row r="447" spans="1:26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</row>
    <row r="448" spans="1:26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</row>
    <row r="449" spans="1:26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</row>
    <row r="450" spans="1:26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</row>
    <row r="451" spans="1:26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</row>
    <row r="452" spans="1:26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</row>
    <row r="453" spans="1:26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</row>
    <row r="454" spans="1:26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</row>
    <row r="455" spans="1:26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</row>
    <row r="456" spans="1:2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</row>
    <row r="457" spans="1:26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</row>
    <row r="458" spans="1:26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</row>
    <row r="459" spans="1:26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</row>
    <row r="460" spans="1:26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</row>
    <row r="461" spans="1:26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</row>
    <row r="462" spans="1:26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</row>
    <row r="463" spans="1:26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</row>
    <row r="464" spans="1:26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</row>
    <row r="465" spans="1:26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</row>
    <row r="466" spans="1:2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</row>
    <row r="467" spans="1:26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</row>
    <row r="468" spans="1:26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</row>
    <row r="469" spans="1:26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</row>
    <row r="470" spans="1:26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</row>
    <row r="471" spans="1:26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</row>
    <row r="472" spans="1:26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</row>
    <row r="473" spans="1:26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</row>
    <row r="474" spans="1:26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</row>
    <row r="475" spans="1:26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</row>
    <row r="476" spans="1:2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</row>
    <row r="477" spans="1:26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</row>
    <row r="478" spans="1:26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</row>
    <row r="479" spans="1:26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</row>
    <row r="480" spans="1:26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</row>
    <row r="481" spans="1:26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</row>
    <row r="482" spans="1:26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</row>
    <row r="483" spans="1:26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</row>
    <row r="484" spans="1:26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</row>
    <row r="485" spans="1:26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</row>
    <row r="486" spans="1:2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</row>
    <row r="487" spans="1:26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</row>
    <row r="488" spans="1:26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</row>
    <row r="489" spans="1:26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</row>
    <row r="490" spans="1:26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</row>
    <row r="491" spans="1:26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</row>
    <row r="492" spans="1:26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</row>
    <row r="493" spans="1:26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</row>
    <row r="494" spans="1:26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</row>
    <row r="495" spans="1:26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</row>
    <row r="496" spans="1:2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</row>
    <row r="497" spans="1:26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</row>
    <row r="498" spans="1:26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</row>
    <row r="499" spans="1:26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</row>
    <row r="500" spans="1:26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</row>
    <row r="501" spans="1:26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</row>
    <row r="502" spans="1:26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</row>
    <row r="503" spans="1:26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</row>
    <row r="504" spans="1:26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</row>
    <row r="505" spans="1:26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</row>
    <row r="506" spans="1:2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</row>
    <row r="507" spans="1:26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</row>
    <row r="508" spans="1:26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</row>
    <row r="509" spans="1:26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</row>
    <row r="510" spans="1:26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</row>
    <row r="511" spans="1:26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</row>
    <row r="512" spans="1:26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</row>
    <row r="513" spans="1:26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</row>
    <row r="514" spans="1:26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</row>
    <row r="515" spans="1:26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</row>
    <row r="516" spans="1:2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</row>
    <row r="517" spans="1:26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</row>
    <row r="518" spans="1:26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</row>
    <row r="519" spans="1:26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</row>
    <row r="520" spans="1:26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</row>
    <row r="521" spans="1:26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</row>
    <row r="522" spans="1:26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</row>
    <row r="523" spans="1:26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</row>
    <row r="524" spans="1:26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</row>
    <row r="525" spans="1:26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</row>
    <row r="526" spans="1: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</row>
    <row r="527" spans="1:26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</row>
    <row r="528" spans="1:26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</row>
    <row r="529" spans="1:26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</row>
    <row r="530" spans="1:26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</row>
    <row r="531" spans="1:26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</row>
    <row r="532" spans="1:26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</row>
    <row r="533" spans="1:26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</row>
    <row r="534" spans="1:26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</row>
    <row r="535" spans="1:26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</row>
    <row r="536" spans="1:2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</row>
    <row r="537" spans="1:26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</row>
    <row r="538" spans="1:26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</row>
    <row r="539" spans="1:26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</row>
    <row r="540" spans="1:26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</row>
    <row r="541" spans="1:26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</row>
    <row r="542" spans="1:26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</row>
    <row r="543" spans="1:26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</row>
    <row r="544" spans="1:26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</row>
    <row r="545" spans="1:26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</row>
    <row r="546" spans="1:2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</row>
    <row r="547" spans="1:26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</row>
    <row r="548" spans="1:26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</row>
    <row r="549" spans="1:26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</row>
    <row r="550" spans="1:26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</row>
    <row r="551" spans="1:26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</row>
    <row r="552" spans="1:26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</row>
    <row r="553" spans="1:26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</row>
    <row r="554" spans="1:26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</row>
    <row r="555" spans="1:26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</row>
    <row r="556" spans="1:2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</row>
    <row r="557" spans="1:26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</row>
    <row r="558" spans="1:26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</row>
    <row r="559" spans="1:26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</row>
    <row r="560" spans="1:26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</row>
    <row r="561" spans="1:26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</row>
    <row r="562" spans="1:26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</row>
    <row r="563" spans="1:26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</row>
    <row r="564" spans="1:26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</row>
    <row r="565" spans="1:26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</row>
    <row r="566" spans="1:2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</row>
    <row r="567" spans="1:26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</row>
    <row r="568" spans="1:26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</row>
    <row r="569" spans="1:26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</row>
    <row r="570" spans="1:26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</row>
    <row r="571" spans="1:26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</row>
    <row r="572" spans="1:26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</row>
    <row r="573" spans="1:26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</row>
    <row r="574" spans="1:26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</row>
    <row r="575" spans="1:26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</row>
    <row r="576" spans="1:2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</row>
    <row r="577" spans="1:26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</row>
    <row r="578" spans="1:26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</row>
    <row r="579" spans="1:26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</row>
    <row r="580" spans="1:26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</row>
    <row r="581" spans="1:26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</row>
    <row r="582" spans="1:26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</row>
    <row r="583" spans="1:26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</row>
    <row r="584" spans="1:26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</row>
    <row r="585" spans="1:26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</row>
    <row r="586" spans="1:2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</row>
    <row r="587" spans="1:26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</row>
    <row r="588" spans="1:26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</row>
    <row r="589" spans="1:26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</row>
    <row r="590" spans="1:26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</row>
    <row r="591" spans="1:26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</row>
    <row r="592" spans="1:26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</row>
    <row r="593" spans="1:26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</row>
    <row r="594" spans="1:26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</row>
    <row r="595" spans="1:26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</row>
    <row r="596" spans="1:2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</row>
    <row r="597" spans="1:26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</row>
    <row r="598" spans="1:26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</row>
    <row r="599" spans="1:26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</row>
    <row r="600" spans="1:26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</row>
    <row r="601" spans="1:26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</row>
    <row r="602" spans="1:26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</row>
    <row r="603" spans="1:26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</row>
    <row r="604" spans="1:26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</row>
    <row r="605" spans="1:26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</row>
    <row r="606" spans="1:2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</row>
    <row r="607" spans="1:26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</row>
    <row r="608" spans="1:26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</row>
    <row r="609" spans="1:26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</row>
    <row r="610" spans="1:26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</row>
    <row r="611" spans="1:26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</row>
    <row r="612" spans="1:26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</row>
    <row r="613" spans="1:26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</row>
    <row r="614" spans="1:26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</row>
    <row r="615" spans="1:26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</row>
    <row r="616" spans="1:2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</row>
    <row r="617" spans="1:26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</row>
    <row r="618" spans="1:26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</row>
    <row r="619" spans="1:26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</row>
    <row r="620" spans="1:26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</row>
    <row r="621" spans="1:26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</row>
    <row r="622" spans="1:26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</row>
    <row r="623" spans="1:26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</row>
    <row r="624" spans="1:26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</row>
    <row r="625" spans="1:26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</row>
    <row r="626" spans="1: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</row>
    <row r="627" spans="1:26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</row>
    <row r="628" spans="1:26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</row>
    <row r="629" spans="1:26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</row>
    <row r="630" spans="1:26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</row>
    <row r="631" spans="1:26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</row>
    <row r="632" spans="1:26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</row>
    <row r="633" spans="1:26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</row>
    <row r="634" spans="1:26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</row>
    <row r="635" spans="1:26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</row>
    <row r="636" spans="1:2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</row>
    <row r="637" spans="1:26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</row>
    <row r="638" spans="1:26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</row>
    <row r="639" spans="1:26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</row>
    <row r="640" spans="1:26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</row>
    <row r="641" spans="1:26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</row>
    <row r="642" spans="1:26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</row>
    <row r="643" spans="1:26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</row>
    <row r="644" spans="1:26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</row>
    <row r="645" spans="1:26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</row>
    <row r="646" spans="1:2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</row>
    <row r="647" spans="1:26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</row>
    <row r="648" spans="1:26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</row>
    <row r="649" spans="1:26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</row>
    <row r="650" spans="1:26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</row>
    <row r="651" spans="1:26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</row>
    <row r="652" spans="1:26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</row>
    <row r="653" spans="1:26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</row>
    <row r="654" spans="1:26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</row>
    <row r="655" spans="1:26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</row>
    <row r="656" spans="1:2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</row>
    <row r="657" spans="1:26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</row>
    <row r="658" spans="1:26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</row>
    <row r="659" spans="1:26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</row>
    <row r="660" spans="1:26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</row>
    <row r="661" spans="1:26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</row>
    <row r="662" spans="1:26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</row>
    <row r="663" spans="1:26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</row>
    <row r="664" spans="1:26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</row>
    <row r="665" spans="1:26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</row>
    <row r="666" spans="1:2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</row>
    <row r="667" spans="1:26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</row>
    <row r="668" spans="1:26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</row>
    <row r="669" spans="1:26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</row>
    <row r="670" spans="1:26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</row>
    <row r="671" spans="1:26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</row>
    <row r="672" spans="1:26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</row>
    <row r="673" spans="1:26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</row>
    <row r="674" spans="1:26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</row>
    <row r="675" spans="1:26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</row>
    <row r="676" spans="1:2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</row>
    <row r="677" spans="1:26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</row>
    <row r="678" spans="1:26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</row>
    <row r="679" spans="1:26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</row>
    <row r="680" spans="1:26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</row>
    <row r="681" spans="1:26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</row>
    <row r="682" spans="1:26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</row>
    <row r="683" spans="1:26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</row>
    <row r="684" spans="1:26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</row>
    <row r="685" spans="1:26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</row>
    <row r="686" spans="1:2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</row>
    <row r="687" spans="1:26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</row>
    <row r="688" spans="1:26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</row>
    <row r="689" spans="1:26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</row>
    <row r="690" spans="1:26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</row>
    <row r="691" spans="1:26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</row>
    <row r="692" spans="1:26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</row>
    <row r="693" spans="1:26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</row>
    <row r="694" spans="1:26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</row>
    <row r="695" spans="1:26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</row>
    <row r="696" spans="1:2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</row>
    <row r="697" spans="1:26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</row>
    <row r="698" spans="1:26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</row>
    <row r="699" spans="1:26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</row>
    <row r="700" spans="1:26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</row>
    <row r="701" spans="1:26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</row>
    <row r="702" spans="1:26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</row>
    <row r="703" spans="1:26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</row>
    <row r="704" spans="1:26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</row>
    <row r="705" spans="1:26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</row>
    <row r="706" spans="1:2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</row>
    <row r="707" spans="1:26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</row>
    <row r="708" spans="1:26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</row>
    <row r="709" spans="1:26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</row>
    <row r="710" spans="1:26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</row>
    <row r="711" spans="1:26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</row>
    <row r="712" spans="1:26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</row>
    <row r="713" spans="1:26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</row>
    <row r="714" spans="1:26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</row>
    <row r="715" spans="1:26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</row>
    <row r="716" spans="1:2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</row>
    <row r="717" spans="1:26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</row>
    <row r="718" spans="1:26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</row>
    <row r="719" spans="1:26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</row>
    <row r="720" spans="1:26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</row>
    <row r="721" spans="1:26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</row>
    <row r="722" spans="1:26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</row>
    <row r="723" spans="1:26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</row>
    <row r="724" spans="1:26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</row>
    <row r="725" spans="1:26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</row>
    <row r="726" spans="1: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</row>
    <row r="727" spans="1:26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</row>
    <row r="728" spans="1:26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</row>
    <row r="729" spans="1:26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</row>
    <row r="730" spans="1:26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</row>
    <row r="731" spans="1:26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</row>
    <row r="732" spans="1:26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</row>
    <row r="733" spans="1:26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</row>
    <row r="734" spans="1:26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</row>
    <row r="735" spans="1:26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</row>
    <row r="736" spans="1:2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</row>
    <row r="737" spans="1:26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</row>
    <row r="738" spans="1:26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</row>
    <row r="739" spans="1:26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</row>
    <row r="740" spans="1:26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</row>
    <row r="741" spans="1:26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</row>
    <row r="742" spans="1:26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</row>
    <row r="743" spans="1:26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</row>
    <row r="744" spans="1:26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</row>
    <row r="745" spans="1:26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</row>
    <row r="746" spans="1:2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</row>
    <row r="747" spans="1:26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</row>
    <row r="748" spans="1:26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</row>
    <row r="749" spans="1:26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</row>
    <row r="750" spans="1:26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</row>
    <row r="751" spans="1:26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</row>
    <row r="752" spans="1:26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</row>
    <row r="753" spans="1:26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</row>
    <row r="754" spans="1:26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</row>
    <row r="755" spans="1:26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</row>
    <row r="756" spans="1:2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</row>
    <row r="757" spans="1:26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</row>
    <row r="758" spans="1:26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</row>
    <row r="759" spans="1:26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</row>
    <row r="760" spans="1:26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</row>
    <row r="761" spans="1:26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</row>
    <row r="762" spans="1:26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</row>
    <row r="763" spans="1:26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</row>
    <row r="764" spans="1:26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</row>
    <row r="765" spans="1:26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</row>
    <row r="766" spans="1:2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</row>
    <row r="767" spans="1:26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</row>
    <row r="768" spans="1:26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</row>
    <row r="769" spans="1:26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</row>
    <row r="770" spans="1:26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</row>
    <row r="771" spans="1:26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</row>
    <row r="772" spans="1:26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</row>
    <row r="773" spans="1:26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</row>
    <row r="774" spans="1:26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</row>
    <row r="775" spans="1:26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</row>
    <row r="776" spans="1:2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</row>
    <row r="777" spans="1:26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</row>
    <row r="778" spans="1:26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</row>
    <row r="779" spans="1:26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</row>
    <row r="780" spans="1:26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</row>
    <row r="781" spans="1:26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</row>
    <row r="782" spans="1:26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</row>
    <row r="783" spans="1:26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</row>
    <row r="784" spans="1:26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</row>
    <row r="785" spans="1:26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</row>
    <row r="786" spans="1:2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</row>
    <row r="787" spans="1:26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</row>
    <row r="788" spans="1:26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</row>
    <row r="789" spans="1:26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</row>
    <row r="790" spans="1:26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</row>
    <row r="791" spans="1:26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</row>
    <row r="792" spans="1:26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</row>
    <row r="793" spans="1:26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</row>
    <row r="794" spans="1:26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</row>
    <row r="795" spans="1:26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</row>
    <row r="796" spans="1:2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</row>
    <row r="797" spans="1:26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</row>
    <row r="798" spans="1:26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</row>
    <row r="799" spans="1:26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</row>
    <row r="800" spans="1:26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</row>
    <row r="801" spans="1:26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</row>
    <row r="802" spans="1:26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</row>
    <row r="803" spans="1:26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</row>
    <row r="804" spans="1:26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</row>
    <row r="805" spans="1:26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</row>
    <row r="806" spans="1:2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</row>
    <row r="807" spans="1:26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</row>
    <row r="808" spans="1:26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</row>
    <row r="809" spans="1:26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</row>
    <row r="810" spans="1:26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</row>
    <row r="811" spans="1:26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</row>
    <row r="812" spans="1:26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</row>
    <row r="813" spans="1:26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</row>
    <row r="814" spans="1:26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</row>
    <row r="815" spans="1:26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</row>
    <row r="816" spans="1:2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</row>
    <row r="817" spans="1:26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</row>
    <row r="818" spans="1:26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</row>
    <row r="819" spans="1:26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</row>
    <row r="820" spans="1:26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</row>
    <row r="821" spans="1:26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</row>
    <row r="822" spans="1:26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</row>
    <row r="823" spans="1:26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</row>
    <row r="824" spans="1:26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</row>
    <row r="825" spans="1:26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</row>
    <row r="826" spans="1: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</row>
    <row r="827" spans="1:26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</row>
    <row r="828" spans="1:26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</row>
    <row r="829" spans="1:26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</row>
    <row r="830" spans="1:26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</row>
    <row r="831" spans="1:26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</row>
    <row r="832" spans="1:26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</row>
    <row r="833" spans="1:26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</row>
    <row r="834" spans="1:26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</row>
    <row r="835" spans="1:26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</row>
    <row r="836" spans="1:2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</row>
    <row r="837" spans="1:26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</row>
    <row r="838" spans="1:26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</row>
    <row r="839" spans="1:26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</row>
    <row r="840" spans="1:26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</row>
    <row r="841" spans="1:26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</row>
    <row r="842" spans="1:26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</row>
    <row r="843" spans="1:26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</row>
    <row r="844" spans="1:26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</row>
    <row r="845" spans="1:26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</row>
    <row r="846" spans="1:2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</row>
    <row r="847" spans="1:26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</row>
    <row r="848" spans="1:26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</row>
    <row r="849" spans="1:26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</row>
    <row r="850" spans="1:26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</row>
    <row r="851" spans="1:26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</row>
    <row r="852" spans="1:26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</row>
    <row r="853" spans="1:26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</row>
    <row r="854" spans="1:26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</row>
    <row r="855" spans="1:26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</row>
    <row r="856" spans="1:2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</row>
    <row r="857" spans="1:26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</row>
    <row r="858" spans="1:26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</row>
    <row r="859" spans="1:26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</row>
    <row r="860" spans="1:26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</row>
    <row r="861" spans="1:26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</row>
    <row r="862" spans="1:26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</row>
    <row r="863" spans="1:26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</row>
    <row r="864" spans="1:26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</row>
    <row r="865" spans="1:26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</row>
    <row r="866" spans="1:2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</row>
    <row r="867" spans="1:26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</row>
    <row r="868" spans="1:26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</row>
    <row r="869" spans="1:26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</row>
    <row r="870" spans="1:26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</row>
    <row r="871" spans="1:26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</row>
    <row r="872" spans="1:26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</row>
    <row r="873" spans="1:26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</row>
    <row r="874" spans="1:26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</row>
    <row r="875" spans="1:26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</row>
    <row r="876" spans="1:2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</row>
    <row r="877" spans="1:26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</row>
    <row r="878" spans="1:26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</row>
    <row r="879" spans="1:26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</row>
    <row r="880" spans="1:26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</row>
    <row r="881" spans="1:26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</row>
    <row r="882" spans="1:26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</row>
    <row r="883" spans="1:26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</row>
    <row r="884" spans="1:26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</row>
    <row r="885" spans="1:26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</row>
    <row r="886" spans="1:2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</row>
    <row r="887" spans="1:26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</row>
    <row r="888" spans="1:26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</row>
    <row r="889" spans="1:26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</row>
    <row r="890" spans="1:26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</row>
    <row r="891" spans="1:26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</row>
    <row r="892" spans="1:26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</row>
    <row r="893" spans="1:26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</row>
    <row r="894" spans="1:26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</row>
    <row r="895" spans="1:26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</row>
    <row r="896" spans="1:2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</row>
    <row r="897" spans="1:26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</row>
    <row r="898" spans="1:26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</row>
    <row r="899" spans="1:26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</row>
    <row r="900" spans="1:26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</row>
    <row r="901" spans="1:26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</row>
    <row r="902" spans="1:26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</row>
    <row r="903" spans="1:26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</row>
    <row r="904" spans="1:26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</row>
    <row r="905" spans="1:26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</row>
    <row r="906" spans="1:2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</row>
    <row r="907" spans="1:26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</row>
    <row r="908" spans="1:26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</row>
    <row r="909" spans="1:26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</row>
    <row r="910" spans="1:26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</row>
    <row r="911" spans="1:26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</row>
    <row r="912" spans="1:26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</row>
    <row r="913" spans="1:26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</row>
    <row r="914" spans="1:26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</row>
    <row r="915" spans="1:26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</row>
    <row r="916" spans="1:2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</row>
    <row r="917" spans="1:26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</row>
    <row r="918" spans="1:26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</row>
    <row r="919" spans="1:26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</row>
    <row r="920" spans="1:26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</row>
    <row r="921" spans="1:26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</row>
    <row r="922" spans="1:26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</row>
    <row r="923" spans="1:26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</row>
    <row r="924" spans="1:26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</row>
    <row r="925" spans="1:26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</row>
    <row r="926" spans="1: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</row>
    <row r="927" spans="1:26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</row>
    <row r="928" spans="1:26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</row>
    <row r="929" spans="1:26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</row>
    <row r="930" spans="1:26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</row>
    <row r="931" spans="1:26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</row>
    <row r="932" spans="1:26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</row>
    <row r="933" spans="1:26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</row>
    <row r="934" spans="1:26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</row>
    <row r="935" spans="1:26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</row>
    <row r="936" spans="1:2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</row>
    <row r="937" spans="1:26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</row>
    <row r="938" spans="1:26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</row>
    <row r="939" spans="1:26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</row>
    <row r="940" spans="1:26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</row>
    <row r="941" spans="1:26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</row>
    <row r="942" spans="1:26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</row>
    <row r="943" spans="1:26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</row>
    <row r="944" spans="1:26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</row>
    <row r="945" spans="1:26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</row>
    <row r="946" spans="1:2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</row>
    <row r="947" spans="1:26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</row>
    <row r="948" spans="1:26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</row>
    <row r="949" spans="1:26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</row>
    <row r="950" spans="1:26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</row>
    <row r="951" spans="1:26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</row>
    <row r="952" spans="1:26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</row>
    <row r="953" spans="1:26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</row>
    <row r="954" spans="1:26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</row>
    <row r="955" spans="1:26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</row>
    <row r="956" spans="1:2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</row>
    <row r="957" spans="1:26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</row>
    <row r="958" spans="1:26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</row>
    <row r="959" spans="1:26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</row>
    <row r="960" spans="1:26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</row>
    <row r="961" spans="1:26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</row>
    <row r="962" spans="1:26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</row>
    <row r="963" spans="1:26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</row>
    <row r="964" spans="1:26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</row>
    <row r="965" spans="1:26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</row>
    <row r="966" spans="1:2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</row>
    <row r="967" spans="1:26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</row>
    <row r="968" spans="1:26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</row>
    <row r="969" spans="1:26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</row>
    <row r="970" spans="1:26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</row>
    <row r="971" spans="1:26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</row>
    <row r="972" spans="1:26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</row>
    <row r="973" spans="1:26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</row>
    <row r="974" spans="1:26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</row>
    <row r="975" spans="1:26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</row>
    <row r="976" spans="1:2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</row>
    <row r="977" spans="1:26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</row>
    <row r="978" spans="1:26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</row>
    <row r="979" spans="1:26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</row>
    <row r="980" spans="1:26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</row>
    <row r="981" spans="1:26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</row>
    <row r="982" spans="1:26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</row>
    <row r="983" spans="1:26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</row>
    <row r="984" spans="1:26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</row>
    <row r="985" spans="1:26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</row>
    <row r="986" spans="1:2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</row>
    <row r="987" spans="1:26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</row>
    <row r="988" spans="1:26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</row>
    <row r="989" spans="1:26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</row>
    <row r="990" spans="1:26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</row>
    <row r="991" spans="1:26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</row>
    <row r="992" spans="1:26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</row>
    <row r="993" spans="1:26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</row>
    <row r="994" spans="1:26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</row>
    <row r="995" spans="1:26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</row>
    <row r="996" spans="1:2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</row>
    <row r="997" spans="1:26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</row>
    <row r="998" spans="1:26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</row>
    <row r="999" spans="1:26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</row>
    <row r="1000" spans="1:26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1C6294"/>
  </sheetPr>
  <dimension ref="A1:Z1000"/>
  <sheetViews>
    <sheetView showGridLines="0" workbookViewId="0"/>
  </sheetViews>
  <sheetFormatPr baseColWidth="10" defaultColWidth="12.625" defaultRowHeight="15" customHeight="1"/>
  <cols>
    <col min="1" max="1" width="3.125" customWidth="1"/>
    <col min="2" max="2" width="32" customWidth="1"/>
    <col min="3" max="5" width="15.5" customWidth="1"/>
    <col min="6" max="26" width="10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85" t="s">
        <v>1129</v>
      </c>
      <c r="C2" s="436"/>
      <c r="D2" s="436"/>
      <c r="E2" s="437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435" t="s">
        <v>1130</v>
      </c>
      <c r="C3" s="436"/>
      <c r="D3" s="436"/>
      <c r="E3" s="43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62"/>
      <c r="D4" s="62"/>
      <c r="E4" s="6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3" t="s">
        <v>133</v>
      </c>
      <c r="C5" s="40"/>
      <c r="D5" s="40"/>
      <c r="E5" s="40"/>
      <c r="F5" s="19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3" t="s">
        <v>1131</v>
      </c>
      <c r="C6" s="40"/>
      <c r="D6" s="40"/>
      <c r="E6" s="40"/>
      <c r="F6" s="1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 t="s">
        <v>118</v>
      </c>
      <c r="C7" s="40">
        <f>'Estudio ADEK'!C340</f>
        <v>11764.913333333332</v>
      </c>
      <c r="D7" s="40"/>
      <c r="E7" s="40"/>
      <c r="F7" s="1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 t="s">
        <v>1132</v>
      </c>
      <c r="C8" s="40">
        <v>0</v>
      </c>
      <c r="D8" s="40"/>
      <c r="E8" s="40"/>
      <c r="F8" s="1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 t="s">
        <v>1133</v>
      </c>
      <c r="C9" s="110">
        <v>0</v>
      </c>
      <c r="D9" s="40"/>
      <c r="E9" s="40"/>
      <c r="F9" s="1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3" t="s">
        <v>1134</v>
      </c>
      <c r="C10" s="40"/>
      <c r="D10" s="40">
        <f>SUM(C7:C8)</f>
        <v>11764.913333333332</v>
      </c>
      <c r="E10" s="40"/>
      <c r="F10" s="1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40"/>
      <c r="D11" s="40"/>
      <c r="E11" s="40"/>
      <c r="F11" s="1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40"/>
      <c r="D12" s="40"/>
      <c r="E12" s="40"/>
      <c r="F12" s="1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3" t="s">
        <v>1135</v>
      </c>
      <c r="C13" s="40"/>
      <c r="D13" s="40"/>
      <c r="E13" s="40"/>
      <c r="F13" s="1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 t="s">
        <v>1136</v>
      </c>
      <c r="C14" s="40">
        <f>'Estudio ADEK'!E51</f>
        <v>3954</v>
      </c>
      <c r="D14" s="40"/>
      <c r="E14" s="40"/>
      <c r="F14" s="19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 t="s">
        <v>565</v>
      </c>
      <c r="C15" s="40">
        <v>0</v>
      </c>
      <c r="D15" s="40"/>
      <c r="E15" s="40"/>
      <c r="F15" s="1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 t="s">
        <v>267</v>
      </c>
      <c r="C16" s="40">
        <f>'Estudio ADEK'!E27</f>
        <v>6884</v>
      </c>
      <c r="D16" s="40"/>
      <c r="E16" s="40"/>
      <c r="F16" s="19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 t="s">
        <v>1137</v>
      </c>
      <c r="C17" s="110">
        <v>0</v>
      </c>
      <c r="D17" s="40"/>
      <c r="E17" s="40"/>
      <c r="F17" s="1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3" t="s">
        <v>1138</v>
      </c>
      <c r="C18" s="40"/>
      <c r="D18" s="40">
        <f>SUM(C14:C17)</f>
        <v>10838</v>
      </c>
      <c r="E18" s="40"/>
      <c r="F18" s="1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40"/>
      <c r="D19" s="40"/>
      <c r="E19" s="40"/>
      <c r="F19" s="1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40"/>
      <c r="D20" s="40"/>
      <c r="E20" s="40"/>
      <c r="F20" s="19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3" t="s">
        <v>272</v>
      </c>
      <c r="C21" s="40"/>
      <c r="D21" s="40"/>
      <c r="E21" s="40"/>
      <c r="F21" s="1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1139</v>
      </c>
      <c r="C22" s="40">
        <f>'Estudio ADEK'!E17</f>
        <v>0</v>
      </c>
      <c r="D22" s="40"/>
      <c r="E22" s="40"/>
      <c r="F22" s="1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1140</v>
      </c>
      <c r="C23" s="110">
        <f>'Estudio ADEK'!E61</f>
        <v>1116.99</v>
      </c>
      <c r="D23" s="40"/>
      <c r="E23" s="40"/>
      <c r="F23" s="1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3" t="s">
        <v>1141</v>
      </c>
      <c r="C24" s="40"/>
      <c r="D24" s="110">
        <f>SUM(C22:C23)</f>
        <v>1116.99</v>
      </c>
      <c r="E24" s="40"/>
      <c r="F24" s="1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40"/>
      <c r="D25" s="40"/>
      <c r="E25" s="40"/>
      <c r="F25" s="19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3" t="s">
        <v>1142</v>
      </c>
      <c r="C26" s="40"/>
      <c r="D26" s="40"/>
      <c r="E26" s="326">
        <f>SUM(D10:D24)</f>
        <v>23719.903333333332</v>
      </c>
      <c r="F26" s="19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40"/>
      <c r="D27" s="40"/>
      <c r="E27" s="40"/>
      <c r="F27" s="1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3" t="s">
        <v>1143</v>
      </c>
      <c r="C28" s="40"/>
      <c r="D28" s="40"/>
      <c r="E28" s="40"/>
      <c r="F28" s="1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 t="s">
        <v>1144</v>
      </c>
      <c r="C29" s="40"/>
      <c r="D29" s="40"/>
      <c r="E29" s="40"/>
      <c r="F29" s="1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 t="s">
        <v>1145</v>
      </c>
      <c r="C30" s="110">
        <f>'Estudio ADEK'!C531</f>
        <v>18000</v>
      </c>
      <c r="D30" s="40"/>
      <c r="E30" s="40"/>
      <c r="F30" s="19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3" t="s">
        <v>1146</v>
      </c>
      <c r="C31" s="40"/>
      <c r="D31" s="40">
        <f>SUM(C30)</f>
        <v>18000</v>
      </c>
      <c r="E31" s="40"/>
      <c r="F31" s="19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40"/>
      <c r="D32" s="40"/>
      <c r="E32" s="40"/>
      <c r="F32" s="1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40"/>
      <c r="D33" s="40"/>
      <c r="E33" s="40"/>
      <c r="F33" s="1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3" t="s">
        <v>1147</v>
      </c>
      <c r="C34" s="40"/>
      <c r="D34" s="40"/>
      <c r="E34" s="40"/>
      <c r="F34" s="19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 t="s">
        <v>473</v>
      </c>
      <c r="C35" s="110">
        <f>-'Estudio ADEK'!C637</f>
        <v>5719.9033333333318</v>
      </c>
      <c r="D35" s="40"/>
      <c r="E35" s="40"/>
      <c r="F35" s="1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3" t="s">
        <v>1148</v>
      </c>
      <c r="C36" s="40"/>
      <c r="D36" s="110">
        <f>SUM(C35)</f>
        <v>5719.9033333333318</v>
      </c>
      <c r="E36" s="40"/>
      <c r="F36" s="19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40"/>
      <c r="D37" s="40"/>
      <c r="E37" s="40"/>
      <c r="F37" s="1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3" t="s">
        <v>1149</v>
      </c>
      <c r="C38" s="40"/>
      <c r="D38" s="40"/>
      <c r="E38" s="326">
        <f>SUM(D31:D36)</f>
        <v>23719.903333333332</v>
      </c>
      <c r="F38" s="1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435" t="s">
        <v>1150</v>
      </c>
      <c r="C42" s="436"/>
      <c r="D42" s="436"/>
      <c r="E42" s="437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435" t="s">
        <v>1151</v>
      </c>
      <c r="C43" s="436"/>
      <c r="D43" s="436"/>
      <c r="E43" s="437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 t="s">
        <v>521</v>
      </c>
      <c r="C46" s="19"/>
      <c r="D46" s="40"/>
      <c r="E46" s="40">
        <f>'Estado de Resultados'!C5</f>
        <v>196560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 t="s">
        <v>1152</v>
      </c>
      <c r="C47" s="19"/>
      <c r="D47" s="40"/>
      <c r="E47" s="110">
        <f>'Estado de Resultados'!C8</f>
        <v>21240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 t="s">
        <v>1153</v>
      </c>
      <c r="C48" s="19"/>
      <c r="D48" s="40"/>
      <c r="E48" s="40">
        <f>E46-E47</f>
        <v>175320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 t="s">
        <v>188</v>
      </c>
      <c r="C49" s="19"/>
      <c r="D49" s="40"/>
      <c r="E49" s="40">
        <f>'Estado de Resultados'!C14</f>
        <v>27600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 t="s">
        <v>193</v>
      </c>
      <c r="C50" s="19"/>
      <c r="D50" s="40"/>
      <c r="E50" s="40">
        <f>'Estado de Resultados'!C13</f>
        <v>21420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3" t="s">
        <v>1154</v>
      </c>
      <c r="C51" s="19"/>
      <c r="D51" s="40"/>
      <c r="E51" s="110">
        <f>SUM(E49:E50)</f>
        <v>49020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3" t="s">
        <v>1155</v>
      </c>
      <c r="C52" s="19"/>
      <c r="D52" s="40"/>
      <c r="E52" s="40">
        <f>E48-E51</f>
        <v>126300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 t="s">
        <v>1156</v>
      </c>
      <c r="C53" s="19"/>
      <c r="D53" s="40"/>
      <c r="E53" s="110">
        <f>'Estudio ADEK'!C563</f>
        <v>3373.7024221453285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3" t="s">
        <v>1157</v>
      </c>
      <c r="C54" s="19"/>
      <c r="D54" s="40"/>
      <c r="E54" s="40">
        <f>E52-E53</f>
        <v>122926.29757785467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3" t="s">
        <v>1158</v>
      </c>
      <c r="C55" s="19"/>
      <c r="D55" s="40"/>
      <c r="E55" s="110">
        <f>E54*Resumen!H6</f>
        <v>1843.89446366782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3" t="s">
        <v>1159</v>
      </c>
      <c r="C56" s="19"/>
      <c r="D56" s="40"/>
      <c r="E56" s="327">
        <f>E54-E55</f>
        <v>121082.40311418685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E2"/>
    <mergeCell ref="B3:E3"/>
    <mergeCell ref="B42:E42"/>
    <mergeCell ref="B43:E43"/>
  </mergeCells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1C6294"/>
  </sheetPr>
  <dimension ref="A1:Z1000"/>
  <sheetViews>
    <sheetView showGridLines="0" workbookViewId="0"/>
  </sheetViews>
  <sheetFormatPr baseColWidth="10" defaultColWidth="12.625" defaultRowHeight="15" customHeight="1"/>
  <cols>
    <col min="1" max="1" width="3.125" customWidth="1"/>
    <col min="2" max="2" width="25.125" customWidth="1"/>
    <col min="3" max="3" width="14.75" customWidth="1"/>
    <col min="4" max="4" width="18.125" customWidth="1"/>
    <col min="5" max="5" width="16.125" customWidth="1"/>
    <col min="6" max="6" width="15.125" customWidth="1"/>
    <col min="7" max="8" width="13.75" customWidth="1"/>
    <col min="9" max="10" width="10.125" customWidth="1"/>
    <col min="11" max="11" width="11.875" customWidth="1"/>
    <col min="12" max="26" width="10.125" customWidth="1"/>
  </cols>
  <sheetData>
    <row r="1" spans="1:26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>
      <c r="A2" s="48"/>
      <c r="B2" s="485" t="s">
        <v>1160</v>
      </c>
      <c r="C2" s="436"/>
      <c r="D2" s="436"/>
      <c r="E2" s="436"/>
      <c r="F2" s="436"/>
      <c r="G2" s="436"/>
      <c r="H2" s="436"/>
      <c r="I2" s="436"/>
      <c r="J2" s="436"/>
      <c r="K2" s="437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>
      <c r="A4" s="48"/>
      <c r="B4" s="498" t="s">
        <v>1161</v>
      </c>
      <c r="C4" s="431"/>
      <c r="D4" s="431"/>
      <c r="E4" s="431"/>
      <c r="F4" s="431"/>
      <c r="G4" s="431"/>
      <c r="H4" s="431"/>
      <c r="I4" s="431"/>
      <c r="J4" s="431"/>
      <c r="K4" s="431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>
      <c r="A5" s="48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>
      <c r="A6" s="48"/>
      <c r="B6" s="48" t="s">
        <v>1162</v>
      </c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>
      <c r="A7" s="48"/>
      <c r="B7" s="490" t="s">
        <v>1163</v>
      </c>
      <c r="C7" s="431"/>
      <c r="D7" s="431"/>
      <c r="E7" s="431"/>
      <c r="F7" s="431"/>
      <c r="G7" s="431"/>
      <c r="H7" s="431"/>
      <c r="I7" s="431"/>
      <c r="J7" s="431"/>
      <c r="K7" s="431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>
      <c r="A8" s="48"/>
      <c r="B8" s="48" t="s">
        <v>1164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>
      <c r="A15" s="48"/>
      <c r="B15" s="132" t="s">
        <v>1165</v>
      </c>
      <c r="C15" s="328">
        <f>'Estudio ADEK'!C4</f>
        <v>0.02</v>
      </c>
      <c r="D15" s="329">
        <f>Resumen!H3</f>
        <v>0.02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>
      <c r="A16" s="48"/>
      <c r="B16" s="132" t="s">
        <v>307</v>
      </c>
      <c r="C16" s="328">
        <v>0.12</v>
      </c>
      <c r="D16" s="132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30">
      <c r="A17" s="48"/>
      <c r="B17" s="499" t="s">
        <v>1166</v>
      </c>
      <c r="C17" s="437"/>
      <c r="D17" s="48"/>
      <c r="E17" s="328">
        <f>C16+C15+(C16*C15)</f>
        <v>0.1424</v>
      </c>
      <c r="F17" s="330">
        <f>E17</f>
        <v>0.1424</v>
      </c>
      <c r="G17" s="48" t="s">
        <v>1167</v>
      </c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>
      <c r="A19" s="48"/>
      <c r="B19" s="485" t="s">
        <v>1168</v>
      </c>
      <c r="C19" s="436"/>
      <c r="D19" s="436"/>
      <c r="E19" s="436"/>
      <c r="F19" s="436"/>
      <c r="G19" s="436"/>
      <c r="H19" s="436"/>
      <c r="I19" s="436"/>
      <c r="J19" s="436"/>
      <c r="K19" s="437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5.7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5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5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5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5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5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5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5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5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5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5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5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5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5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5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5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5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5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5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5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5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5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5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5.75" customHeight="1">
      <c r="A50" s="48"/>
      <c r="B50" s="485" t="s">
        <v>482</v>
      </c>
      <c r="C50" s="436"/>
      <c r="D50" s="436"/>
      <c r="E50" s="436"/>
      <c r="F50" s="436"/>
      <c r="G50" s="436"/>
      <c r="H50" s="436"/>
      <c r="I50" s="437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5.75" customHeight="1">
      <c r="A51" s="48"/>
      <c r="B51" s="487" t="s">
        <v>278</v>
      </c>
      <c r="C51" s="488" t="s">
        <v>265</v>
      </c>
      <c r="D51" s="463"/>
      <c r="E51" s="463"/>
      <c r="F51" s="463"/>
      <c r="G51" s="463"/>
      <c r="H51" s="464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5.75" customHeight="1">
      <c r="A52" s="48"/>
      <c r="B52" s="461"/>
      <c r="C52" s="331">
        <v>0</v>
      </c>
      <c r="D52" s="331">
        <v>1</v>
      </c>
      <c r="E52" s="331">
        <v>2</v>
      </c>
      <c r="F52" s="331">
        <v>3</v>
      </c>
      <c r="G52" s="331">
        <v>4</v>
      </c>
      <c r="H52" s="331">
        <v>5</v>
      </c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5.75" customHeight="1">
      <c r="A53" s="48"/>
      <c r="B53" s="332" t="s">
        <v>484</v>
      </c>
      <c r="C53" s="333">
        <f>'Estudio ADEK'!C585</f>
        <v>-23719.903333333332</v>
      </c>
      <c r="D53" s="333">
        <f>'Estudio ADEK'!D585</f>
        <v>-114.80392156862763</v>
      </c>
      <c r="E53" s="333">
        <f>'Estudio ADEK'!E585</f>
        <v>-114.80392156862763</v>
      </c>
      <c r="F53" s="333">
        <f>'Estudio ADEK'!F585</f>
        <v>-114.80392156862763</v>
      </c>
      <c r="G53" s="333">
        <f>'Estudio ADEK'!G585</f>
        <v>-114.80392156862763</v>
      </c>
      <c r="H53" s="333">
        <f>'Estudio ADEK'!H585</f>
        <v>-10347.880952380952</v>
      </c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5.75" customHeight="1">
      <c r="A54" s="48"/>
      <c r="B54" s="332" t="s">
        <v>485</v>
      </c>
      <c r="C54" s="333">
        <f>'Estudio ADEK'!C586</f>
        <v>0</v>
      </c>
      <c r="D54" s="333">
        <f>'Estudio ADEK'!D586</f>
        <v>186491.41639234126</v>
      </c>
      <c r="E54" s="333">
        <f>'Estudio ADEK'!E586</f>
        <v>190132.03323637857</v>
      </c>
      <c r="F54" s="333">
        <f>'Estudio ADEK'!F586</f>
        <v>190132.03323637857</v>
      </c>
      <c r="G54" s="333">
        <f>'Estudio ADEK'!G586</f>
        <v>190132.03323637857</v>
      </c>
      <c r="H54" s="333">
        <f>'Estudio ADEK'!H586</f>
        <v>190132.03323637857</v>
      </c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5.75" customHeight="1">
      <c r="A55" s="48"/>
      <c r="B55" s="334" t="s">
        <v>486</v>
      </c>
      <c r="C55" s="335">
        <f t="shared" ref="C55:H55" si="0">SUM(C53:C54)</f>
        <v>-23719.903333333332</v>
      </c>
      <c r="D55" s="335">
        <f t="shared" si="0"/>
        <v>186376.61247077264</v>
      </c>
      <c r="E55" s="335">
        <f t="shared" si="0"/>
        <v>190017.22931480996</v>
      </c>
      <c r="F55" s="335">
        <f t="shared" si="0"/>
        <v>190017.22931480996</v>
      </c>
      <c r="G55" s="335">
        <f t="shared" si="0"/>
        <v>190017.22931480996</v>
      </c>
      <c r="H55" s="335">
        <f t="shared" si="0"/>
        <v>179784.15228399762</v>
      </c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5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5.75" customHeight="1">
      <c r="A57" s="48"/>
      <c r="B57" s="485" t="s">
        <v>1169</v>
      </c>
      <c r="C57" s="436"/>
      <c r="D57" s="436"/>
      <c r="E57" s="436"/>
      <c r="F57" s="436"/>
      <c r="G57" s="436"/>
      <c r="H57" s="436"/>
      <c r="I57" s="437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5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5.75" customHeight="1">
      <c r="A60" s="48"/>
      <c r="B60" s="48"/>
      <c r="C60" s="48"/>
      <c r="D60" s="48"/>
      <c r="E60" s="490" t="s">
        <v>1170</v>
      </c>
      <c r="F60" s="431"/>
      <c r="G60" s="431"/>
      <c r="H60" s="431"/>
      <c r="I60" s="431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5.75" customHeight="1">
      <c r="A61" s="48"/>
      <c r="B61" s="48"/>
      <c r="C61" s="48"/>
      <c r="D61" s="48"/>
      <c r="E61" s="490" t="s">
        <v>1171</v>
      </c>
      <c r="F61" s="431"/>
      <c r="G61" s="431"/>
      <c r="H61" s="431"/>
      <c r="I61" s="431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5.75" customHeight="1">
      <c r="A62" s="48"/>
      <c r="B62" s="48"/>
      <c r="C62" s="48"/>
      <c r="D62" s="48"/>
      <c r="E62" s="490" t="s">
        <v>1172</v>
      </c>
      <c r="F62" s="431"/>
      <c r="G62" s="431"/>
      <c r="H62" s="431"/>
      <c r="I62" s="431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5.75" customHeight="1">
      <c r="A66" s="48"/>
      <c r="B66" s="37" t="s">
        <v>1173</v>
      </c>
      <c r="C66" s="37">
        <v>1</v>
      </c>
      <c r="D66" s="37">
        <v>2</v>
      </c>
      <c r="E66" s="37">
        <v>3</v>
      </c>
      <c r="F66" s="37">
        <v>4</v>
      </c>
      <c r="G66" s="37">
        <v>5</v>
      </c>
      <c r="H66" s="336" t="s">
        <v>1174</v>
      </c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5.75" customHeight="1">
      <c r="A67" s="48"/>
      <c r="B67" s="99" t="s">
        <v>1175</v>
      </c>
      <c r="C67" s="328">
        <f>D55/((1+E17)^1)</f>
        <v>163144.79382945783</v>
      </c>
      <c r="D67" s="328">
        <f>E55/((1+E17)^2)</f>
        <v>145598.39661570048</v>
      </c>
      <c r="E67" s="328">
        <f>E55/((1+E17)^3)</f>
        <v>127449.57686948568</v>
      </c>
      <c r="F67" s="328">
        <f>E55/((1+E17)^4)</f>
        <v>111563.0049627851</v>
      </c>
      <c r="G67" s="328">
        <f>H55/((1+E17)^5)</f>
        <v>92397.545490212724</v>
      </c>
      <c r="H67" s="328">
        <f>SUM(C67:G67)</f>
        <v>640153.31776764174</v>
      </c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5.75" customHeight="1">
      <c r="A68" s="48"/>
      <c r="B68" s="48"/>
      <c r="C68" s="337"/>
      <c r="D68" s="337"/>
      <c r="E68" s="337"/>
      <c r="F68" s="337"/>
      <c r="G68" s="337"/>
      <c r="H68" s="337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5.75" customHeight="1">
      <c r="A69" s="48"/>
      <c r="B69" s="48"/>
      <c r="C69" s="337"/>
      <c r="D69" s="337"/>
      <c r="E69" s="337"/>
      <c r="F69" s="337"/>
      <c r="G69" s="337"/>
      <c r="H69" s="337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6.5" customHeight="1">
      <c r="A70" s="48"/>
      <c r="B70" s="485" t="s">
        <v>1176</v>
      </c>
      <c r="C70" s="436"/>
      <c r="D70" s="436"/>
      <c r="E70" s="436"/>
      <c r="F70" s="436"/>
      <c r="G70" s="436"/>
      <c r="H70" s="436"/>
      <c r="I70" s="437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5.75" customHeight="1">
      <c r="A72" s="48"/>
      <c r="B72" s="491" t="s">
        <v>1177</v>
      </c>
      <c r="C72" s="431"/>
      <c r="D72" s="48"/>
      <c r="E72" s="328">
        <f>C55</f>
        <v>-23719.903333333332</v>
      </c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5.75" customHeight="1">
      <c r="A73" s="48"/>
      <c r="B73" s="491"/>
      <c r="C73" s="431"/>
      <c r="D73" s="48"/>
      <c r="E73" s="132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5.75" customHeight="1">
      <c r="A74" s="48"/>
      <c r="B74" s="491" t="s">
        <v>1178</v>
      </c>
      <c r="C74" s="431"/>
      <c r="D74" s="328">
        <f>-C55/(1+E17)^0</f>
        <v>23719.903333333332</v>
      </c>
      <c r="E74" s="336" t="s">
        <v>1179</v>
      </c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5.75" customHeight="1">
      <c r="A75" s="48"/>
      <c r="B75" s="48"/>
      <c r="C75" s="48"/>
      <c r="D75" s="48"/>
      <c r="E75" s="132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5.75" customHeight="1">
      <c r="A76" s="48"/>
      <c r="B76" s="338" t="s">
        <v>1180</v>
      </c>
      <c r="C76" s="336" t="s">
        <v>1174</v>
      </c>
      <c r="D76" s="132" t="s">
        <v>1181</v>
      </c>
      <c r="E76" s="336" t="s">
        <v>1179</v>
      </c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5.75" customHeight="1">
      <c r="A77" s="48"/>
      <c r="B77" s="48"/>
      <c r="C77" s="328">
        <f>H67</f>
        <v>640153.31776764174</v>
      </c>
      <c r="D77" s="132" t="str">
        <f>D76</f>
        <v>MENOS</v>
      </c>
      <c r="E77" s="328">
        <f>D74</f>
        <v>23719.903333333332</v>
      </c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5.75" customHeight="1">
      <c r="A78" s="48"/>
      <c r="B78" s="339" t="s">
        <v>1182</v>
      </c>
      <c r="C78" s="340">
        <f>C77-E77</f>
        <v>616433.41443430842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5.75" customHeight="1">
      <c r="A80" s="48"/>
      <c r="B80" s="491" t="s">
        <v>1183</v>
      </c>
      <c r="C80" s="431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5.75" customHeight="1">
      <c r="A81" s="48"/>
      <c r="B81" s="491" t="s">
        <v>1184</v>
      </c>
      <c r="C81" s="431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5.75" customHeight="1">
      <c r="A82" s="48"/>
      <c r="B82" s="491" t="s">
        <v>1185</v>
      </c>
      <c r="C82" s="431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5.75" customHeight="1">
      <c r="A83" s="48"/>
      <c r="B83" s="491" t="s">
        <v>1186</v>
      </c>
      <c r="C83" s="431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5.75" customHeight="1">
      <c r="A84" s="48"/>
      <c r="B84" s="491" t="s">
        <v>1187</v>
      </c>
      <c r="C84" s="431"/>
      <c r="D84" s="328">
        <f>C78</f>
        <v>616433.41443430842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5.75" customHeight="1">
      <c r="A87" s="48"/>
      <c r="B87" s="489" t="s">
        <v>1188</v>
      </c>
      <c r="C87" s="436"/>
      <c r="D87" s="436"/>
      <c r="E87" s="436"/>
      <c r="F87" s="436"/>
      <c r="G87" s="436"/>
      <c r="H87" s="436"/>
      <c r="I87" s="437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45" customHeight="1">
      <c r="A88" s="48"/>
      <c r="B88" s="48" t="s">
        <v>1189</v>
      </c>
      <c r="C88" s="48"/>
      <c r="D88" s="491" t="s">
        <v>1190</v>
      </c>
      <c r="E88" s="431"/>
      <c r="F88" s="431"/>
      <c r="G88" s="431"/>
      <c r="H88" s="431"/>
      <c r="I88" s="431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45" customHeight="1">
      <c r="A89" s="48"/>
      <c r="B89" s="48"/>
      <c r="C89" s="48"/>
      <c r="D89" s="497" t="s">
        <v>1191</v>
      </c>
      <c r="E89" s="431"/>
      <c r="F89" s="431"/>
      <c r="G89" s="431"/>
      <c r="H89" s="431"/>
      <c r="I89" s="431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5.75" customHeight="1">
      <c r="A91" s="48"/>
      <c r="B91" s="48" t="s">
        <v>1192</v>
      </c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5.75" customHeight="1">
      <c r="A92" s="48"/>
      <c r="B92" s="48" t="s">
        <v>1193</v>
      </c>
      <c r="C92" s="328">
        <f>C55</f>
        <v>-23719.903333333332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5.75" customHeight="1">
      <c r="A93" s="48"/>
      <c r="B93" s="48" t="s">
        <v>1194</v>
      </c>
      <c r="C93" s="328">
        <f>D55</f>
        <v>186376.61247077264</v>
      </c>
      <c r="D93" s="341" t="s">
        <v>1182</v>
      </c>
      <c r="E93" s="342">
        <f t="array" ref="E93">C92+NPV(C99,C93:C97)</f>
        <v>616433.41443430842</v>
      </c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5.75" customHeight="1">
      <c r="A94" s="48"/>
      <c r="B94" s="48" t="s">
        <v>1195</v>
      </c>
      <c r="C94" s="328">
        <f>E55</f>
        <v>190017.22931480996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5.75" customHeight="1">
      <c r="A95" s="48"/>
      <c r="B95" s="48" t="s">
        <v>1196</v>
      </c>
      <c r="C95" s="328">
        <f>F55</f>
        <v>190017.22931480996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5.75" customHeight="1">
      <c r="A96" s="48"/>
      <c r="B96" s="48" t="s">
        <v>1197</v>
      </c>
      <c r="C96" s="328">
        <f>G55</f>
        <v>190017.22931480996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5.75" customHeight="1">
      <c r="A97" s="48"/>
      <c r="B97" s="48" t="s">
        <v>1198</v>
      </c>
      <c r="C97" s="328">
        <f>H55</f>
        <v>179784.15228399762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5.75" customHeight="1">
      <c r="A98" s="48"/>
      <c r="B98" s="48" t="s">
        <v>1199</v>
      </c>
      <c r="C98" s="132">
        <v>5</v>
      </c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5.75" customHeight="1">
      <c r="A99" s="48"/>
      <c r="B99" s="48" t="s">
        <v>1200</v>
      </c>
      <c r="C99" s="343">
        <f>F17</f>
        <v>0.1424</v>
      </c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5.75" customHeight="1">
      <c r="A102" s="48"/>
      <c r="B102" s="485" t="s">
        <v>1201</v>
      </c>
      <c r="C102" s="436"/>
      <c r="D102" s="436"/>
      <c r="E102" s="436"/>
      <c r="F102" s="436"/>
      <c r="G102" s="436"/>
      <c r="H102" s="436"/>
      <c r="I102" s="437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5.75" customHeight="1">
      <c r="A108" s="48"/>
      <c r="B108" s="492" t="s">
        <v>1202</v>
      </c>
      <c r="C108" s="493"/>
      <c r="D108" s="493"/>
      <c r="E108" s="493"/>
      <c r="F108" s="493"/>
      <c r="G108" s="494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5.75" customHeight="1">
      <c r="A109" s="48"/>
      <c r="B109" s="495" t="s">
        <v>278</v>
      </c>
      <c r="C109" s="496" t="s">
        <v>265</v>
      </c>
      <c r="D109" s="463"/>
      <c r="E109" s="463"/>
      <c r="F109" s="463"/>
      <c r="G109" s="464"/>
      <c r="H109" s="48"/>
      <c r="I109" s="48"/>
      <c r="J109" s="48"/>
      <c r="K109" s="344"/>
      <c r="L109" s="48"/>
      <c r="M109" s="345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5.75" customHeight="1">
      <c r="A110" s="48"/>
      <c r="B110" s="461"/>
      <c r="C110" s="346">
        <v>1</v>
      </c>
      <c r="D110" s="346">
        <v>2</v>
      </c>
      <c r="E110" s="346">
        <v>3</v>
      </c>
      <c r="F110" s="346">
        <v>4</v>
      </c>
      <c r="G110" s="346">
        <v>5</v>
      </c>
      <c r="H110" s="48"/>
      <c r="I110" s="48"/>
      <c r="J110" s="48"/>
      <c r="K110" s="344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5.75" customHeight="1">
      <c r="A111" s="48"/>
      <c r="B111" s="332" t="s">
        <v>1203</v>
      </c>
      <c r="C111" s="333">
        <f t="shared" ref="C111:G111" si="1">D55</f>
        <v>186376.61247077264</v>
      </c>
      <c r="D111" s="333">
        <f t="shared" si="1"/>
        <v>190017.22931480996</v>
      </c>
      <c r="E111" s="333">
        <f t="shared" si="1"/>
        <v>190017.22931480996</v>
      </c>
      <c r="F111" s="333">
        <f t="shared" si="1"/>
        <v>190017.22931480996</v>
      </c>
      <c r="G111" s="333">
        <f t="shared" si="1"/>
        <v>179784.15228399762</v>
      </c>
      <c r="H111" s="344"/>
      <c r="I111" s="345"/>
      <c r="J111" s="48"/>
      <c r="K111" s="344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5.75" customHeight="1">
      <c r="A112" s="48"/>
      <c r="B112" s="48"/>
      <c r="C112" s="344"/>
      <c r="D112" s="344"/>
      <c r="E112" s="344"/>
      <c r="F112" s="344"/>
      <c r="G112" s="344"/>
      <c r="H112" s="48"/>
      <c r="I112" s="48"/>
      <c r="J112" s="48"/>
      <c r="K112" s="344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344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5.75" customHeight="1">
      <c r="A114" s="48"/>
      <c r="B114" s="485" t="s">
        <v>1204</v>
      </c>
      <c r="C114" s="436"/>
      <c r="D114" s="436"/>
      <c r="E114" s="436"/>
      <c r="F114" s="436"/>
      <c r="G114" s="437"/>
      <c r="H114" s="99"/>
      <c r="I114" s="48"/>
      <c r="J114" s="48"/>
      <c r="K114" s="344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5.75" customHeight="1">
      <c r="A115" s="144"/>
      <c r="B115" s="347" t="s">
        <v>1205</v>
      </c>
      <c r="C115" s="348"/>
      <c r="D115" s="348"/>
      <c r="E115" s="348"/>
      <c r="F115" s="348"/>
      <c r="G115" s="348"/>
      <c r="H115" s="349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</row>
    <row r="116" spans="1:26" ht="15.75" customHeight="1">
      <c r="A116" s="48"/>
      <c r="B116" s="350" t="s">
        <v>265</v>
      </c>
      <c r="C116" s="350">
        <v>1</v>
      </c>
      <c r="D116" s="350">
        <v>2</v>
      </c>
      <c r="E116" s="350">
        <v>3</v>
      </c>
      <c r="F116" s="350">
        <v>4</v>
      </c>
      <c r="G116" s="350">
        <v>5</v>
      </c>
      <c r="H116" s="332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5.75" customHeight="1">
      <c r="A117" s="48"/>
      <c r="B117" s="351" t="s">
        <v>1206</v>
      </c>
      <c r="C117" s="333">
        <f t="shared" ref="C117:G117" si="2">C111</f>
        <v>186376.61247077264</v>
      </c>
      <c r="D117" s="333">
        <f t="shared" si="2"/>
        <v>190017.22931480996</v>
      </c>
      <c r="E117" s="333">
        <f t="shared" si="2"/>
        <v>190017.22931480996</v>
      </c>
      <c r="F117" s="333">
        <f t="shared" si="2"/>
        <v>190017.22931480996</v>
      </c>
      <c r="G117" s="333">
        <f t="shared" si="2"/>
        <v>179784.15228399762</v>
      </c>
      <c r="H117" s="33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5.75" customHeight="1">
      <c r="A118" s="48"/>
      <c r="B118" s="351" t="s">
        <v>1207</v>
      </c>
      <c r="C118" s="352">
        <v>0.75</v>
      </c>
      <c r="D118" s="333">
        <f>1+C118</f>
        <v>1.75</v>
      </c>
      <c r="E118" s="353"/>
      <c r="F118" s="353"/>
      <c r="G118" s="353"/>
      <c r="H118" s="3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5.75" customHeight="1">
      <c r="A119" s="48"/>
      <c r="B119" s="351" t="s">
        <v>1208</v>
      </c>
      <c r="C119" s="353" t="s">
        <v>1209</v>
      </c>
      <c r="D119" s="353"/>
      <c r="E119" s="353"/>
      <c r="F119" s="353"/>
      <c r="G119" s="353"/>
      <c r="H119" s="3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5.75" customHeight="1">
      <c r="A120" s="48"/>
      <c r="B120" s="332" t="s">
        <v>1210</v>
      </c>
      <c r="C120" s="333">
        <f>D118</f>
        <v>1.75</v>
      </c>
      <c r="D120" s="333">
        <f>C120^2</f>
        <v>3.0625</v>
      </c>
      <c r="E120" s="333">
        <f>C120^3</f>
        <v>5.359375</v>
      </c>
      <c r="F120" s="333">
        <f>C120^4</f>
        <v>9.37890625</v>
      </c>
      <c r="G120" s="333">
        <f>C120^5</f>
        <v>16.4130859375</v>
      </c>
      <c r="H120" s="33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5.75" customHeight="1">
      <c r="A121" s="48"/>
      <c r="B121" s="354"/>
      <c r="C121" s="333">
        <f t="shared" ref="C121:G121" si="3">C117/C120</f>
        <v>106500.92141187008</v>
      </c>
      <c r="D121" s="333">
        <f t="shared" si="3"/>
        <v>62046.442225244071</v>
      </c>
      <c r="E121" s="333">
        <f t="shared" si="3"/>
        <v>35455.109842996608</v>
      </c>
      <c r="F121" s="333">
        <f t="shared" si="3"/>
        <v>20260.062767426632</v>
      </c>
      <c r="G121" s="333">
        <f t="shared" si="3"/>
        <v>10953.708094175854</v>
      </c>
      <c r="H121" s="333">
        <f>SUM(C121:G121)</f>
        <v>235216.24434171323</v>
      </c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5.75" customHeight="1">
      <c r="A122" s="48"/>
      <c r="B122" s="48"/>
      <c r="C122" s="355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5.75" customHeight="1">
      <c r="A123" s="48"/>
      <c r="B123" s="48" t="s">
        <v>1211</v>
      </c>
      <c r="C123" s="356"/>
      <c r="D123" s="328">
        <f>C55</f>
        <v>-23719.903333333332</v>
      </c>
      <c r="E123" s="48"/>
      <c r="F123" s="48"/>
      <c r="G123" s="48"/>
      <c r="H123" s="357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5.75" customHeight="1">
      <c r="A124" s="48"/>
      <c r="B124" s="48"/>
      <c r="C124" s="356"/>
      <c r="D124" s="328">
        <f>H121</f>
        <v>235216.24434171323</v>
      </c>
      <c r="E124" s="48"/>
      <c r="F124" s="48"/>
      <c r="G124" s="48"/>
      <c r="H124" s="357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5.75" customHeight="1">
      <c r="A125" s="48"/>
      <c r="B125" s="48"/>
      <c r="C125" s="356" t="s">
        <v>1182</v>
      </c>
      <c r="D125" s="328">
        <f>D123+D124</f>
        <v>211496.34100837991</v>
      </c>
      <c r="E125" s="48"/>
      <c r="F125" s="48"/>
      <c r="G125" s="48"/>
      <c r="H125" s="357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5.75" customHeight="1">
      <c r="A127" s="144"/>
      <c r="B127" s="347" t="s">
        <v>1212</v>
      </c>
      <c r="C127" s="348"/>
      <c r="D127" s="348"/>
      <c r="E127" s="348"/>
      <c r="F127" s="348"/>
      <c r="G127" s="348"/>
      <c r="H127" s="349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</row>
    <row r="128" spans="1:26" ht="15.75" customHeight="1">
      <c r="A128" s="48"/>
      <c r="B128" s="350" t="s">
        <v>265</v>
      </c>
      <c r="C128" s="350">
        <v>1</v>
      </c>
      <c r="D128" s="350">
        <v>2</v>
      </c>
      <c r="E128" s="350">
        <v>3</v>
      </c>
      <c r="F128" s="350">
        <v>4</v>
      </c>
      <c r="G128" s="350">
        <v>5</v>
      </c>
      <c r="H128" s="332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5.75" customHeight="1">
      <c r="A129" s="48"/>
      <c r="B129" s="351" t="s">
        <v>1206</v>
      </c>
      <c r="C129" s="333">
        <f t="shared" ref="C129:G129" si="4">D55</f>
        <v>186376.61247077264</v>
      </c>
      <c r="D129" s="333">
        <f t="shared" si="4"/>
        <v>190017.22931480996</v>
      </c>
      <c r="E129" s="333">
        <f t="shared" si="4"/>
        <v>190017.22931480996</v>
      </c>
      <c r="F129" s="333">
        <f t="shared" si="4"/>
        <v>190017.22931480996</v>
      </c>
      <c r="G129" s="333">
        <f t="shared" si="4"/>
        <v>179784.15228399762</v>
      </c>
      <c r="H129" s="33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5.75" customHeight="1">
      <c r="A130" s="48"/>
      <c r="B130" s="351" t="s">
        <v>1207</v>
      </c>
      <c r="C130" s="352">
        <v>0.74</v>
      </c>
      <c r="D130" s="333">
        <f>1+C130</f>
        <v>1.74</v>
      </c>
      <c r="E130" s="353"/>
      <c r="F130" s="353"/>
      <c r="G130" s="353"/>
      <c r="H130" s="3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5.75" customHeight="1">
      <c r="A131" s="48"/>
      <c r="B131" s="351" t="s">
        <v>1208</v>
      </c>
      <c r="C131" s="353" t="s">
        <v>1209</v>
      </c>
      <c r="D131" s="353"/>
      <c r="E131" s="353"/>
      <c r="F131" s="353"/>
      <c r="G131" s="353"/>
      <c r="H131" s="3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5.75" customHeight="1">
      <c r="A132" s="48"/>
      <c r="B132" s="332" t="s">
        <v>1210</v>
      </c>
      <c r="C132" s="333">
        <f>D130</f>
        <v>1.74</v>
      </c>
      <c r="D132" s="333">
        <f>C132^2</f>
        <v>3.0276000000000001</v>
      </c>
      <c r="E132" s="333">
        <f>C132^3</f>
        <v>5.2680240000000005</v>
      </c>
      <c r="F132" s="333">
        <f>C132^4</f>
        <v>9.1663617600000009</v>
      </c>
      <c r="G132" s="333">
        <f>C132^5</f>
        <v>15.949469462400002</v>
      </c>
      <c r="H132" s="33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5.75" customHeight="1">
      <c r="A133" s="48"/>
      <c r="B133" s="354"/>
      <c r="C133" s="333">
        <f t="shared" ref="C133:G133" si="5">C129/C132</f>
        <v>107112.99567285784</v>
      </c>
      <c r="D133" s="333">
        <f t="shared" si="5"/>
        <v>62761.669082709057</v>
      </c>
      <c r="E133" s="333">
        <f t="shared" si="5"/>
        <v>36069.924760177615</v>
      </c>
      <c r="F133" s="333">
        <f t="shared" si="5"/>
        <v>20729.841816194032</v>
      </c>
      <c r="G133" s="333">
        <f t="shared" si="5"/>
        <v>11272.108624542583</v>
      </c>
      <c r="H133" s="333">
        <f>SUM(C133:G133)</f>
        <v>237946.53995648114</v>
      </c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5.75" customHeight="1">
      <c r="A134" s="48"/>
      <c r="B134" s="48"/>
      <c r="C134" s="356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5.75" customHeight="1">
      <c r="A136" s="48"/>
      <c r="B136" s="48" t="s">
        <v>1211</v>
      </c>
      <c r="C136" s="356"/>
      <c r="D136" s="328">
        <f>D123</f>
        <v>-23719.903333333332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5.75" customHeight="1">
      <c r="A137" s="48"/>
      <c r="B137" s="48"/>
      <c r="C137" s="356"/>
      <c r="D137" s="328">
        <f>H133</f>
        <v>237946.53995648114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5.75" customHeight="1">
      <c r="A138" s="48"/>
      <c r="B138" s="48"/>
      <c r="C138" s="356" t="s">
        <v>1182</v>
      </c>
      <c r="D138" s="328">
        <f>SUM(D136:D137)</f>
        <v>214226.63662314782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5.75" customHeight="1">
      <c r="A141" s="48"/>
      <c r="B141" s="485" t="s">
        <v>1213</v>
      </c>
      <c r="C141" s="436"/>
      <c r="D141" s="436"/>
      <c r="E141" s="436"/>
      <c r="F141" s="436"/>
      <c r="G141" s="437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5.75" customHeight="1">
      <c r="A142" s="48"/>
      <c r="B142" s="331" t="s">
        <v>1214</v>
      </c>
      <c r="C142" s="331" t="s">
        <v>1215</v>
      </c>
      <c r="D142" s="331" t="s">
        <v>1216</v>
      </c>
      <c r="E142" s="331" t="s">
        <v>1217</v>
      </c>
      <c r="F142" s="331" t="s">
        <v>1218</v>
      </c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5.75" customHeight="1">
      <c r="A143" s="48"/>
      <c r="B143" s="358">
        <f>C118</f>
        <v>0.75</v>
      </c>
      <c r="C143" s="333">
        <f>D125</f>
        <v>211496.34100837991</v>
      </c>
      <c r="D143" s="358">
        <f>-D124/D136</f>
        <v>9.916408217868506</v>
      </c>
      <c r="E143" s="333">
        <f t="shared" ref="E143:E144" si="6">D143</f>
        <v>9.916408217868506</v>
      </c>
      <c r="F143" s="333">
        <f>75-E143</f>
        <v>65.083591782131492</v>
      </c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5.75" customHeight="1">
      <c r="A144" s="48"/>
      <c r="B144" s="358">
        <f>C130</f>
        <v>0.74</v>
      </c>
      <c r="C144" s="333">
        <f>D138</f>
        <v>214226.63662314782</v>
      </c>
      <c r="D144" s="358">
        <f>100%-D143</f>
        <v>-8.916408217868506</v>
      </c>
      <c r="E144" s="333">
        <f t="shared" si="6"/>
        <v>-8.916408217868506</v>
      </c>
      <c r="F144" s="333">
        <f>74-E144</f>
        <v>82.916408217868508</v>
      </c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5.75" customHeight="1">
      <c r="A145" s="48"/>
      <c r="B145" s="358">
        <f>B143-B144</f>
        <v>1.0000000000000009E-2</v>
      </c>
      <c r="C145" s="333">
        <f>-SUM(C143:C144)</f>
        <v>-425722.9776315277</v>
      </c>
      <c r="D145" s="358">
        <f t="shared" ref="D145:E145" si="7">SUM(D143:D144)</f>
        <v>1</v>
      </c>
      <c r="E145" s="333">
        <f t="shared" si="7"/>
        <v>1</v>
      </c>
      <c r="F145" s="333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5.75" customHeight="1">
      <c r="A146" s="48"/>
      <c r="B146" s="345"/>
      <c r="C146" s="355"/>
      <c r="D146" s="345"/>
      <c r="E146" s="337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5.75" customHeight="1">
      <c r="A147" s="48"/>
      <c r="B147" s="489" t="s">
        <v>1219</v>
      </c>
      <c r="C147" s="436"/>
      <c r="D147" s="436"/>
      <c r="E147" s="436"/>
      <c r="F147" s="436"/>
      <c r="G147" s="436"/>
      <c r="H147" s="436"/>
      <c r="I147" s="437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5.75" customHeight="1">
      <c r="A148" s="48"/>
      <c r="B148" s="345"/>
      <c r="C148" s="355"/>
      <c r="D148" s="345"/>
      <c r="E148" s="337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5.75" customHeight="1">
      <c r="A149" s="48"/>
      <c r="B149" s="345" t="s">
        <v>1220</v>
      </c>
      <c r="C149" s="328">
        <f>C55</f>
        <v>-23719.903333333332</v>
      </c>
      <c r="D149" s="345"/>
      <c r="E149" s="337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5.75" customHeight="1">
      <c r="A150" s="48"/>
      <c r="B150" s="345" t="s">
        <v>1221</v>
      </c>
      <c r="C150" s="328">
        <f>D55</f>
        <v>186376.61247077264</v>
      </c>
      <c r="D150" s="345"/>
      <c r="E150" s="337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5.75" customHeight="1">
      <c r="A151" s="48"/>
      <c r="B151" s="345" t="s">
        <v>1222</v>
      </c>
      <c r="C151" s="328">
        <f>E55</f>
        <v>190017.22931480996</v>
      </c>
      <c r="D151" s="359" t="s">
        <v>1223</v>
      </c>
      <c r="E151" s="360">
        <f>IRR(C149:C154)</f>
        <v>7.874481114629992</v>
      </c>
      <c r="F151" s="361">
        <f>E151</f>
        <v>7.874481114629992</v>
      </c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5.75" customHeight="1">
      <c r="A152" s="48"/>
      <c r="B152" s="345" t="s">
        <v>1224</v>
      </c>
      <c r="C152" s="328">
        <f>F55</f>
        <v>190017.22931480996</v>
      </c>
      <c r="D152" s="345"/>
      <c r="E152" s="337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5.75" customHeight="1">
      <c r="A153" s="48"/>
      <c r="B153" s="345" t="s">
        <v>1225</v>
      </c>
      <c r="C153" s="328">
        <f>G55</f>
        <v>190017.22931480996</v>
      </c>
      <c r="D153" s="345"/>
      <c r="E153" s="337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5.75" customHeight="1">
      <c r="A154" s="48"/>
      <c r="B154" s="345" t="s">
        <v>1226</v>
      </c>
      <c r="C154" s="328">
        <f>H55</f>
        <v>179784.15228399762</v>
      </c>
      <c r="D154" s="345"/>
      <c r="E154" s="337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5.75" customHeight="1">
      <c r="A155" s="48"/>
      <c r="B155" s="345"/>
      <c r="C155" s="355"/>
      <c r="D155" s="345"/>
      <c r="E155" s="337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5.75" customHeight="1">
      <c r="A157" s="48"/>
      <c r="B157" s="485" t="s">
        <v>1227</v>
      </c>
      <c r="C157" s="436"/>
      <c r="D157" s="436"/>
      <c r="E157" s="436"/>
      <c r="F157" s="436"/>
      <c r="G157" s="437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5.75" customHeight="1">
      <c r="A168" s="48"/>
      <c r="B168" s="485" t="s">
        <v>1228</v>
      </c>
      <c r="C168" s="436"/>
      <c r="D168" s="436"/>
      <c r="E168" s="436"/>
      <c r="F168" s="436"/>
      <c r="G168" s="437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5.75" customHeight="1">
      <c r="A169" s="48"/>
      <c r="B169" s="487" t="s">
        <v>1229</v>
      </c>
      <c r="C169" s="487" t="s">
        <v>1230</v>
      </c>
      <c r="D169" s="488" t="s">
        <v>1231</v>
      </c>
      <c r="E169" s="464"/>
      <c r="F169" s="487" t="s">
        <v>1232</v>
      </c>
      <c r="G169" s="487" t="s">
        <v>1233</v>
      </c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5.75" customHeight="1">
      <c r="A170" s="48"/>
      <c r="B170" s="461"/>
      <c r="C170" s="461"/>
      <c r="D170" s="331" t="s">
        <v>1234</v>
      </c>
      <c r="E170" s="331" t="s">
        <v>1235</v>
      </c>
      <c r="F170" s="461"/>
      <c r="G170" s="461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5.75" customHeight="1">
      <c r="A171" s="48"/>
      <c r="B171" s="332" t="s">
        <v>1006</v>
      </c>
      <c r="C171" s="333">
        <f>-'Estudio ADEK'!C524</f>
        <v>-18000</v>
      </c>
      <c r="D171" s="362">
        <f>'Estudio ADEK'!C521</f>
        <v>0.215</v>
      </c>
      <c r="E171" s="362">
        <f>C179</f>
        <v>0.14404999999999998</v>
      </c>
      <c r="F171" s="333">
        <f>C171/C173</f>
        <v>1.4657865071094716</v>
      </c>
      <c r="G171" s="358">
        <f t="shared" ref="G171:G172" si="8">E171*F171</f>
        <v>0.21114654634911936</v>
      </c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5.75" customHeight="1">
      <c r="A172" s="48"/>
      <c r="B172" s="332" t="s">
        <v>1236</v>
      </c>
      <c r="C172" s="333">
        <f>-'Estudio ADEK'!C637</f>
        <v>5719.9033333333318</v>
      </c>
      <c r="D172" s="363">
        <f>F17</f>
        <v>0.1424</v>
      </c>
      <c r="E172" s="362">
        <f>D172</f>
        <v>0.1424</v>
      </c>
      <c r="F172" s="333">
        <f>C172/C173</f>
        <v>-0.46578650710947156</v>
      </c>
      <c r="G172" s="358">
        <f t="shared" si="8"/>
        <v>-6.632799861238875E-2</v>
      </c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5.75" customHeight="1">
      <c r="A173" s="48"/>
      <c r="B173" s="332" t="s">
        <v>47</v>
      </c>
      <c r="C173" s="333">
        <f>SUM(C171:C172)</f>
        <v>-12280.096666666668</v>
      </c>
      <c r="D173" s="331"/>
      <c r="E173" s="331"/>
      <c r="F173" s="333">
        <f t="shared" ref="F173:G173" si="9">SUM(F171:F172)</f>
        <v>1</v>
      </c>
      <c r="G173" s="358">
        <f t="shared" si="9"/>
        <v>0.14481854773673061</v>
      </c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5.75" customHeight="1">
      <c r="A175" s="48"/>
      <c r="B175" s="99" t="s">
        <v>1237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5.75" customHeight="1">
      <c r="A176" s="48"/>
      <c r="B176" s="48" t="s">
        <v>1238</v>
      </c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5.75" customHeight="1">
      <c r="A177" s="48"/>
      <c r="B177" s="48" t="s">
        <v>1239</v>
      </c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5.75" customHeight="1">
      <c r="A178" s="48"/>
      <c r="B178" s="48" t="s">
        <v>1240</v>
      </c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5.75" customHeight="1">
      <c r="A179" s="48"/>
      <c r="B179" s="48" t="s">
        <v>1241</v>
      </c>
      <c r="C179" s="48">
        <f>D171*(1-0.33)</f>
        <v>0.14404999999999998</v>
      </c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5.75" customHeight="1">
      <c r="A180" s="48"/>
      <c r="B180" s="48" t="s">
        <v>1242</v>
      </c>
      <c r="C180" s="48"/>
      <c r="D180" s="48"/>
      <c r="E180" s="48"/>
      <c r="F180" s="48"/>
      <c r="G180" s="364">
        <f>G173</f>
        <v>0.14481854773673061</v>
      </c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5.75" customHeight="1">
      <c r="A182" s="48"/>
      <c r="B182" s="99" t="s">
        <v>1243</v>
      </c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5.75" customHeight="1">
      <c r="A183" s="48"/>
      <c r="B183" s="48" t="s">
        <v>1244</v>
      </c>
      <c r="C183" s="48"/>
      <c r="D183" s="491" t="s">
        <v>1245</v>
      </c>
      <c r="E183" s="431"/>
      <c r="F183" s="431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5.75" customHeight="1">
      <c r="A184" s="48"/>
      <c r="B184" s="48"/>
      <c r="C184" s="48"/>
      <c r="D184" s="491" t="s">
        <v>1246</v>
      </c>
      <c r="E184" s="431"/>
      <c r="F184" s="431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5.75" customHeight="1">
      <c r="A185" s="48"/>
      <c r="B185" s="48"/>
      <c r="C185" s="48"/>
      <c r="D185" s="491" t="s">
        <v>1247</v>
      </c>
      <c r="E185" s="431"/>
      <c r="F185" s="431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5.75" customHeight="1">
      <c r="A186" s="48"/>
      <c r="B186" s="48" t="s">
        <v>1248</v>
      </c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5.75" customHeight="1">
      <c r="A187" s="48"/>
      <c r="B187" s="48" t="s">
        <v>1249</v>
      </c>
      <c r="C187" s="48"/>
      <c r="D187" s="365">
        <f>(1+G173)/(1+C15)</f>
        <v>1.1223711252320887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5.75" customHeight="1">
      <c r="A188" s="48"/>
      <c r="B188" s="47" t="s">
        <v>1250</v>
      </c>
      <c r="C188" s="47"/>
      <c r="D188" s="366">
        <f>D187-1</f>
        <v>0.12237112523208871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5.75" customHeight="1">
      <c r="A190" s="48"/>
      <c r="B190" s="485" t="s">
        <v>1251</v>
      </c>
      <c r="C190" s="436"/>
      <c r="D190" s="436"/>
      <c r="E190" s="436"/>
      <c r="F190" s="436"/>
      <c r="G190" s="437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5.75" customHeight="1">
      <c r="A191" s="48"/>
      <c r="B191" s="48" t="s">
        <v>1252</v>
      </c>
      <c r="C191" s="48"/>
      <c r="D191" s="344">
        <f>-C55</f>
        <v>23719.903333333332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5.75" customHeight="1">
      <c r="A193" s="48"/>
      <c r="B193" s="485" t="s">
        <v>1253</v>
      </c>
      <c r="C193" s="436"/>
      <c r="D193" s="436"/>
      <c r="E193" s="436"/>
      <c r="F193" s="436"/>
      <c r="G193" s="437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5.75" customHeight="1">
      <c r="A194" s="48"/>
      <c r="B194" s="48" t="s">
        <v>1254</v>
      </c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5.75" customHeight="1">
      <c r="A195" s="48"/>
      <c r="B195" s="481" t="s">
        <v>1255</v>
      </c>
      <c r="C195" s="431"/>
      <c r="D195" s="431"/>
      <c r="E195" s="431"/>
      <c r="F195" s="431"/>
      <c r="G195" s="431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5.75" customHeight="1">
      <c r="A196" s="48"/>
      <c r="B196" s="487" t="s">
        <v>1256</v>
      </c>
      <c r="C196" s="488" t="s">
        <v>265</v>
      </c>
      <c r="D196" s="463"/>
      <c r="E196" s="463"/>
      <c r="F196" s="463"/>
      <c r="G196" s="464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5.75" customHeight="1">
      <c r="A197" s="48"/>
      <c r="B197" s="461"/>
      <c r="C197" s="331">
        <v>1</v>
      </c>
      <c r="D197" s="331">
        <v>2</v>
      </c>
      <c r="E197" s="331">
        <v>3</v>
      </c>
      <c r="F197" s="331">
        <v>4</v>
      </c>
      <c r="G197" s="331">
        <v>5</v>
      </c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5.75" customHeight="1">
      <c r="A198" s="48"/>
      <c r="B198" s="332" t="s">
        <v>1257</v>
      </c>
      <c r="C198" s="333">
        <f>'Estudio ADEK'!D625</f>
        <v>183053.5155849595</v>
      </c>
      <c r="D198" s="333">
        <f>'Estudio ADEK'!E625</f>
        <v>187661.74766317962</v>
      </c>
      <c r="E198" s="333">
        <f>'Estudio ADEK'!F625</f>
        <v>188761.84035717041</v>
      </c>
      <c r="F198" s="333">
        <f>'Estudio ADEK'!G625</f>
        <v>190017.22931480996</v>
      </c>
      <c r="G198" s="333">
        <f>'Estudio ADEK'!H625</f>
        <v>202356.16225598642</v>
      </c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5.75" customHeight="1">
      <c r="A199" s="48"/>
      <c r="B199" s="332" t="s">
        <v>1207</v>
      </c>
      <c r="C199" s="363">
        <f>D188</f>
        <v>0.12237112523208871</v>
      </c>
      <c r="D199" s="333">
        <f>1+C199</f>
        <v>1.1223711252320887</v>
      </c>
      <c r="E199" s="331"/>
      <c r="F199" s="331"/>
      <c r="G199" s="331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5.75" customHeight="1">
      <c r="A200" s="48"/>
      <c r="B200" s="332" t="s">
        <v>1208</v>
      </c>
      <c r="C200" s="331" t="s">
        <v>1209</v>
      </c>
      <c r="D200" s="331"/>
      <c r="E200" s="331"/>
      <c r="F200" s="331"/>
      <c r="G200" s="331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5.75" customHeight="1">
      <c r="A201" s="48"/>
      <c r="B201" s="332" t="s">
        <v>1258</v>
      </c>
      <c r="C201" s="331"/>
      <c r="D201" s="331"/>
      <c r="E201" s="331"/>
      <c r="F201" s="331"/>
      <c r="G201" s="331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5.75" customHeight="1">
      <c r="A202" s="48"/>
      <c r="B202" s="332" t="s">
        <v>1259</v>
      </c>
      <c r="C202" s="333">
        <f>D199^1</f>
        <v>1.1223711252320887</v>
      </c>
      <c r="D202" s="333">
        <f>D199^2</f>
        <v>1.259716942754745</v>
      </c>
      <c r="E202" s="333">
        <f>D199^3</f>
        <v>1.4138699225135698</v>
      </c>
      <c r="F202" s="333">
        <f>D199^4</f>
        <v>1.5868867758633616</v>
      </c>
      <c r="G202" s="333">
        <f>D199^5</f>
        <v>1.7810758962416824</v>
      </c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5.75" customHeight="1">
      <c r="A203" s="48"/>
      <c r="B203" s="332"/>
      <c r="C203" s="333">
        <f t="shared" ref="C203:G203" si="10">C198/C202</f>
        <v>163095.35363991739</v>
      </c>
      <c r="D203" s="333">
        <f t="shared" si="10"/>
        <v>148971.36117960079</v>
      </c>
      <c r="E203" s="333">
        <f t="shared" si="10"/>
        <v>133507.21827478352</v>
      </c>
      <c r="F203" s="333">
        <f t="shared" si="10"/>
        <v>119742.1468279797</v>
      </c>
      <c r="G203" s="333">
        <f t="shared" si="10"/>
        <v>113614.56447924877</v>
      </c>
      <c r="H203" s="337">
        <f>SUM(C203:G203)</f>
        <v>678930.64440153004</v>
      </c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5.75" customHeight="1">
      <c r="A205" s="48"/>
      <c r="B205" s="48" t="s">
        <v>1260</v>
      </c>
      <c r="C205" s="337">
        <f>C55</f>
        <v>-23719.903333333332</v>
      </c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5.75" customHeight="1">
      <c r="A206" s="48"/>
      <c r="B206" s="48"/>
      <c r="C206" s="367">
        <f>H203</f>
        <v>678930.64440153004</v>
      </c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5.75" customHeight="1">
      <c r="A207" s="48"/>
      <c r="B207" s="47" t="s">
        <v>1182</v>
      </c>
      <c r="C207" s="368">
        <f>SUM(C205:C206)</f>
        <v>655210.74106819672</v>
      </c>
      <c r="D207" s="48" t="s">
        <v>1261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5.75" customHeight="1">
      <c r="A208" s="48"/>
      <c r="B208" s="99"/>
      <c r="C208" s="369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5.75" customHeight="1">
      <c r="A209" s="48"/>
      <c r="B209" s="489" t="s">
        <v>1188</v>
      </c>
      <c r="C209" s="436"/>
      <c r="D209" s="436"/>
      <c r="E209" s="436"/>
      <c r="F209" s="436"/>
      <c r="G209" s="436"/>
      <c r="H209" s="436"/>
      <c r="I209" s="437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5.75" customHeight="1">
      <c r="A210" s="48"/>
      <c r="B210" s="490" t="s">
        <v>1189</v>
      </c>
      <c r="C210" s="431"/>
      <c r="D210" s="490" t="s">
        <v>1190</v>
      </c>
      <c r="E210" s="431"/>
      <c r="F210" s="431"/>
      <c r="G210" s="431"/>
      <c r="H210" s="431"/>
      <c r="I210" s="431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5.75" customHeight="1">
      <c r="A211" s="48"/>
      <c r="B211" s="48"/>
      <c r="C211" s="48"/>
      <c r="D211" s="486" t="s">
        <v>1191</v>
      </c>
      <c r="E211" s="431"/>
      <c r="F211" s="431"/>
      <c r="G211" s="431"/>
      <c r="H211" s="431"/>
      <c r="I211" s="431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5.75" customHeight="1">
      <c r="A213" s="48"/>
      <c r="B213" s="48" t="s">
        <v>1192</v>
      </c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5.75" customHeight="1">
      <c r="A214" s="48"/>
      <c r="B214" s="48" t="s">
        <v>1193</v>
      </c>
      <c r="C214" s="328">
        <f>C55</f>
        <v>-23719.903333333332</v>
      </c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5.75" customHeight="1">
      <c r="A215" s="48"/>
      <c r="B215" s="48" t="s">
        <v>1194</v>
      </c>
      <c r="C215" s="328">
        <f>C198</f>
        <v>183053.5155849595</v>
      </c>
      <c r="D215" s="341" t="s">
        <v>1182</v>
      </c>
      <c r="E215" s="342">
        <f t="array" ref="E215">C214+NPV(C221,C215:C219)</f>
        <v>655210.74106819683</v>
      </c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5.75" customHeight="1">
      <c r="A216" s="48"/>
      <c r="B216" s="48" t="s">
        <v>1195</v>
      </c>
      <c r="C216" s="328">
        <f>D198</f>
        <v>187661.74766317962</v>
      </c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5.75" customHeight="1">
      <c r="A217" s="48"/>
      <c r="B217" s="48" t="s">
        <v>1196</v>
      </c>
      <c r="C217" s="328">
        <f>E198</f>
        <v>188761.84035717041</v>
      </c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5.75" customHeight="1">
      <c r="A218" s="48"/>
      <c r="B218" s="48" t="s">
        <v>1197</v>
      </c>
      <c r="C218" s="328">
        <f>F198</f>
        <v>190017.22931480996</v>
      </c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5.75" customHeight="1">
      <c r="A219" s="48"/>
      <c r="B219" s="48" t="s">
        <v>1198</v>
      </c>
      <c r="C219" s="328">
        <f>G198</f>
        <v>202356.16225598642</v>
      </c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5.75" customHeight="1">
      <c r="A220" s="48"/>
      <c r="B220" s="48" t="s">
        <v>1199</v>
      </c>
      <c r="C220" s="132">
        <v>5</v>
      </c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5.75" customHeight="1">
      <c r="A221" s="48"/>
      <c r="B221" s="48" t="s">
        <v>1200</v>
      </c>
      <c r="C221" s="343">
        <f>C199</f>
        <v>0.12237112523208871</v>
      </c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5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5.75" customHeight="1">
      <c r="A223" s="48"/>
      <c r="B223" s="487" t="s">
        <v>1229</v>
      </c>
      <c r="C223" s="487" t="s">
        <v>1230</v>
      </c>
      <c r="D223" s="488" t="s">
        <v>1231</v>
      </c>
      <c r="E223" s="464"/>
      <c r="F223" s="487" t="s">
        <v>1232</v>
      </c>
      <c r="G223" s="487" t="s">
        <v>1233</v>
      </c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5.75" customHeight="1">
      <c r="A224" s="48"/>
      <c r="B224" s="461"/>
      <c r="C224" s="461"/>
      <c r="D224" s="331" t="s">
        <v>1234</v>
      </c>
      <c r="E224" s="331" t="s">
        <v>1235</v>
      </c>
      <c r="F224" s="461"/>
      <c r="G224" s="461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5.75" customHeight="1">
      <c r="A225" s="48"/>
      <c r="B225" s="332" t="s">
        <v>1006</v>
      </c>
      <c r="C225" s="333">
        <f t="shared" ref="C225:E225" si="11">C171</f>
        <v>-18000</v>
      </c>
      <c r="D225" s="362">
        <f t="shared" si="11"/>
        <v>0.215</v>
      </c>
      <c r="E225" s="362">
        <f t="shared" si="11"/>
        <v>0.14404999999999998</v>
      </c>
      <c r="F225" s="333">
        <f>C225/C227</f>
        <v>1.4657865071094716</v>
      </c>
      <c r="G225" s="333">
        <f t="shared" ref="G225:G226" si="12">E225*F225</f>
        <v>0.21114654634911936</v>
      </c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5.75" customHeight="1">
      <c r="A226" s="48"/>
      <c r="B226" s="332" t="s">
        <v>1236</v>
      </c>
      <c r="C226" s="333">
        <f t="shared" ref="C226:D226" si="13">C172</f>
        <v>5719.9033333333318</v>
      </c>
      <c r="D226" s="363">
        <f t="shared" si="13"/>
        <v>0.1424</v>
      </c>
      <c r="E226" s="362">
        <f>D226</f>
        <v>0.1424</v>
      </c>
      <c r="F226" s="333">
        <f>C226/C227</f>
        <v>-0.46578650710947156</v>
      </c>
      <c r="G226" s="333">
        <f t="shared" si="12"/>
        <v>-6.632799861238875E-2</v>
      </c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5.75" customHeight="1">
      <c r="A227" s="48"/>
      <c r="B227" s="332" t="s">
        <v>47</v>
      </c>
      <c r="C227" s="333">
        <f>SUM(C225:C226)</f>
        <v>-12280.096666666668</v>
      </c>
      <c r="D227" s="331"/>
      <c r="E227" s="331"/>
      <c r="F227" s="333">
        <f t="shared" ref="F227:G227" si="14">SUM(F225:F226)</f>
        <v>1</v>
      </c>
      <c r="G227" s="362">
        <f t="shared" si="14"/>
        <v>0.14481854773673061</v>
      </c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5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5.75" customHeight="1">
      <c r="A229" s="48"/>
      <c r="B229" s="48" t="s">
        <v>1242</v>
      </c>
      <c r="C229" s="48"/>
      <c r="D229" s="48"/>
      <c r="E229" s="48"/>
      <c r="F229" s="48"/>
      <c r="G229" s="364">
        <f>G227</f>
        <v>0.14481854773673061</v>
      </c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5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5.75" customHeight="1">
      <c r="A231" s="48"/>
      <c r="B231" s="485" t="s">
        <v>1262</v>
      </c>
      <c r="C231" s="436"/>
      <c r="D231" s="436"/>
      <c r="E231" s="436"/>
      <c r="F231" s="436"/>
      <c r="G231" s="437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5.75" customHeight="1">
      <c r="A232" s="48"/>
      <c r="B232" s="347" t="s">
        <v>1205</v>
      </c>
      <c r="C232" s="348"/>
      <c r="D232" s="348"/>
      <c r="E232" s="348"/>
      <c r="F232" s="348"/>
      <c r="G232" s="348"/>
      <c r="H232" s="349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5.75" customHeight="1">
      <c r="A233" s="48"/>
      <c r="B233" s="350" t="s">
        <v>265</v>
      </c>
      <c r="C233" s="350">
        <v>1</v>
      </c>
      <c r="D233" s="350">
        <v>2</v>
      </c>
      <c r="E233" s="350">
        <v>3</v>
      </c>
      <c r="F233" s="350">
        <v>4</v>
      </c>
      <c r="G233" s="350">
        <v>5</v>
      </c>
      <c r="H233" s="332"/>
      <c r="I233" s="345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5.75" customHeight="1">
      <c r="A234" s="48"/>
      <c r="B234" s="351" t="s">
        <v>1206</v>
      </c>
      <c r="C234" s="333">
        <f t="shared" ref="C234:G234" si="15">C198</f>
        <v>183053.5155849595</v>
      </c>
      <c r="D234" s="333">
        <f t="shared" si="15"/>
        <v>187661.74766317962</v>
      </c>
      <c r="E234" s="333">
        <f t="shared" si="15"/>
        <v>188761.84035717041</v>
      </c>
      <c r="F234" s="333">
        <f t="shared" si="15"/>
        <v>190017.22931480996</v>
      </c>
      <c r="G234" s="333">
        <f t="shared" si="15"/>
        <v>202356.16225598642</v>
      </c>
      <c r="H234" s="333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5.75" customHeight="1">
      <c r="A235" s="48"/>
      <c r="B235" s="351" t="s">
        <v>1207</v>
      </c>
      <c r="C235" s="352">
        <v>0.7</v>
      </c>
      <c r="D235" s="333">
        <f>C235+1</f>
        <v>1.7</v>
      </c>
      <c r="E235" s="353"/>
      <c r="F235" s="353"/>
      <c r="G235" s="353"/>
      <c r="H235" s="353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5.75" customHeight="1">
      <c r="A236" s="48"/>
      <c r="B236" s="351" t="s">
        <v>1208</v>
      </c>
      <c r="C236" s="353" t="s">
        <v>1209</v>
      </c>
      <c r="D236" s="353"/>
      <c r="E236" s="353"/>
      <c r="F236" s="353"/>
      <c r="G236" s="353"/>
      <c r="H236" s="353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5.75" customHeight="1">
      <c r="A237" s="48"/>
      <c r="B237" s="332" t="s">
        <v>1210</v>
      </c>
      <c r="C237" s="333">
        <f>D235</f>
        <v>1.7</v>
      </c>
      <c r="D237" s="333">
        <f>C237^2</f>
        <v>2.8899999999999997</v>
      </c>
      <c r="E237" s="333">
        <f>C237^3</f>
        <v>4.9129999999999994</v>
      </c>
      <c r="F237" s="333">
        <f>C237^4</f>
        <v>8.3520999999999983</v>
      </c>
      <c r="G237" s="333">
        <f>C237^5</f>
        <v>14.198569999999997</v>
      </c>
      <c r="H237" s="333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5.75" customHeight="1">
      <c r="A238" s="48"/>
      <c r="B238" s="354"/>
      <c r="C238" s="333">
        <f t="shared" ref="C238:G238" si="16">C234/C237</f>
        <v>107678.53857938794</v>
      </c>
      <c r="D238" s="333">
        <f t="shared" si="16"/>
        <v>64934.860783107142</v>
      </c>
      <c r="E238" s="333">
        <f t="shared" si="16"/>
        <v>38420.89158501332</v>
      </c>
      <c r="F238" s="333">
        <f t="shared" si="16"/>
        <v>22750.832642665915</v>
      </c>
      <c r="G238" s="333">
        <f t="shared" si="16"/>
        <v>14251.869185135296</v>
      </c>
      <c r="H238" s="333">
        <f>SUM(C238:G238)</f>
        <v>248036.99277530963</v>
      </c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5.75" customHeight="1">
      <c r="A239" s="48"/>
      <c r="B239" s="48"/>
      <c r="C239" s="355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5.75" customHeight="1">
      <c r="A240" s="48"/>
      <c r="B240" s="48" t="s">
        <v>1211</v>
      </c>
      <c r="C240" s="356"/>
      <c r="D240" s="328">
        <f>C55</f>
        <v>-23719.903333333332</v>
      </c>
      <c r="E240" s="48"/>
      <c r="F240" s="48"/>
      <c r="G240" s="48"/>
      <c r="H240" s="357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5.75" customHeight="1">
      <c r="A241" s="48"/>
      <c r="B241" s="48"/>
      <c r="C241" s="356"/>
      <c r="D241" s="370">
        <f>H238</f>
        <v>248036.99277530963</v>
      </c>
      <c r="E241" s="48"/>
      <c r="F241" s="48"/>
      <c r="G241" s="48"/>
      <c r="H241" s="357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5.75" customHeight="1">
      <c r="A242" s="48"/>
      <c r="B242" s="48"/>
      <c r="C242" s="356" t="s">
        <v>1182</v>
      </c>
      <c r="D242" s="328">
        <f>D240+D241</f>
        <v>224317.08944197631</v>
      </c>
      <c r="E242" s="48"/>
      <c r="F242" s="48"/>
      <c r="G242" s="48"/>
      <c r="H242" s="357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5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5.75" customHeight="1">
      <c r="A244" s="48"/>
      <c r="B244" s="347" t="s">
        <v>1212</v>
      </c>
      <c r="C244" s="348"/>
      <c r="D244" s="348"/>
      <c r="E244" s="348"/>
      <c r="F244" s="348"/>
      <c r="G244" s="348"/>
      <c r="H244" s="349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5.75" customHeight="1">
      <c r="A245" s="48"/>
      <c r="B245" s="350" t="s">
        <v>265</v>
      </c>
      <c r="C245" s="350">
        <v>1</v>
      </c>
      <c r="D245" s="350">
        <v>2</v>
      </c>
      <c r="E245" s="350">
        <v>3</v>
      </c>
      <c r="F245" s="350">
        <v>4</v>
      </c>
      <c r="G245" s="350">
        <v>5</v>
      </c>
      <c r="H245" s="332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5.75" customHeight="1">
      <c r="A246" s="48"/>
      <c r="B246" s="351" t="s">
        <v>1206</v>
      </c>
      <c r="C246" s="333">
        <f t="shared" ref="C246:G246" si="17">C234</f>
        <v>183053.5155849595</v>
      </c>
      <c r="D246" s="333">
        <f t="shared" si="17"/>
        <v>187661.74766317962</v>
      </c>
      <c r="E246" s="333">
        <f t="shared" si="17"/>
        <v>188761.84035717041</v>
      </c>
      <c r="F246" s="333">
        <f t="shared" si="17"/>
        <v>190017.22931480996</v>
      </c>
      <c r="G246" s="333">
        <f t="shared" si="17"/>
        <v>202356.16225598642</v>
      </c>
      <c r="H246" s="333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5.75" customHeight="1">
      <c r="A247" s="48"/>
      <c r="B247" s="351" t="s">
        <v>1207</v>
      </c>
      <c r="C247" s="352">
        <v>0.69</v>
      </c>
      <c r="D247" s="333">
        <f>1+C247</f>
        <v>1.69</v>
      </c>
      <c r="E247" s="353"/>
      <c r="F247" s="353"/>
      <c r="G247" s="353"/>
      <c r="H247" s="353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5.75" customHeight="1">
      <c r="A248" s="48"/>
      <c r="B248" s="351" t="s">
        <v>1208</v>
      </c>
      <c r="C248" s="353" t="s">
        <v>1209</v>
      </c>
      <c r="D248" s="353"/>
      <c r="E248" s="353"/>
      <c r="F248" s="353"/>
      <c r="G248" s="353"/>
      <c r="H248" s="353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5.75" customHeight="1">
      <c r="A249" s="48"/>
      <c r="B249" s="332" t="s">
        <v>1210</v>
      </c>
      <c r="C249" s="333">
        <f>D247</f>
        <v>1.69</v>
      </c>
      <c r="D249" s="333">
        <f>C249^2</f>
        <v>2.8560999999999996</v>
      </c>
      <c r="E249" s="333">
        <f>C249^3</f>
        <v>4.826808999999999</v>
      </c>
      <c r="F249" s="333">
        <f>C249^4</f>
        <v>8.1573072099999973</v>
      </c>
      <c r="G249" s="333">
        <f>C249^5</f>
        <v>13.785849184899995</v>
      </c>
      <c r="H249" s="333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5.75" customHeight="1">
      <c r="A250" s="48"/>
      <c r="B250" s="354"/>
      <c r="C250" s="333">
        <f t="shared" ref="C250:G250" si="18">C246/C249</f>
        <v>108315.68969524231</v>
      </c>
      <c r="D250" s="333">
        <f t="shared" si="18"/>
        <v>65705.594224004642</v>
      </c>
      <c r="E250" s="333">
        <f t="shared" si="18"/>
        <v>39106.962872815238</v>
      </c>
      <c r="F250" s="333">
        <f t="shared" si="18"/>
        <v>23294.112189604541</v>
      </c>
      <c r="G250" s="333">
        <f t="shared" si="18"/>
        <v>14678.541709105049</v>
      </c>
      <c r="H250" s="333">
        <f>SUM(C250:G250)</f>
        <v>251100.90069077178</v>
      </c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5.75" customHeight="1">
      <c r="A251" s="48"/>
      <c r="B251" s="48"/>
      <c r="C251" s="356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5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5.75" customHeight="1">
      <c r="A253" s="48"/>
      <c r="B253" s="48" t="s">
        <v>1211</v>
      </c>
      <c r="C253" s="356"/>
      <c r="D253" s="328">
        <v>-21123832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5.75" customHeight="1">
      <c r="A254" s="48"/>
      <c r="B254" s="48"/>
      <c r="C254" s="356"/>
      <c r="D254" s="370">
        <f>H250</f>
        <v>251100.90069077178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5.75" customHeight="1">
      <c r="A255" s="48"/>
      <c r="B255" s="48"/>
      <c r="C255" s="356" t="s">
        <v>1182</v>
      </c>
      <c r="D255" s="328">
        <f>SUM(D253:D254)</f>
        <v>-20872731.099309228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5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5.75" customHeight="1">
      <c r="A257" s="48"/>
      <c r="B257" s="331" t="s">
        <v>1214</v>
      </c>
      <c r="C257" s="331" t="s">
        <v>1215</v>
      </c>
      <c r="D257" s="331" t="s">
        <v>1216</v>
      </c>
      <c r="E257" s="331" t="s">
        <v>1217</v>
      </c>
      <c r="F257" s="331" t="s">
        <v>1218</v>
      </c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5.75" customHeight="1">
      <c r="A258" s="48"/>
      <c r="B258" s="358">
        <f>C235</f>
        <v>0.7</v>
      </c>
      <c r="C258" s="333">
        <f>-D242</f>
        <v>-224317.08944197631</v>
      </c>
      <c r="D258" s="358">
        <f>-D241/D240</f>
        <v>10.456914148834066</v>
      </c>
      <c r="E258" s="333">
        <f t="shared" ref="E258:E259" si="19">D258</f>
        <v>10.456914148834066</v>
      </c>
      <c r="F258" s="333">
        <f>70+E258</f>
        <v>80.456914148834073</v>
      </c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5.75" customHeight="1">
      <c r="A259" s="48"/>
      <c r="B259" s="358">
        <f>C247</f>
        <v>0.69</v>
      </c>
      <c r="C259" s="333">
        <f>D255</f>
        <v>-20872731.099309228</v>
      </c>
      <c r="D259" s="358">
        <f>100%-D258</f>
        <v>-9.4569141488340662</v>
      </c>
      <c r="E259" s="333">
        <f t="shared" si="19"/>
        <v>-9.4569141488340662</v>
      </c>
      <c r="F259" s="333">
        <f>69+E259</f>
        <v>59.543085851165934</v>
      </c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5.75" customHeight="1">
      <c r="A260" s="48"/>
      <c r="B260" s="358">
        <f>B258-B259</f>
        <v>1.0000000000000009E-2</v>
      </c>
      <c r="C260" s="333">
        <f>-SUM(C258:C259)</f>
        <v>21097048.188751206</v>
      </c>
      <c r="D260" s="358">
        <f t="shared" ref="D260:E260" si="20">SUM(D258:D259)</f>
        <v>1</v>
      </c>
      <c r="E260" s="333">
        <f t="shared" si="20"/>
        <v>1</v>
      </c>
      <c r="F260" s="333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5.75" customHeight="1">
      <c r="A261" s="48"/>
      <c r="B261" s="489" t="s">
        <v>1219</v>
      </c>
      <c r="C261" s="436"/>
      <c r="D261" s="436"/>
      <c r="E261" s="436"/>
      <c r="F261" s="436"/>
      <c r="G261" s="436"/>
      <c r="H261" s="436"/>
      <c r="I261" s="437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5.75" customHeight="1">
      <c r="A262" s="48"/>
      <c r="B262" s="345"/>
      <c r="C262" s="355"/>
      <c r="D262" s="345"/>
      <c r="E262" s="337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5.75" customHeight="1">
      <c r="A263" s="48"/>
      <c r="B263" s="345" t="s">
        <v>1220</v>
      </c>
      <c r="C263" s="328">
        <f>C55</f>
        <v>-23719.903333333332</v>
      </c>
      <c r="D263" s="345"/>
      <c r="E263" s="337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5.75" customHeight="1">
      <c r="A264" s="48"/>
      <c r="B264" s="345" t="s">
        <v>1221</v>
      </c>
      <c r="C264" s="328">
        <f>C234</f>
        <v>183053.5155849595</v>
      </c>
      <c r="D264" s="345"/>
      <c r="E264" s="337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5.75" customHeight="1">
      <c r="A265" s="48"/>
      <c r="B265" s="345" t="s">
        <v>1222</v>
      </c>
      <c r="C265" s="328">
        <f>D234</f>
        <v>187661.74766317962</v>
      </c>
      <c r="D265" s="359" t="s">
        <v>1223</v>
      </c>
      <c r="E265" s="360">
        <f>IRR(C263:C268)</f>
        <v>7.7401324491261114</v>
      </c>
      <c r="F265" s="361">
        <f>E265</f>
        <v>7.7401324491261114</v>
      </c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5.75" customHeight="1">
      <c r="A266" s="48"/>
      <c r="B266" s="345" t="s">
        <v>1224</v>
      </c>
      <c r="C266" s="328">
        <f>E246</f>
        <v>188761.84035717041</v>
      </c>
      <c r="D266" s="345"/>
      <c r="E266" s="337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5.75" customHeight="1">
      <c r="A267" s="48"/>
      <c r="B267" s="345" t="s">
        <v>1225</v>
      </c>
      <c r="C267" s="328">
        <f>F246</f>
        <v>190017.22931480996</v>
      </c>
      <c r="D267" s="345"/>
      <c r="E267" s="337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5.75" customHeight="1">
      <c r="A268" s="48"/>
      <c r="B268" s="345" t="s">
        <v>1226</v>
      </c>
      <c r="C268" s="328">
        <f>G234</f>
        <v>202356.16225598642</v>
      </c>
      <c r="D268" s="345"/>
      <c r="E268" s="337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5.75" customHeight="1">
      <c r="A269" s="48"/>
      <c r="B269" s="345"/>
      <c r="C269" s="355"/>
      <c r="D269" s="345"/>
      <c r="E269" s="337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5.75" customHeight="1">
      <c r="A270" s="48"/>
      <c r="B270" s="502" t="s">
        <v>1263</v>
      </c>
      <c r="C270" s="436"/>
      <c r="D270" s="436"/>
      <c r="E270" s="436"/>
      <c r="F270" s="436"/>
      <c r="G270" s="437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5.75" customHeight="1">
      <c r="A271" s="48"/>
      <c r="B271" s="503" t="s">
        <v>1256</v>
      </c>
      <c r="C271" s="504" t="s">
        <v>265</v>
      </c>
      <c r="D271" s="505"/>
      <c r="E271" s="505"/>
      <c r="F271" s="505"/>
      <c r="G271" s="506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5.75" customHeight="1">
      <c r="A272" s="48"/>
      <c r="B272" s="461"/>
      <c r="C272" s="331">
        <v>1</v>
      </c>
      <c r="D272" s="331">
        <v>2</v>
      </c>
      <c r="E272" s="331">
        <v>3</v>
      </c>
      <c r="F272" s="331">
        <v>4</v>
      </c>
      <c r="G272" s="331">
        <v>5</v>
      </c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5.75" customHeight="1">
      <c r="A273" s="48"/>
      <c r="B273" s="332" t="s">
        <v>1257</v>
      </c>
      <c r="C273" s="371">
        <f>'Estudio ADEK'!D665</f>
        <v>178165.23906186598</v>
      </c>
      <c r="D273" s="371">
        <f>'Estudio ADEK'!E665</f>
        <v>181953.12023569152</v>
      </c>
      <c r="E273" s="371">
        <f>'Estudio ADEK'!F665</f>
        <v>176783.92970511166</v>
      </c>
      <c r="F273" s="371">
        <f>'Estudio ADEK'!G665</f>
        <v>190017.22931480996</v>
      </c>
      <c r="G273" s="371">
        <f>'Estudio ADEK'!H665</f>
        <v>204232.41032321329</v>
      </c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5.75" customHeight="1">
      <c r="A274" s="48"/>
      <c r="B274" s="332" t="s">
        <v>1207</v>
      </c>
      <c r="C274" s="363">
        <f>C199</f>
        <v>0.12237112523208871</v>
      </c>
      <c r="D274" s="363">
        <f>1+C274</f>
        <v>1.1223711252320887</v>
      </c>
      <c r="E274" s="331"/>
      <c r="F274" s="331"/>
      <c r="G274" s="331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5.75" customHeight="1">
      <c r="A275" s="48"/>
      <c r="B275" s="332" t="s">
        <v>1208</v>
      </c>
      <c r="C275" s="331" t="s">
        <v>1209</v>
      </c>
      <c r="D275" s="331"/>
      <c r="E275" s="331"/>
      <c r="F275" s="331"/>
      <c r="G275" s="331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5.75" customHeight="1">
      <c r="A276" s="48"/>
      <c r="B276" s="332" t="s">
        <v>1258</v>
      </c>
      <c r="C276" s="331"/>
      <c r="D276" s="331"/>
      <c r="E276" s="331"/>
      <c r="F276" s="331"/>
      <c r="G276" s="331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5.75" customHeight="1">
      <c r="A277" s="48"/>
      <c r="B277" s="332" t="s">
        <v>1259</v>
      </c>
      <c r="C277" s="331">
        <f>D274^1</f>
        <v>1.1223711252320887</v>
      </c>
      <c r="D277" s="331">
        <f>D274^2</f>
        <v>1.259716942754745</v>
      </c>
      <c r="E277" s="331">
        <f>D274^3</f>
        <v>1.4138699225135698</v>
      </c>
      <c r="F277" s="331">
        <f>D274^4</f>
        <v>1.5868867758633616</v>
      </c>
      <c r="G277" s="331">
        <f>D274^5</f>
        <v>1.7810758962416824</v>
      </c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5.75" customHeight="1">
      <c r="A278" s="48"/>
      <c r="B278" s="332"/>
      <c r="C278" s="371">
        <f t="shared" ref="C278:G278" si="21">C273/C277</f>
        <v>158740.04155713131</v>
      </c>
      <c r="D278" s="371">
        <f t="shared" si="21"/>
        <v>144439.68645670274</v>
      </c>
      <c r="E278" s="371">
        <f t="shared" si="21"/>
        <v>125035.49788429349</v>
      </c>
      <c r="F278" s="371">
        <f t="shared" si="21"/>
        <v>119742.1468279797</v>
      </c>
      <c r="G278" s="371">
        <f t="shared" si="21"/>
        <v>114667.99969286658</v>
      </c>
      <c r="H278" s="337">
        <f>SUM(C278:G278)</f>
        <v>662625.37241897383</v>
      </c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5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5.75" customHeight="1">
      <c r="A280" s="48"/>
      <c r="B280" s="48" t="s">
        <v>1260</v>
      </c>
      <c r="C280" s="328">
        <f>C55</f>
        <v>-23719.903333333332</v>
      </c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5.75" customHeight="1">
      <c r="A281" s="48"/>
      <c r="B281" s="48"/>
      <c r="C281" s="370">
        <f>H278</f>
        <v>662625.37241897383</v>
      </c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5.75" customHeight="1">
      <c r="A282" s="48"/>
      <c r="B282" s="186" t="s">
        <v>1182</v>
      </c>
      <c r="C282" s="372">
        <f>SUM(C280:C281)</f>
        <v>638905.46908564051</v>
      </c>
      <c r="D282" s="48" t="s">
        <v>1261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5.75" customHeight="1">
      <c r="A283" s="48"/>
      <c r="B283" s="99"/>
      <c r="C283" s="369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5.75" customHeight="1">
      <c r="A284" s="48"/>
      <c r="B284" s="489" t="s">
        <v>1188</v>
      </c>
      <c r="C284" s="436"/>
      <c r="D284" s="436"/>
      <c r="E284" s="436"/>
      <c r="F284" s="436"/>
      <c r="G284" s="436"/>
      <c r="H284" s="436"/>
      <c r="I284" s="437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5.75" customHeight="1">
      <c r="A285" s="48"/>
      <c r="B285" s="48" t="s">
        <v>1189</v>
      </c>
      <c r="C285" s="48"/>
      <c r="D285" s="491" t="s">
        <v>1190</v>
      </c>
      <c r="E285" s="431"/>
      <c r="F285" s="431"/>
      <c r="G285" s="431"/>
      <c r="H285" s="431"/>
      <c r="I285" s="431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5.75" customHeight="1">
      <c r="A286" s="48"/>
      <c r="B286" s="48"/>
      <c r="C286" s="48"/>
      <c r="D286" s="497" t="s">
        <v>1191</v>
      </c>
      <c r="E286" s="431"/>
      <c r="F286" s="431"/>
      <c r="G286" s="431"/>
      <c r="H286" s="431"/>
      <c r="I286" s="431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5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5.75" customHeight="1">
      <c r="A288" s="48"/>
      <c r="B288" s="48" t="s">
        <v>1192</v>
      </c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5.75" customHeight="1">
      <c r="A289" s="48"/>
      <c r="B289" s="48" t="s">
        <v>1193</v>
      </c>
      <c r="C289" s="328">
        <f>C55</f>
        <v>-23719.903333333332</v>
      </c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5.75" customHeight="1">
      <c r="A290" s="48"/>
      <c r="B290" s="48" t="s">
        <v>1194</v>
      </c>
      <c r="C290" s="328">
        <f>C273</f>
        <v>178165.23906186598</v>
      </c>
      <c r="D290" s="341" t="s">
        <v>1182</v>
      </c>
      <c r="E290" s="342">
        <f t="array" ref="E290">C289+NPV(C296,C290:C294)</f>
        <v>638905.46908564051</v>
      </c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5.75" customHeight="1">
      <c r="A291" s="48"/>
      <c r="B291" s="48" t="s">
        <v>1195</v>
      </c>
      <c r="C291" s="328">
        <f>D273</f>
        <v>181953.12023569152</v>
      </c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5.75" customHeight="1">
      <c r="A292" s="48"/>
      <c r="B292" s="48" t="s">
        <v>1196</v>
      </c>
      <c r="C292" s="328">
        <f>E273</f>
        <v>176783.92970511166</v>
      </c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5.75" customHeight="1">
      <c r="A293" s="48"/>
      <c r="B293" s="48" t="s">
        <v>1197</v>
      </c>
      <c r="C293" s="328">
        <f>F273</f>
        <v>190017.22931480996</v>
      </c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5.75" customHeight="1">
      <c r="A294" s="48"/>
      <c r="B294" s="48" t="s">
        <v>1198</v>
      </c>
      <c r="C294" s="328">
        <f>G273</f>
        <v>204232.41032321329</v>
      </c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5.75" customHeight="1">
      <c r="A295" s="48"/>
      <c r="B295" s="48" t="s">
        <v>1199</v>
      </c>
      <c r="C295" s="132">
        <v>5</v>
      </c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5.75" customHeight="1">
      <c r="A296" s="48"/>
      <c r="B296" s="48" t="s">
        <v>1200</v>
      </c>
      <c r="C296" s="373">
        <f>C274</f>
        <v>0.12237112523208871</v>
      </c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5.75" customHeight="1">
      <c r="A297" s="48"/>
      <c r="B297" s="99"/>
      <c r="C297" s="369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5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5.75" customHeight="1">
      <c r="A299" s="48"/>
      <c r="B299" s="99" t="s">
        <v>1264</v>
      </c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5.75" customHeight="1">
      <c r="A300" s="48"/>
      <c r="B300" s="99" t="s">
        <v>1265</v>
      </c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30" customHeight="1">
      <c r="A301" s="48"/>
      <c r="B301" s="47" t="s">
        <v>1266</v>
      </c>
      <c r="C301" s="254"/>
      <c r="D301" s="175">
        <f>C78</f>
        <v>616433.41443430842</v>
      </c>
      <c r="E301" s="507" t="s">
        <v>1267</v>
      </c>
      <c r="F301" s="431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5.75" customHeight="1">
      <c r="A302" s="48"/>
      <c r="B302" s="47" t="s">
        <v>1268</v>
      </c>
      <c r="C302" s="254"/>
      <c r="D302" s="175">
        <f>C78</f>
        <v>616433.41443430842</v>
      </c>
      <c r="E302" s="431"/>
      <c r="F302" s="431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5.75" customHeight="1">
      <c r="A303" s="48"/>
      <c r="B303" s="48"/>
      <c r="C303" s="48"/>
      <c r="D303" s="328"/>
      <c r="E303" s="431"/>
      <c r="F303" s="431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5.75" customHeight="1">
      <c r="A304" s="48"/>
      <c r="B304" s="99" t="s">
        <v>1269</v>
      </c>
      <c r="C304" s="48"/>
      <c r="D304" s="328"/>
      <c r="E304" s="431"/>
      <c r="F304" s="431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30" customHeight="1">
      <c r="A305" s="48"/>
      <c r="B305" s="174" t="s">
        <v>1266</v>
      </c>
      <c r="C305" s="240"/>
      <c r="D305" s="175">
        <f>C207</f>
        <v>655210.74106819672</v>
      </c>
      <c r="E305" s="431"/>
      <c r="F305" s="431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5.75" customHeight="1">
      <c r="A306" s="48"/>
      <c r="B306" s="174" t="s">
        <v>1268</v>
      </c>
      <c r="C306" s="240"/>
      <c r="D306" s="175">
        <f>C282</f>
        <v>638905.46908564051</v>
      </c>
      <c r="E306" s="431"/>
      <c r="F306" s="431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5.75" customHeight="1">
      <c r="A307" s="48"/>
      <c r="B307" s="41"/>
      <c r="C307" s="48"/>
      <c r="D307" s="32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75" customHeight="1">
      <c r="A308" s="48"/>
      <c r="B308" s="174" t="s">
        <v>1223</v>
      </c>
      <c r="C308" s="37"/>
      <c r="D308" s="175">
        <f>F259</f>
        <v>59.543085851165934</v>
      </c>
      <c r="E308" s="507" t="s">
        <v>1270</v>
      </c>
      <c r="F308" s="431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5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5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5.75" customHeight="1">
      <c r="A311" s="48"/>
      <c r="B311" s="485" t="s">
        <v>1271</v>
      </c>
      <c r="C311" s="436"/>
      <c r="D311" s="436"/>
      <c r="E311" s="436"/>
      <c r="F311" s="436"/>
      <c r="G311" s="437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5.75" customHeight="1">
      <c r="A312" s="48"/>
      <c r="B312" s="489" t="s">
        <v>1219</v>
      </c>
      <c r="C312" s="436"/>
      <c r="D312" s="436"/>
      <c r="E312" s="436"/>
      <c r="F312" s="436"/>
      <c r="G312" s="436"/>
      <c r="H312" s="436"/>
      <c r="I312" s="437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5.75" customHeight="1">
      <c r="A313" s="48"/>
      <c r="B313" s="345"/>
      <c r="C313" s="355"/>
      <c r="D313" s="345"/>
      <c r="E313" s="337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5.75" customHeight="1">
      <c r="A314" s="48"/>
      <c r="B314" s="345" t="s">
        <v>1220</v>
      </c>
      <c r="C314" s="328">
        <f t="shared" ref="C314:C319" si="22">C289</f>
        <v>-23719.903333333332</v>
      </c>
      <c r="D314" s="345"/>
      <c r="E314" s="337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5.75" customHeight="1">
      <c r="A315" s="48"/>
      <c r="B315" s="345" t="s">
        <v>1221</v>
      </c>
      <c r="C315" s="328">
        <f t="shared" si="22"/>
        <v>178165.23906186598</v>
      </c>
      <c r="D315" s="345"/>
      <c r="E315" s="337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5.75" customHeight="1">
      <c r="A316" s="48"/>
      <c r="B316" s="345" t="s">
        <v>1222</v>
      </c>
      <c r="C316" s="328">
        <f t="shared" si="22"/>
        <v>181953.12023569152</v>
      </c>
      <c r="D316" s="359" t="s">
        <v>1223</v>
      </c>
      <c r="E316" s="360">
        <f>IRR(C314:C319)</f>
        <v>7.5277641681269909</v>
      </c>
      <c r="F316" s="361">
        <f>E316</f>
        <v>7.5277641681269909</v>
      </c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5.75" customHeight="1">
      <c r="A317" s="48"/>
      <c r="B317" s="345" t="s">
        <v>1224</v>
      </c>
      <c r="C317" s="328">
        <f t="shared" si="22"/>
        <v>176783.92970511166</v>
      </c>
      <c r="D317" s="345"/>
      <c r="E317" s="337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5.75" customHeight="1">
      <c r="A318" s="48"/>
      <c r="B318" s="345" t="s">
        <v>1225</v>
      </c>
      <c r="C318" s="328">
        <f t="shared" si="22"/>
        <v>190017.22931480996</v>
      </c>
      <c r="D318" s="345"/>
      <c r="E318" s="337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5.75" customHeight="1">
      <c r="A319" s="48"/>
      <c r="B319" s="345" t="s">
        <v>1226</v>
      </c>
      <c r="C319" s="328">
        <f t="shared" si="22"/>
        <v>204232.41032321329</v>
      </c>
      <c r="D319" s="345"/>
      <c r="E319" s="337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5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5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5.75" customHeight="1">
      <c r="A322" s="48"/>
      <c r="B322" s="500" t="s">
        <v>1272</v>
      </c>
      <c r="C322" s="431"/>
      <c r="D322" s="48"/>
      <c r="E322" s="48"/>
      <c r="F322" s="48">
        <f>'Estudio ADEK'!C206/'Estudio ADEK'!C210</f>
        <v>2.1646200343071857</v>
      </c>
      <c r="G322" s="490" t="s">
        <v>1273</v>
      </c>
      <c r="H322" s="431"/>
      <c r="I322" s="431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5.75" customHeight="1">
      <c r="A323" s="48"/>
      <c r="B323" s="501" t="s">
        <v>1274</v>
      </c>
      <c r="C323" s="431"/>
      <c r="D323" s="355">
        <f>C314</f>
        <v>-23719.903333333332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5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5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5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5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5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5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5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5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5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5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5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5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5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5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5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5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5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5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5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5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5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5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5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5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5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5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5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5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5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5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5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5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5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5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5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5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5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5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5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5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5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5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5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5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5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5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5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5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5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5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5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5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5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5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5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5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5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5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5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5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5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5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5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5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5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5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5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5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5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5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5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5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5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5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5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5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5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5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5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5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5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5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5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5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5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5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5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5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5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5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5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5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5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5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5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5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5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5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5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5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5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5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5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5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5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5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5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5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5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5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5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5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5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5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5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5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5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5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5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5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5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5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5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5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5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5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5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5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5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5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5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5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5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5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5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5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5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5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5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5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5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5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5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5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5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5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5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5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5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5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5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5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5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5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5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5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5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5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5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5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5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5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5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5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5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5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5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5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5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5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5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5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5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5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5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5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5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5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5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5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5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5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5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5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5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5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5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5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5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5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5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5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5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5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5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5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5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5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5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5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5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5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5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5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5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5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5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5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5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5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5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5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5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5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5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5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5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5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5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5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5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5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5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5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5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5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5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5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5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5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5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5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5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5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5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5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5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5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5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5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5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5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5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5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5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5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5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5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5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5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5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5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5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5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5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5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5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5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5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5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5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5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5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5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5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5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5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5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5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5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5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5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5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5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5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5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5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5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5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5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5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5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5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5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5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5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5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5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5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5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5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5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5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5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5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5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5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5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5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5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5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5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5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5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5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5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5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5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5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5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5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5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5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5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5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5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5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5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5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5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5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5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5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5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5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5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5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5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5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5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5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5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5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5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5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5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5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5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5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5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5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5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5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5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5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5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5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5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5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5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5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5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5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5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5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5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5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5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5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5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5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5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5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5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5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5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5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5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5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5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5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5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5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5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5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5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5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5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5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5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5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5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5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5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5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5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5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5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5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5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5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5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5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5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5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5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5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5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5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5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5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5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5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5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5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5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5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5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5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5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5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5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5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5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5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5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5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5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5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5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5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5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5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5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5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5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5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5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5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5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5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5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5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5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5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5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5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5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5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5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5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5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5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5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5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5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5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5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5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5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5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5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5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5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5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5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5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5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5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5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5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5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5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5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5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5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5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5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5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5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5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5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5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5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5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5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5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5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5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5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5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5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5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5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5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5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5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5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5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5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5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5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5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5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5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5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5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5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5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5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5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5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5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5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5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5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5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5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5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5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5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5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5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5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5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5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5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5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5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5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5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5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5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5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5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5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5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5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5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5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5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5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5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5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5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5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5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5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5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5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5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5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5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5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5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5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5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5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5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5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5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5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5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5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5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5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5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5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5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5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5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5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5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5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5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5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5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5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5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5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5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5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5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5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5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5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5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5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5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5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5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5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5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5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5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5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5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5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5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5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5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5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5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5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5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5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5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5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5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5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5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5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5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5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5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5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5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5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5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5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5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5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5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5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5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5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5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5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5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5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5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5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5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5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5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5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5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5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5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5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5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5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5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5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5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5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5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5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5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5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5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5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5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5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5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5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5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5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5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5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5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5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5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5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5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5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5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5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5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5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5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5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5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5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5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5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5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5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5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5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5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5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5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5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5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5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5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70">
    <mergeCell ref="B223:B224"/>
    <mergeCell ref="C223:C224"/>
    <mergeCell ref="D223:E223"/>
    <mergeCell ref="F223:F224"/>
    <mergeCell ref="G223:G224"/>
    <mergeCell ref="B231:G231"/>
    <mergeCell ref="B261:I261"/>
    <mergeCell ref="E308:F308"/>
    <mergeCell ref="B311:G311"/>
    <mergeCell ref="B312:I312"/>
    <mergeCell ref="B322:C322"/>
    <mergeCell ref="G322:I322"/>
    <mergeCell ref="B323:C323"/>
    <mergeCell ref="B270:G270"/>
    <mergeCell ref="B271:B272"/>
    <mergeCell ref="C271:G271"/>
    <mergeCell ref="B284:I284"/>
    <mergeCell ref="D285:I285"/>
    <mergeCell ref="D286:I286"/>
    <mergeCell ref="E301:F306"/>
    <mergeCell ref="B2:K2"/>
    <mergeCell ref="B4:K4"/>
    <mergeCell ref="B7:K7"/>
    <mergeCell ref="B17:C17"/>
    <mergeCell ref="B19:K19"/>
    <mergeCell ref="B50:I50"/>
    <mergeCell ref="B51:B52"/>
    <mergeCell ref="C51:H51"/>
    <mergeCell ref="B57:I57"/>
    <mergeCell ref="E60:I60"/>
    <mergeCell ref="E61:I61"/>
    <mergeCell ref="E62:I62"/>
    <mergeCell ref="B70:I70"/>
    <mergeCell ref="B72:C72"/>
    <mergeCell ref="B73:C73"/>
    <mergeCell ref="B74:C74"/>
    <mergeCell ref="B80:C80"/>
    <mergeCell ref="B81:C81"/>
    <mergeCell ref="B82:C82"/>
    <mergeCell ref="B83:C83"/>
    <mergeCell ref="B84:C84"/>
    <mergeCell ref="B87:I87"/>
    <mergeCell ref="D88:I88"/>
    <mergeCell ref="D89:I89"/>
    <mergeCell ref="B102:I102"/>
    <mergeCell ref="B108:G108"/>
    <mergeCell ref="B109:B110"/>
    <mergeCell ref="C109:G109"/>
    <mergeCell ref="B114:G114"/>
    <mergeCell ref="B141:G141"/>
    <mergeCell ref="B147:I147"/>
    <mergeCell ref="B157:G157"/>
    <mergeCell ref="B168:G168"/>
    <mergeCell ref="B169:B170"/>
    <mergeCell ref="C169:C170"/>
    <mergeCell ref="G169:G170"/>
    <mergeCell ref="D169:E169"/>
    <mergeCell ref="F169:F170"/>
    <mergeCell ref="D183:F183"/>
    <mergeCell ref="D184:F184"/>
    <mergeCell ref="D185:F185"/>
    <mergeCell ref="B190:G190"/>
    <mergeCell ref="B193:G193"/>
    <mergeCell ref="D211:I211"/>
    <mergeCell ref="B195:G195"/>
    <mergeCell ref="B196:B197"/>
    <mergeCell ref="C196:G196"/>
    <mergeCell ref="B209:I209"/>
    <mergeCell ref="B210:C210"/>
    <mergeCell ref="D210:I210"/>
  </mergeCells>
  <hyperlinks>
    <hyperlink ref="D89" r:id="rId1" xr:uid="{00000000-0004-0000-1F00-000000000000}"/>
    <hyperlink ref="D211" r:id="rId2" xr:uid="{00000000-0004-0000-1F00-000001000000}"/>
    <hyperlink ref="D286" r:id="rId3" xr:uid="{00000000-0004-0000-1F00-000002000000}"/>
  </hyperlinks>
  <pageMargins left="0.7" right="0.7" top="0.75" bottom="0.75" header="0" footer="0"/>
  <pageSetup orientation="portrait"/>
  <drawing r:id="rId4"/>
  <legacyDrawing r:id="rId5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1C6294"/>
  </sheetPr>
  <dimension ref="A1:Z1000"/>
  <sheetViews>
    <sheetView showGridLines="0" workbookViewId="0"/>
  </sheetViews>
  <sheetFormatPr baseColWidth="10" defaultColWidth="12.625" defaultRowHeight="15" customHeight="1"/>
  <cols>
    <col min="1" max="1" width="3.125" customWidth="1"/>
    <col min="2" max="3" width="13.625" customWidth="1"/>
    <col min="4" max="4" width="12.5" customWidth="1"/>
    <col min="5" max="5" width="11.125" customWidth="1"/>
    <col min="6" max="6" width="11.625" customWidth="1"/>
    <col min="7" max="7" width="10.75" customWidth="1"/>
    <col min="8" max="8" width="11.375" customWidth="1"/>
    <col min="9" max="9" width="11" customWidth="1"/>
    <col min="10" max="26" width="10.12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435" t="s">
        <v>1275</v>
      </c>
      <c r="C28" s="436"/>
      <c r="D28" s="436"/>
      <c r="E28" s="436"/>
      <c r="F28" s="436"/>
      <c r="G28" s="436"/>
      <c r="H28" s="436"/>
      <c r="I28" s="437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 t="s">
        <v>1173</v>
      </c>
      <c r="C29" s="1"/>
      <c r="D29" s="19">
        <v>1</v>
      </c>
      <c r="E29" s="19">
        <v>2</v>
      </c>
      <c r="F29" s="19">
        <v>3</v>
      </c>
      <c r="G29" s="19">
        <v>4</v>
      </c>
      <c r="H29" s="19">
        <v>5</v>
      </c>
      <c r="I29" s="19" t="s">
        <v>99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 t="s">
        <v>1276</v>
      </c>
      <c r="C30" s="1"/>
      <c r="D30" s="40">
        <f>'Estudio ADEK'!C579</f>
        <v>186491.41639234126</v>
      </c>
      <c r="E30" s="40">
        <f>'Estudio ADEK'!D579</f>
        <v>190132.03323637857</v>
      </c>
      <c r="F30" s="40">
        <f>'Estudio ADEK'!E579</f>
        <v>190132.03323637857</v>
      </c>
      <c r="G30" s="40">
        <f>'Estudio ADEK'!F579</f>
        <v>190132.03323637857</v>
      </c>
      <c r="H30" s="40">
        <f>'Estudio ADEK'!G579</f>
        <v>190132.03323637857</v>
      </c>
      <c r="I30" s="4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 t="s">
        <v>1175</v>
      </c>
      <c r="C31" s="1"/>
      <c r="D31" s="40">
        <f>D30/(1+$K$31)^1</f>
        <v>175191.56072554368</v>
      </c>
      <c r="E31" s="40">
        <f>E30/(1+$K$31)^2</f>
        <v>167789.18360080014</v>
      </c>
      <c r="F31" s="40">
        <f>F30/(1+$K$31)^3</f>
        <v>157622.53039060606</v>
      </c>
      <c r="G31" s="40">
        <f>G30/(1+$K$31)^4</f>
        <v>148071.89327440679</v>
      </c>
      <c r="H31" s="40">
        <f>H30/(1+$K$31)^5</f>
        <v>139099.94671151412</v>
      </c>
      <c r="I31" s="40">
        <f>SUM(D31:H31)</f>
        <v>787775.11470287084</v>
      </c>
      <c r="J31" s="1" t="s">
        <v>1207</v>
      </c>
      <c r="K31" s="40">
        <v>6.4500000000000002E-2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435" t="s">
        <v>1176</v>
      </c>
      <c r="C33" s="436"/>
      <c r="D33" s="436"/>
      <c r="E33" s="436"/>
      <c r="F33" s="436"/>
      <c r="G33" s="436"/>
      <c r="H33" s="436"/>
      <c r="I33" s="437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 t="s">
        <v>1173</v>
      </c>
      <c r="C34" s="19">
        <v>0</v>
      </c>
      <c r="D34" s="19">
        <v>1</v>
      </c>
      <c r="E34" s="19">
        <v>2</v>
      </c>
      <c r="F34" s="19">
        <v>3</v>
      </c>
      <c r="G34" s="19">
        <v>4</v>
      </c>
      <c r="H34" s="19">
        <v>5</v>
      </c>
      <c r="I34" s="19" t="s">
        <v>99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 t="s">
        <v>1276</v>
      </c>
      <c r="C35" s="40">
        <f>-'Estudio ADEK'!C496</f>
        <v>23719.903333333332</v>
      </c>
      <c r="D35" s="40">
        <f>'Estudio ADEK'!D496</f>
        <v>-114.80392156862763</v>
      </c>
      <c r="E35" s="40">
        <f>'Estudio ADEK'!E496</f>
        <v>-114.80392156862763</v>
      </c>
      <c r="F35" s="40">
        <f>'Estudio ADEK'!F496</f>
        <v>-114.80392156862763</v>
      </c>
      <c r="G35" s="40">
        <f>'Estudio ADEK'!G496</f>
        <v>-114.80392156862763</v>
      </c>
      <c r="H35" s="40">
        <f>'Estudio ADEK'!H496</f>
        <v>-10347.880952380952</v>
      </c>
      <c r="I35" s="40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 t="s">
        <v>1175</v>
      </c>
      <c r="C36" s="40">
        <f>C35/(1+$K$31)^0</f>
        <v>23719.903333333332</v>
      </c>
      <c r="D36" s="40">
        <f>D35/(1+$K$31)^1</f>
        <v>-107.84774219692591</v>
      </c>
      <c r="E36" s="40">
        <f>E35/(1+$K$31)^2</f>
        <v>-101.31305044333105</v>
      </c>
      <c r="F36" s="40">
        <f>F35/(1+$K$31)^3</f>
        <v>-95.17430760294134</v>
      </c>
      <c r="G36" s="40">
        <f>G35/(1+$K$31)^4</f>
        <v>-89.407522407648045</v>
      </c>
      <c r="H36" s="40">
        <f>H35/(1+$K$31)^5</f>
        <v>-7570.4743937797402</v>
      </c>
      <c r="I36" s="40">
        <f>SUM(C36:H36)</f>
        <v>15755.686316902746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 t="s">
        <v>1277</v>
      </c>
      <c r="C39" s="40">
        <f>I31/I36</f>
        <v>49.999416011331945</v>
      </c>
      <c r="D39" s="1"/>
      <c r="E39" s="1" t="s">
        <v>1278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28:I28"/>
    <mergeCell ref="B33:I33"/>
  </mergeCells>
  <pageMargins left="0.7" right="0.7" top="0.75" bottom="0.75" header="0" footer="0"/>
  <pageSetup orientation="landscape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1C6294"/>
  </sheetPr>
  <dimension ref="A1:Z1000"/>
  <sheetViews>
    <sheetView showGridLines="0" workbookViewId="0"/>
  </sheetViews>
  <sheetFormatPr baseColWidth="10" defaultColWidth="12.625" defaultRowHeight="15" customHeight="1"/>
  <cols>
    <col min="1" max="1" width="3.125" customWidth="1"/>
    <col min="2" max="2" width="17.125" customWidth="1"/>
    <col min="3" max="3" width="21.25" customWidth="1"/>
    <col min="4" max="4" width="28.125" customWidth="1"/>
    <col min="5" max="5" width="30.125" customWidth="1"/>
    <col min="6" max="6" width="39.125" customWidth="1"/>
    <col min="7" max="7" width="32.625" customWidth="1"/>
    <col min="8" max="9" width="30.875" customWidth="1"/>
    <col min="10" max="10" width="40.625" customWidth="1"/>
    <col min="11" max="11" width="12.625" customWidth="1"/>
    <col min="12" max="12" width="20.5" customWidth="1"/>
    <col min="13" max="26" width="10.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435" t="s">
        <v>1279</v>
      </c>
      <c r="C2" s="436"/>
      <c r="D2" s="436"/>
      <c r="E2" s="436"/>
      <c r="F2" s="436"/>
      <c r="G2" s="436"/>
      <c r="H2" s="436"/>
      <c r="I2" s="43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51" t="s">
        <v>1280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553" t="s">
        <v>1281</v>
      </c>
      <c r="C4" s="431"/>
      <c r="D4" s="431"/>
      <c r="E4" s="431"/>
      <c r="F4" s="431"/>
      <c r="G4" s="431"/>
      <c r="H4" s="431"/>
      <c r="I4" s="43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51" t="s">
        <v>1282</v>
      </c>
      <c r="C5" s="51"/>
      <c r="D5" s="51"/>
      <c r="E5" s="51"/>
      <c r="F5" s="51"/>
      <c r="G5" s="51"/>
      <c r="H5" s="51"/>
      <c r="I5" s="5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51"/>
      <c r="C6" s="51"/>
      <c r="D6" s="51"/>
      <c r="E6" s="51"/>
      <c r="F6" s="51"/>
      <c r="G6" s="51"/>
      <c r="H6" s="51"/>
      <c r="I6" s="5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567" t="s">
        <v>1283</v>
      </c>
      <c r="C7" s="542"/>
      <c r="D7" s="542"/>
      <c r="E7" s="542"/>
      <c r="F7" s="542"/>
      <c r="G7" s="542"/>
      <c r="H7" s="542"/>
      <c r="I7" s="54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68" t="s">
        <v>1284</v>
      </c>
      <c r="C8" s="565"/>
      <c r="D8" s="565"/>
      <c r="E8" s="566"/>
      <c r="F8" s="569" t="s">
        <v>1285</v>
      </c>
      <c r="G8" s="565"/>
      <c r="H8" s="565"/>
      <c r="I8" s="56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540" t="s">
        <v>1286</v>
      </c>
      <c r="C9" s="431"/>
      <c r="D9" s="431"/>
      <c r="E9" s="533"/>
      <c r="F9" s="540" t="s">
        <v>1287</v>
      </c>
      <c r="G9" s="431"/>
      <c r="H9" s="431"/>
      <c r="I9" s="533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570" t="s">
        <v>1288</v>
      </c>
      <c r="C10" s="431"/>
      <c r="D10" s="431"/>
      <c r="E10" s="533"/>
      <c r="F10" s="374" t="s">
        <v>1289</v>
      </c>
      <c r="G10" s="11"/>
      <c r="H10" s="11"/>
      <c r="I10" s="37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540" t="s">
        <v>1290</v>
      </c>
      <c r="C11" s="431"/>
      <c r="D11" s="431"/>
      <c r="E11" s="533"/>
      <c r="F11" s="540" t="s">
        <v>1291</v>
      </c>
      <c r="G11" s="431"/>
      <c r="H11" s="431"/>
      <c r="I11" s="533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6.75" customHeight="1">
      <c r="A12" s="1"/>
      <c r="B12" s="573" t="s">
        <v>1292</v>
      </c>
      <c r="C12" s="542"/>
      <c r="D12" s="542"/>
      <c r="E12" s="572"/>
      <c r="F12" s="571"/>
      <c r="G12" s="542"/>
      <c r="H12" s="542"/>
      <c r="I12" s="57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574"/>
      <c r="C13" s="557"/>
      <c r="D13" s="557"/>
      <c r="E13" s="557"/>
      <c r="F13" s="557"/>
      <c r="G13" s="557"/>
      <c r="H13" s="557"/>
      <c r="I13" s="557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553" t="s">
        <v>1293</v>
      </c>
      <c r="C14" s="431"/>
      <c r="D14" s="431"/>
      <c r="E14" s="431"/>
      <c r="F14" s="431"/>
      <c r="G14" s="431"/>
      <c r="H14" s="431"/>
      <c r="I14" s="43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>
      <c r="A15" s="1"/>
      <c r="B15" s="575" t="s">
        <v>1294</v>
      </c>
      <c r="C15" s="436"/>
      <c r="D15" s="436"/>
      <c r="E15" s="436"/>
      <c r="F15" s="436"/>
      <c r="G15" s="436"/>
      <c r="H15" s="436"/>
      <c r="I15" s="437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0" customHeight="1">
      <c r="A16" s="1"/>
      <c r="B16" s="562" t="s">
        <v>1295</v>
      </c>
      <c r="C16" s="436"/>
      <c r="D16" s="436"/>
      <c r="E16" s="436"/>
      <c r="F16" s="436"/>
      <c r="G16" s="436"/>
      <c r="H16" s="436"/>
      <c r="I16" s="437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0" customHeight="1">
      <c r="A17" s="1"/>
      <c r="B17" s="560" t="s">
        <v>1296</v>
      </c>
      <c r="C17" s="436"/>
      <c r="D17" s="436"/>
      <c r="E17" s="436"/>
      <c r="F17" s="436"/>
      <c r="G17" s="436"/>
      <c r="H17" s="436"/>
      <c r="I17" s="437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0" customHeight="1">
      <c r="A18" s="1"/>
      <c r="B18" s="580" t="s">
        <v>1297</v>
      </c>
      <c r="C18" s="436"/>
      <c r="D18" s="436"/>
      <c r="E18" s="436"/>
      <c r="F18" s="436"/>
      <c r="G18" s="436"/>
      <c r="H18" s="436"/>
      <c r="I18" s="437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0" customHeight="1">
      <c r="A19" s="1"/>
      <c r="B19" s="581" t="s">
        <v>1298</v>
      </c>
      <c r="C19" s="436"/>
      <c r="D19" s="436"/>
      <c r="E19" s="436"/>
      <c r="F19" s="436"/>
      <c r="G19" s="436"/>
      <c r="H19" s="436"/>
      <c r="I19" s="437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0" customHeight="1">
      <c r="A20" s="1"/>
      <c r="B20" s="490" t="s">
        <v>1299</v>
      </c>
      <c r="C20" s="431"/>
      <c r="D20" s="431"/>
      <c r="E20" s="431"/>
      <c r="F20" s="431"/>
      <c r="G20" s="431"/>
      <c r="H20" s="431"/>
      <c r="I20" s="43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9"/>
      <c r="C21" s="19"/>
      <c r="D21" s="19"/>
      <c r="E21" s="19"/>
      <c r="F21" s="19"/>
      <c r="G21" s="19"/>
      <c r="H21" s="19"/>
      <c r="I21" s="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51" t="s">
        <v>1300</v>
      </c>
      <c r="C22" s="19"/>
      <c r="D22" s="19"/>
      <c r="E22" s="20">
        <f>'VPN y TIR'!G229</f>
        <v>0.14481854773673061</v>
      </c>
      <c r="F22" s="19"/>
      <c r="G22" s="19"/>
      <c r="H22" s="19"/>
      <c r="I22" s="1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0" customHeight="1">
      <c r="A23" s="1"/>
      <c r="B23" s="531" t="s">
        <v>1301</v>
      </c>
      <c r="C23" s="431"/>
      <c r="D23" s="431"/>
      <c r="E23" s="431"/>
      <c r="F23" s="431"/>
      <c r="G23" s="431"/>
      <c r="H23" s="431"/>
      <c r="I23" s="43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582" t="s">
        <v>1302</v>
      </c>
      <c r="C24" s="436"/>
      <c r="D24" s="436"/>
      <c r="E24" s="436"/>
      <c r="F24" s="436"/>
      <c r="G24" s="436"/>
      <c r="H24" s="436"/>
      <c r="I24" s="437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553" t="s">
        <v>1303</v>
      </c>
      <c r="C25" s="431"/>
      <c r="D25" s="431"/>
      <c r="E25" s="431"/>
      <c r="F25" s="431"/>
      <c r="G25" s="431"/>
      <c r="H25" s="431"/>
      <c r="I25" s="43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553" t="s">
        <v>1304</v>
      </c>
      <c r="C26" s="431"/>
      <c r="D26" s="431"/>
      <c r="E26" s="431"/>
      <c r="F26" s="431"/>
      <c r="G26" s="431"/>
      <c r="H26" s="431"/>
      <c r="I26" s="43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51"/>
      <c r="C27" s="51"/>
      <c r="D27" s="51"/>
      <c r="E27" s="51"/>
      <c r="F27" s="51"/>
      <c r="G27" s="51"/>
      <c r="H27" s="51"/>
      <c r="I27" s="5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0" customHeight="1">
      <c r="A28" s="1"/>
      <c r="B28" s="531" t="s">
        <v>1305</v>
      </c>
      <c r="C28" s="431"/>
      <c r="D28" s="431"/>
      <c r="E28" s="431"/>
      <c r="F28" s="431"/>
      <c r="G28" s="431"/>
      <c r="H28" s="431"/>
      <c r="I28" s="43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582" t="s">
        <v>1306</v>
      </c>
      <c r="C29" s="436"/>
      <c r="D29" s="436"/>
      <c r="E29" s="436"/>
      <c r="F29" s="436"/>
      <c r="G29" s="436"/>
      <c r="H29" s="436"/>
      <c r="I29" s="437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531" t="s">
        <v>1307</v>
      </c>
      <c r="C30" s="431"/>
      <c r="D30" s="431"/>
      <c r="E30" s="431"/>
      <c r="F30" s="431"/>
      <c r="G30" s="431"/>
      <c r="H30" s="431"/>
      <c r="I30" s="43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531" t="s">
        <v>1308</v>
      </c>
      <c r="C31" s="431"/>
      <c r="D31" s="431"/>
      <c r="E31" s="431"/>
      <c r="F31" s="431"/>
      <c r="G31" s="431"/>
      <c r="H31" s="431"/>
      <c r="I31" s="43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531" t="s">
        <v>1309</v>
      </c>
      <c r="C32" s="431"/>
      <c r="D32" s="431"/>
      <c r="E32" s="431"/>
      <c r="F32" s="431"/>
      <c r="G32" s="431"/>
      <c r="H32" s="431"/>
      <c r="I32" s="43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531" t="s">
        <v>1310</v>
      </c>
      <c r="C33" s="431"/>
      <c r="D33" s="431"/>
      <c r="E33" s="431"/>
      <c r="F33" s="431"/>
      <c r="G33" s="431"/>
      <c r="H33" s="431"/>
      <c r="I33" s="43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531" t="s">
        <v>1311</v>
      </c>
      <c r="C34" s="431"/>
      <c r="D34" s="431"/>
      <c r="E34" s="431"/>
      <c r="F34" s="431"/>
      <c r="G34" s="431"/>
      <c r="H34" s="431"/>
      <c r="I34" s="43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376"/>
      <c r="C35" s="376"/>
      <c r="D35" s="376"/>
      <c r="E35" s="376"/>
      <c r="F35" s="376"/>
      <c r="G35" s="376"/>
      <c r="H35" s="376"/>
      <c r="I35" s="376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531" t="s">
        <v>1312</v>
      </c>
      <c r="C36" s="431"/>
      <c r="D36" s="431"/>
      <c r="E36" s="431"/>
      <c r="F36" s="431"/>
      <c r="G36" s="431"/>
      <c r="H36" s="431"/>
      <c r="I36" s="43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553" t="s">
        <v>1313</v>
      </c>
      <c r="C38" s="431"/>
      <c r="D38" s="431"/>
      <c r="E38" s="431"/>
      <c r="F38" s="431"/>
      <c r="G38" s="431"/>
      <c r="H38" s="431"/>
      <c r="I38" s="43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 t="s">
        <v>1314</v>
      </c>
      <c r="C39" s="376"/>
      <c r="D39" s="376"/>
      <c r="E39" s="376"/>
      <c r="F39" s="376"/>
      <c r="G39" s="376"/>
      <c r="H39" s="376"/>
      <c r="I39" s="37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 t="s">
        <v>1315</v>
      </c>
      <c r="C40" s="376"/>
      <c r="D40" s="376"/>
      <c r="E40" s="376"/>
      <c r="F40" s="376"/>
      <c r="G40" s="376"/>
      <c r="H40" s="376"/>
      <c r="I40" s="376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 t="s">
        <v>1316</v>
      </c>
      <c r="C41" s="376"/>
      <c r="D41" s="376"/>
      <c r="E41" s="376"/>
      <c r="F41" s="376"/>
      <c r="G41" s="376"/>
      <c r="H41" s="376"/>
      <c r="I41" s="376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531" t="s">
        <v>1317</v>
      </c>
      <c r="C42" s="431"/>
      <c r="D42" s="431"/>
      <c r="E42" s="431"/>
      <c r="F42" s="431"/>
      <c r="G42" s="431"/>
      <c r="H42" s="431"/>
      <c r="I42" s="43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 t="s">
        <v>1318</v>
      </c>
      <c r="C43" s="376"/>
      <c r="D43" s="376"/>
      <c r="E43" s="376"/>
      <c r="F43" s="376"/>
      <c r="G43" s="376"/>
      <c r="H43" s="376"/>
      <c r="I43" s="376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376"/>
      <c r="C44" s="376"/>
      <c r="D44" s="376"/>
      <c r="E44" s="376"/>
      <c r="F44" s="376"/>
      <c r="G44" s="376"/>
      <c r="H44" s="376"/>
      <c r="I44" s="376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560" t="s">
        <v>1319</v>
      </c>
      <c r="C45" s="436"/>
      <c r="D45" s="436"/>
      <c r="E45" s="436"/>
      <c r="F45" s="436"/>
      <c r="G45" s="436"/>
      <c r="H45" s="436"/>
      <c r="I45" s="437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561" t="s">
        <v>1320</v>
      </c>
      <c r="C46" s="436"/>
      <c r="D46" s="436"/>
      <c r="E46" s="436"/>
      <c r="F46" s="436"/>
      <c r="G46" s="436"/>
      <c r="H46" s="436"/>
      <c r="I46" s="437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562" t="s">
        <v>1321</v>
      </c>
      <c r="C47" s="436"/>
      <c r="D47" s="436"/>
      <c r="E47" s="436"/>
      <c r="F47" s="436"/>
      <c r="G47" s="436"/>
      <c r="H47" s="436"/>
      <c r="I47" s="437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563" t="s">
        <v>1322</v>
      </c>
      <c r="C48" s="436"/>
      <c r="D48" s="436"/>
      <c r="E48" s="436"/>
      <c r="F48" s="436"/>
      <c r="G48" s="436"/>
      <c r="H48" s="436"/>
      <c r="I48" s="437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459"/>
      <c r="C49" s="431"/>
      <c r="D49" s="431"/>
      <c r="E49" s="431"/>
      <c r="F49" s="431"/>
      <c r="G49" s="431"/>
      <c r="H49" s="431"/>
      <c r="I49" s="43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564" t="s">
        <v>1323</v>
      </c>
      <c r="C50" s="565"/>
      <c r="D50" s="565"/>
      <c r="E50" s="565"/>
      <c r="F50" s="565"/>
      <c r="G50" s="565"/>
      <c r="H50" s="565"/>
      <c r="I50" s="566"/>
      <c r="J50" s="377"/>
      <c r="K50" s="377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552" t="s">
        <v>1324</v>
      </c>
      <c r="C51" s="431"/>
      <c r="D51" s="431"/>
      <c r="E51" s="431"/>
      <c r="F51" s="431"/>
      <c r="G51" s="431"/>
      <c r="H51" s="431"/>
      <c r="I51" s="431"/>
      <c r="J51" s="377"/>
      <c r="K51" s="377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553" t="s">
        <v>1325</v>
      </c>
      <c r="C52" s="431"/>
      <c r="D52" s="431"/>
      <c r="E52" s="431"/>
      <c r="F52" s="431"/>
      <c r="G52" s="431"/>
      <c r="H52" s="431"/>
      <c r="I52" s="43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553" t="s">
        <v>1326</v>
      </c>
      <c r="C53" s="431"/>
      <c r="D53" s="431"/>
      <c r="E53" s="431"/>
      <c r="F53" s="431"/>
      <c r="G53" s="431"/>
      <c r="H53" s="431"/>
      <c r="I53" s="43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51" t="s">
        <v>1327</v>
      </c>
      <c r="C54" s="13"/>
      <c r="D54" s="13"/>
      <c r="E54" s="13"/>
      <c r="F54" s="13"/>
      <c r="G54" s="13"/>
      <c r="H54" s="13"/>
      <c r="I54" s="13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3"/>
      <c r="C55" s="1"/>
      <c r="D55" s="1"/>
      <c r="E55" s="1"/>
      <c r="F55" s="1"/>
      <c r="G55" s="1"/>
      <c r="H55" s="1"/>
      <c r="I55" s="378" t="s">
        <v>1328</v>
      </c>
      <c r="J55" s="203">
        <v>-12037850</v>
      </c>
      <c r="K55" s="379">
        <v>1.6E-2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1" t="s">
        <v>1329</v>
      </c>
      <c r="C56" s="19"/>
      <c r="D56" s="20"/>
      <c r="E56" s="19"/>
      <c r="F56" s="19"/>
      <c r="G56" s="19"/>
      <c r="H56" s="20"/>
      <c r="I56" s="1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546" t="s">
        <v>1330</v>
      </c>
      <c r="C58" s="527"/>
      <c r="D58" s="527"/>
      <c r="E58" s="528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576" t="s">
        <v>1331</v>
      </c>
      <c r="C59" s="493"/>
      <c r="D59" s="493"/>
      <c r="E59" s="577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380" t="s">
        <v>1332</v>
      </c>
      <c r="C60" s="460" t="s">
        <v>243</v>
      </c>
      <c r="D60" s="460" t="s">
        <v>1333</v>
      </c>
      <c r="E60" s="578" t="s">
        <v>1334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17"/>
      <c r="B61" s="380" t="s">
        <v>531</v>
      </c>
      <c r="C61" s="461"/>
      <c r="D61" s="461"/>
      <c r="E61" s="579"/>
      <c r="F61" s="117" t="s">
        <v>1335</v>
      </c>
      <c r="G61" s="381">
        <v>0.22417500000000001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382">
        <v>1</v>
      </c>
      <c r="C62" s="203">
        <f>'Estudio ADEK'!C2</f>
        <v>300</v>
      </c>
      <c r="D62" s="203">
        <f>'Estudio ADEK'!C3</f>
        <v>53</v>
      </c>
      <c r="E62" s="383">
        <f t="shared" ref="E62:E66" si="0">C62*D62</f>
        <v>15900</v>
      </c>
      <c r="F62" s="117" t="s">
        <v>13</v>
      </c>
      <c r="G62" s="384">
        <f>Resumen!H3</f>
        <v>0.02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382">
        <v>2</v>
      </c>
      <c r="C63" s="203">
        <f t="shared" ref="C63:C66" si="1">$C$62</f>
        <v>300</v>
      </c>
      <c r="D63" s="203">
        <f t="shared" ref="D63:D66" si="2">D62*($G$62+1)</f>
        <v>54.06</v>
      </c>
      <c r="E63" s="383">
        <f t="shared" si="0"/>
        <v>16218</v>
      </c>
      <c r="F63" s="1"/>
      <c r="G63" s="1"/>
      <c r="H63" s="385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382">
        <v>3</v>
      </c>
      <c r="C64" s="203">
        <f t="shared" si="1"/>
        <v>300</v>
      </c>
      <c r="D64" s="203">
        <f t="shared" si="2"/>
        <v>55.141200000000005</v>
      </c>
      <c r="E64" s="383">
        <f t="shared" si="0"/>
        <v>16542.36</v>
      </c>
      <c r="F64" s="1"/>
      <c r="G64" s="1"/>
      <c r="H64" s="386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382">
        <v>4</v>
      </c>
      <c r="C65" s="203">
        <f t="shared" si="1"/>
        <v>300</v>
      </c>
      <c r="D65" s="203">
        <f t="shared" si="2"/>
        <v>56.244024000000003</v>
      </c>
      <c r="E65" s="383">
        <f t="shared" si="0"/>
        <v>16873.207200000001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387">
        <v>5</v>
      </c>
      <c r="C66" s="203">
        <f t="shared" si="1"/>
        <v>300</v>
      </c>
      <c r="D66" s="388">
        <f t="shared" si="2"/>
        <v>57.368904480000005</v>
      </c>
      <c r="E66" s="389">
        <f t="shared" si="0"/>
        <v>17210.671344000002</v>
      </c>
      <c r="F66" s="1"/>
      <c r="G66" s="1"/>
      <c r="H66" s="386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545" t="s">
        <v>1336</v>
      </c>
      <c r="B70" s="436"/>
      <c r="C70" s="436"/>
      <c r="D70" s="436"/>
      <c r="E70" s="436"/>
      <c r="F70" s="436"/>
      <c r="G70" s="436"/>
      <c r="H70" s="436"/>
      <c r="I70" s="436"/>
      <c r="J70" s="436"/>
      <c r="K70" s="437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546" t="s">
        <v>1337</v>
      </c>
      <c r="C72" s="527"/>
      <c r="D72" s="527"/>
      <c r="E72" s="528"/>
      <c r="F72" s="1"/>
      <c r="G72" s="1"/>
      <c r="H72" s="1"/>
      <c r="I72" s="559"/>
      <c r="J72" s="431"/>
      <c r="K72" s="431"/>
      <c r="L72" s="43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548" t="s">
        <v>1338</v>
      </c>
      <c r="C73" s="445"/>
      <c r="D73" s="445"/>
      <c r="E73" s="549"/>
      <c r="F73" s="1"/>
      <c r="G73" s="117" t="s">
        <v>1339</v>
      </c>
      <c r="H73" s="40">
        <f>C62</f>
        <v>300</v>
      </c>
      <c r="I73" s="558"/>
      <c r="J73" s="431"/>
      <c r="K73" s="431"/>
      <c r="L73" s="43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391" t="s">
        <v>1332</v>
      </c>
      <c r="C74" s="550" t="s">
        <v>243</v>
      </c>
      <c r="D74" s="550" t="s">
        <v>1333</v>
      </c>
      <c r="E74" s="519" t="s">
        <v>1334</v>
      </c>
      <c r="F74" s="1"/>
      <c r="G74" s="117" t="s">
        <v>1340</v>
      </c>
      <c r="H74" s="392">
        <v>-0.09</v>
      </c>
      <c r="I74" s="390"/>
      <c r="J74" s="558"/>
      <c r="K74" s="558"/>
      <c r="L74" s="558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393" t="s">
        <v>531</v>
      </c>
      <c r="C75" s="551"/>
      <c r="D75" s="551"/>
      <c r="E75" s="520"/>
      <c r="F75" s="1"/>
      <c r="G75" s="117" t="s">
        <v>1341</v>
      </c>
      <c r="H75" s="40">
        <f>H73*(1+H74)</f>
        <v>273</v>
      </c>
      <c r="I75" s="390"/>
      <c r="J75" s="431"/>
      <c r="K75" s="431"/>
      <c r="L75" s="43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394">
        <v>1</v>
      </c>
      <c r="C76" s="395">
        <f>$H$75</f>
        <v>273</v>
      </c>
      <c r="D76" s="395">
        <f t="shared" ref="D76:D80" si="3">D62</f>
        <v>53</v>
      </c>
      <c r="E76" s="396">
        <f t="shared" ref="E76:E80" si="4">C76*D76</f>
        <v>14469</v>
      </c>
      <c r="F76" s="1"/>
      <c r="G76" s="1"/>
      <c r="H76" s="18"/>
      <c r="I76" s="390"/>
      <c r="J76" s="397"/>
      <c r="K76" s="397"/>
      <c r="L76" s="398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382">
        <v>2</v>
      </c>
      <c r="C77" s="395">
        <f t="shared" ref="C77:C80" si="5">$C$76</f>
        <v>273</v>
      </c>
      <c r="D77" s="203">
        <f t="shared" si="3"/>
        <v>54.06</v>
      </c>
      <c r="E77" s="383">
        <f t="shared" si="4"/>
        <v>14758.380000000001</v>
      </c>
      <c r="F77" s="1"/>
      <c r="G77" s="117"/>
      <c r="H77" s="399"/>
      <c r="I77" s="390"/>
      <c r="J77" s="397"/>
      <c r="K77" s="397"/>
      <c r="L77" s="398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382">
        <v>3</v>
      </c>
      <c r="C78" s="395">
        <f t="shared" si="5"/>
        <v>273</v>
      </c>
      <c r="D78" s="203">
        <f t="shared" si="3"/>
        <v>55.141200000000005</v>
      </c>
      <c r="E78" s="383">
        <f t="shared" si="4"/>
        <v>15053.547600000002</v>
      </c>
      <c r="F78" s="1"/>
      <c r="G78" s="1"/>
      <c r="H78" s="1"/>
      <c r="I78" s="390"/>
      <c r="J78" s="397"/>
      <c r="K78" s="397"/>
      <c r="L78" s="398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382">
        <v>4</v>
      </c>
      <c r="C79" s="395">
        <f t="shared" si="5"/>
        <v>273</v>
      </c>
      <c r="D79" s="203">
        <f t="shared" si="3"/>
        <v>56.244024000000003</v>
      </c>
      <c r="E79" s="383">
        <f t="shared" si="4"/>
        <v>15354.618552000002</v>
      </c>
      <c r="F79" s="1"/>
      <c r="G79" s="117"/>
      <c r="H79" s="20"/>
      <c r="I79" s="390"/>
      <c r="J79" s="397"/>
      <c r="K79" s="397"/>
      <c r="L79" s="398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387">
        <v>5</v>
      </c>
      <c r="C80" s="400">
        <f t="shared" si="5"/>
        <v>273</v>
      </c>
      <c r="D80" s="388">
        <f t="shared" si="3"/>
        <v>57.368904480000005</v>
      </c>
      <c r="E80" s="389">
        <f t="shared" si="4"/>
        <v>15661.710923040002</v>
      </c>
      <c r="F80" s="1"/>
      <c r="G80" s="1"/>
      <c r="H80" s="1"/>
      <c r="I80" s="390"/>
      <c r="J80" s="397"/>
      <c r="K80" s="397"/>
      <c r="L80" s="398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45" customHeight="1">
      <c r="A83" s="1"/>
      <c r="B83" s="490" t="s">
        <v>1342</v>
      </c>
      <c r="C83" s="431"/>
      <c r="D83" s="431"/>
      <c r="E83" s="431"/>
      <c r="F83" s="431"/>
      <c r="G83" s="431"/>
      <c r="H83" s="43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521" t="s">
        <v>1343</v>
      </c>
      <c r="C84" s="522"/>
      <c r="D84" s="522"/>
      <c r="E84" s="522"/>
      <c r="F84" s="522"/>
      <c r="G84" s="522"/>
      <c r="H84" s="52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524" t="s">
        <v>278</v>
      </c>
      <c r="C85" s="525"/>
      <c r="D85" s="526" t="s">
        <v>1173</v>
      </c>
      <c r="E85" s="527"/>
      <c r="F85" s="527"/>
      <c r="G85" s="527"/>
      <c r="H85" s="528"/>
      <c r="I85" s="1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554"/>
      <c r="C86" s="555"/>
      <c r="D86" s="401">
        <v>1</v>
      </c>
      <c r="E86" s="401">
        <v>2</v>
      </c>
      <c r="F86" s="401">
        <v>3</v>
      </c>
      <c r="G86" s="401">
        <v>4</v>
      </c>
      <c r="H86" s="402">
        <v>5</v>
      </c>
      <c r="I86" s="1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556" t="s">
        <v>475</v>
      </c>
      <c r="C87" s="557"/>
      <c r="D87" s="403">
        <f>E76</f>
        <v>14469</v>
      </c>
      <c r="E87" s="403">
        <f t="shared" ref="E87:H87" si="6">$E$77</f>
        <v>14758.380000000001</v>
      </c>
      <c r="F87" s="403">
        <f t="shared" si="6"/>
        <v>14758.380000000001</v>
      </c>
      <c r="G87" s="403">
        <f t="shared" si="6"/>
        <v>14758.380000000001</v>
      </c>
      <c r="H87" s="404">
        <f t="shared" si="6"/>
        <v>14758.380000000001</v>
      </c>
      <c r="I87" s="531" t="s">
        <v>1344</v>
      </c>
      <c r="J87" s="431"/>
      <c r="K87" s="431"/>
      <c r="L87" s="43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536" t="s">
        <v>293</v>
      </c>
      <c r="C88" s="431"/>
      <c r="D88" s="40">
        <f>'Estudio ADEK'!D694</f>
        <v>12180.732523809522</v>
      </c>
      <c r="E88" s="40">
        <f>'Estudio ADEK'!E694</f>
        <v>12285.340523809522</v>
      </c>
      <c r="F88" s="40">
        <f>'Estudio ADEK'!F694</f>
        <v>12285.340523809522</v>
      </c>
      <c r="G88" s="40">
        <f>'Estudio ADEK'!G694</f>
        <v>12285.340523809522</v>
      </c>
      <c r="H88" s="405">
        <f>'Estudio ADEK'!H694</f>
        <v>12285.340523809522</v>
      </c>
      <c r="I88" s="531" t="s">
        <v>1345</v>
      </c>
      <c r="J88" s="431"/>
      <c r="K88" s="431"/>
      <c r="L88" s="43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532"/>
      <c r="C89" s="431"/>
      <c r="D89" s="431"/>
      <c r="E89" s="431"/>
      <c r="F89" s="431"/>
      <c r="G89" s="431"/>
      <c r="H89" s="53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537" t="s">
        <v>476</v>
      </c>
      <c r="C90" s="431"/>
      <c r="D90" s="40">
        <f t="shared" ref="D90:H90" si="7">D87-D88</f>
        <v>2288.2674761904782</v>
      </c>
      <c r="E90" s="40">
        <f t="shared" si="7"/>
        <v>2473.039476190479</v>
      </c>
      <c r="F90" s="40">
        <f t="shared" si="7"/>
        <v>2473.039476190479</v>
      </c>
      <c r="G90" s="40">
        <f t="shared" si="7"/>
        <v>2473.039476190479</v>
      </c>
      <c r="H90" s="405">
        <f t="shared" si="7"/>
        <v>2473.039476190479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534"/>
      <c r="C91" s="431"/>
      <c r="D91" s="431"/>
      <c r="E91" s="431"/>
      <c r="F91" s="431"/>
      <c r="G91" s="431"/>
      <c r="H91" s="533"/>
      <c r="I91" s="1"/>
      <c r="J91" s="406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540" t="s">
        <v>477</v>
      </c>
      <c r="C92" s="431"/>
      <c r="D92" s="40">
        <f t="shared" ref="D92:H92" si="8">D90*$J$96</f>
        <v>755.12826714285779</v>
      </c>
      <c r="E92" s="40">
        <f t="shared" si="8"/>
        <v>816.10302714285808</v>
      </c>
      <c r="F92" s="40">
        <f t="shared" si="8"/>
        <v>816.10302714285808</v>
      </c>
      <c r="G92" s="40">
        <f t="shared" si="8"/>
        <v>816.10302714285808</v>
      </c>
      <c r="H92" s="405">
        <f t="shared" si="8"/>
        <v>816.10302714285808</v>
      </c>
      <c r="I92" s="1"/>
      <c r="J92" s="406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534"/>
      <c r="C93" s="431"/>
      <c r="D93" s="431"/>
      <c r="E93" s="431"/>
      <c r="F93" s="431"/>
      <c r="G93" s="431"/>
      <c r="H93" s="53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537" t="s">
        <v>478</v>
      </c>
      <c r="C94" s="431"/>
      <c r="D94" s="40">
        <f t="shared" ref="D94:H94" si="9">D90-D92</f>
        <v>1533.1392090476204</v>
      </c>
      <c r="E94" s="40">
        <f t="shared" si="9"/>
        <v>1656.936449047621</v>
      </c>
      <c r="F94" s="40">
        <f t="shared" si="9"/>
        <v>1656.936449047621</v>
      </c>
      <c r="G94" s="40">
        <f t="shared" si="9"/>
        <v>1656.936449047621</v>
      </c>
      <c r="H94" s="405">
        <f t="shared" si="9"/>
        <v>1656.936449047621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534"/>
      <c r="C95" s="431"/>
      <c r="D95" s="431"/>
      <c r="E95" s="431"/>
      <c r="F95" s="431"/>
      <c r="G95" s="431"/>
      <c r="H95" s="53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540" t="s">
        <v>479</v>
      </c>
      <c r="C96" s="431"/>
      <c r="D96" s="40">
        <f>'Estudio ADEK'!D700</f>
        <v>4237.1761904761906</v>
      </c>
      <c r="E96" s="40">
        <f>'Estudio ADEK'!E700</f>
        <v>4237.1761904761906</v>
      </c>
      <c r="F96" s="40">
        <f>'Estudio ADEK'!F700</f>
        <v>4237.1761904761906</v>
      </c>
      <c r="G96" s="40">
        <f>'Estudio ADEK'!G700</f>
        <v>4237.1761904761906</v>
      </c>
      <c r="H96" s="405">
        <f>'Estudio ADEK'!H700</f>
        <v>4237.1761904761906</v>
      </c>
      <c r="I96" s="11" t="s">
        <v>1346</v>
      </c>
      <c r="J96" s="407">
        <v>0.33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541" t="s">
        <v>480</v>
      </c>
      <c r="C97" s="542"/>
      <c r="D97" s="40">
        <f>'Estudio ADEK'!D701</f>
        <v>223.398</v>
      </c>
      <c r="E97" s="40">
        <f>'Estudio ADEK'!E701</f>
        <v>223.398</v>
      </c>
      <c r="F97" s="40">
        <f>'Estudio ADEK'!F701</f>
        <v>223.398</v>
      </c>
      <c r="G97" s="40">
        <f>'Estudio ADEK'!G701</f>
        <v>223.398</v>
      </c>
      <c r="H97" s="405">
        <f>'Estudio ADEK'!H701</f>
        <v>223.398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517" t="s">
        <v>1347</v>
      </c>
      <c r="C98" s="518"/>
      <c r="D98" s="408">
        <f t="shared" ref="D98:H98" si="10">D94+D96+D97</f>
        <v>5993.7133995238109</v>
      </c>
      <c r="E98" s="408">
        <f t="shared" si="10"/>
        <v>6117.5106395238117</v>
      </c>
      <c r="F98" s="408">
        <f t="shared" si="10"/>
        <v>6117.5106395238117</v>
      </c>
      <c r="G98" s="408">
        <f t="shared" si="10"/>
        <v>6117.5106395238117</v>
      </c>
      <c r="H98" s="409">
        <f t="shared" si="10"/>
        <v>6117.5106395238117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customHeight="1">
      <c r="A101" s="1"/>
      <c r="B101" s="535" t="s">
        <v>1348</v>
      </c>
      <c r="C101" s="527"/>
      <c r="D101" s="527"/>
      <c r="E101" s="527"/>
      <c r="F101" s="527"/>
      <c r="G101" s="527"/>
      <c r="H101" s="527"/>
      <c r="I101" s="528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508" t="s">
        <v>278</v>
      </c>
      <c r="C102" s="509"/>
      <c r="D102" s="462" t="s">
        <v>1173</v>
      </c>
      <c r="E102" s="463"/>
      <c r="F102" s="463"/>
      <c r="G102" s="463"/>
      <c r="H102" s="463"/>
      <c r="I102" s="513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510"/>
      <c r="C103" s="506"/>
      <c r="D103" s="200">
        <v>0</v>
      </c>
      <c r="E103" s="200">
        <v>1</v>
      </c>
      <c r="F103" s="200">
        <v>2</v>
      </c>
      <c r="G103" s="200">
        <v>3</v>
      </c>
      <c r="H103" s="200">
        <v>4</v>
      </c>
      <c r="I103" s="410">
        <v>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538" t="s">
        <v>1349</v>
      </c>
      <c r="C104" s="464"/>
      <c r="D104" s="203">
        <f>'Estudio ADEK'!C587</f>
        <v>-23719.903333333332</v>
      </c>
      <c r="E104" s="203">
        <f>'Estudio ADEK'!D587</f>
        <v>186376.61247077264</v>
      </c>
      <c r="F104" s="203">
        <f>'Estudio ADEK'!E587</f>
        <v>190017.22931480996</v>
      </c>
      <c r="G104" s="203">
        <f>'Estudio ADEK'!F587</f>
        <v>190017.22931480996</v>
      </c>
      <c r="H104" s="203">
        <f>'Estudio ADEK'!G587</f>
        <v>190017.22931480996</v>
      </c>
      <c r="I104" s="203">
        <f>'Estudio ADEK'!H587</f>
        <v>179784.15228399762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512"/>
      <c r="C105" s="463"/>
      <c r="D105" s="463"/>
      <c r="E105" s="463"/>
      <c r="F105" s="463"/>
      <c r="G105" s="463"/>
      <c r="H105" s="463"/>
      <c r="I105" s="513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538" t="s">
        <v>1350</v>
      </c>
      <c r="C106" s="464"/>
      <c r="D106" s="411"/>
      <c r="E106" s="203">
        <f t="shared" ref="E106:I106" si="11">D98</f>
        <v>5993.7133995238109</v>
      </c>
      <c r="F106" s="203">
        <f t="shared" si="11"/>
        <v>6117.5106395238117</v>
      </c>
      <c r="G106" s="203">
        <f t="shared" si="11"/>
        <v>6117.5106395238117</v>
      </c>
      <c r="H106" s="203">
        <f t="shared" si="11"/>
        <v>6117.5106395238117</v>
      </c>
      <c r="I106" s="203">
        <f t="shared" si="11"/>
        <v>6117.5106395238117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514"/>
      <c r="C107" s="515"/>
      <c r="D107" s="515"/>
      <c r="E107" s="515"/>
      <c r="F107" s="515"/>
      <c r="G107" s="515"/>
      <c r="H107" s="515"/>
      <c r="I107" s="516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30" customHeight="1">
      <c r="A108" s="1"/>
      <c r="B108" s="539" t="s">
        <v>1351</v>
      </c>
      <c r="C108" s="518"/>
      <c r="D108" s="408">
        <f t="shared" ref="D108:I108" si="12">D104+D106</f>
        <v>-23719.903333333332</v>
      </c>
      <c r="E108" s="408">
        <f t="shared" si="12"/>
        <v>192370.32587029645</v>
      </c>
      <c r="F108" s="408">
        <f t="shared" si="12"/>
        <v>196134.73995433378</v>
      </c>
      <c r="G108" s="408">
        <f t="shared" si="12"/>
        <v>196134.73995433378</v>
      </c>
      <c r="H108" s="408">
        <f t="shared" si="12"/>
        <v>196134.73995433378</v>
      </c>
      <c r="I108" s="409">
        <f t="shared" si="12"/>
        <v>185901.66292352145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72"/>
      <c r="C109" s="72"/>
      <c r="D109" s="412"/>
      <c r="E109" s="412"/>
      <c r="F109" s="412"/>
      <c r="G109" s="412"/>
      <c r="H109" s="412"/>
      <c r="I109" s="412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customHeight="1">
      <c r="A110" s="1"/>
      <c r="B110" s="485" t="s">
        <v>1352</v>
      </c>
      <c r="C110" s="436"/>
      <c r="D110" s="436"/>
      <c r="E110" s="436"/>
      <c r="F110" s="436"/>
      <c r="G110" s="436"/>
      <c r="H110" s="436"/>
      <c r="I110" s="437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41" t="s">
        <v>1220</v>
      </c>
      <c r="C111" s="328">
        <f>D108</f>
        <v>-23719.903333333332</v>
      </c>
      <c r="D111" s="132"/>
      <c r="E111" s="132"/>
      <c r="F111" s="132"/>
      <c r="G111" s="132"/>
      <c r="H111" s="132"/>
      <c r="I111" s="132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41" t="s">
        <v>1221</v>
      </c>
      <c r="C112" s="328">
        <f>E108</f>
        <v>192370.32587029645</v>
      </c>
      <c r="D112" s="132"/>
      <c r="E112" s="132"/>
      <c r="F112" s="132"/>
      <c r="G112" s="132"/>
      <c r="H112" s="132"/>
      <c r="I112" s="132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41" t="s">
        <v>1222</v>
      </c>
      <c r="C113" s="328">
        <f>F108</f>
        <v>196134.73995433378</v>
      </c>
      <c r="D113" s="132"/>
      <c r="E113" s="413" t="s">
        <v>1182</v>
      </c>
      <c r="F113" s="414">
        <f t="array" ref="F113">C111+NPV(C117,C112:C116)</f>
        <v>526164.54465339228</v>
      </c>
      <c r="G113" s="415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41" t="s">
        <v>1224</v>
      </c>
      <c r="C114" s="328">
        <f>G108</f>
        <v>196134.73995433378</v>
      </c>
      <c r="D114" s="132"/>
      <c r="E114" s="543" t="s">
        <v>1353</v>
      </c>
      <c r="F114" s="530"/>
      <c r="G114" s="530"/>
      <c r="H114" s="132"/>
      <c r="I114" s="132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41" t="s">
        <v>1225</v>
      </c>
      <c r="C115" s="328">
        <f>H108</f>
        <v>196134.73995433378</v>
      </c>
      <c r="D115" s="132"/>
      <c r="E115" s="132"/>
      <c r="F115" s="132"/>
      <c r="G115" s="132"/>
      <c r="H115" s="132"/>
      <c r="I115" s="132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41" t="s">
        <v>1226</v>
      </c>
      <c r="C116" s="328">
        <f>I108</f>
        <v>185901.66292352145</v>
      </c>
      <c r="D116" s="132"/>
      <c r="E116" s="132"/>
      <c r="F116" s="132"/>
      <c r="G116" s="132"/>
      <c r="H116" s="132"/>
      <c r="I116" s="132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41" t="s">
        <v>1335</v>
      </c>
      <c r="C117" s="328">
        <f>G61</f>
        <v>0.22417500000000001</v>
      </c>
      <c r="D117" s="132"/>
      <c r="E117" s="132"/>
      <c r="F117" s="132"/>
      <c r="G117" s="132"/>
      <c r="H117" s="132"/>
      <c r="I117" s="132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customHeight="1">
      <c r="A119" s="1"/>
      <c r="B119" s="485" t="s">
        <v>1354</v>
      </c>
      <c r="C119" s="436"/>
      <c r="D119" s="436"/>
      <c r="E119" s="436"/>
      <c r="F119" s="436"/>
      <c r="G119" s="436"/>
      <c r="H119" s="436"/>
      <c r="I119" s="437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28" t="s">
        <v>1220</v>
      </c>
      <c r="C120" s="40">
        <f>D108</f>
        <v>-23719.903333333332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28" t="s">
        <v>1221</v>
      </c>
      <c r="C121" s="40">
        <f>E108</f>
        <v>192370.32587029645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28" t="s">
        <v>1222</v>
      </c>
      <c r="C122" s="40">
        <f>F108</f>
        <v>196134.73995433378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28" t="s">
        <v>1224</v>
      </c>
      <c r="C123" s="40">
        <f>G108</f>
        <v>196134.73995433378</v>
      </c>
      <c r="D123" s="1"/>
      <c r="E123" s="416" t="s">
        <v>1223</v>
      </c>
      <c r="F123" s="417">
        <f>IRR(C120:C125)</f>
        <v>8.1272823613585867</v>
      </c>
      <c r="G123" s="418">
        <f>F123</f>
        <v>8.1272823613585867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28" t="s">
        <v>1225</v>
      </c>
      <c r="C124" s="40">
        <f>H108</f>
        <v>196134.73995433378</v>
      </c>
      <c r="D124" s="1"/>
      <c r="E124" s="544" t="s">
        <v>1355</v>
      </c>
      <c r="F124" s="530"/>
      <c r="G124" s="530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28" t="s">
        <v>1226</v>
      </c>
      <c r="C125" s="40">
        <f>I108</f>
        <v>185901.66292352145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545" t="s">
        <v>1356</v>
      </c>
      <c r="B127" s="436"/>
      <c r="C127" s="436"/>
      <c r="D127" s="436"/>
      <c r="E127" s="436"/>
      <c r="F127" s="436"/>
      <c r="G127" s="436"/>
      <c r="H127" s="436"/>
      <c r="I127" s="436"/>
      <c r="J127" s="436"/>
      <c r="K127" s="437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546" t="s">
        <v>1357</v>
      </c>
      <c r="C129" s="527"/>
      <c r="D129" s="527"/>
      <c r="E129" s="528"/>
      <c r="F129" s="1"/>
      <c r="G129" s="117" t="s">
        <v>1339</v>
      </c>
      <c r="H129" s="399">
        <f>H73</f>
        <v>300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547"/>
      <c r="C130" s="463"/>
      <c r="D130" s="463"/>
      <c r="E130" s="513"/>
      <c r="F130" s="1"/>
      <c r="G130" s="117" t="s">
        <v>1340</v>
      </c>
      <c r="H130" s="392">
        <v>0.09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548" t="s">
        <v>1338</v>
      </c>
      <c r="C131" s="445"/>
      <c r="D131" s="445"/>
      <c r="E131" s="549"/>
      <c r="F131" s="1"/>
      <c r="G131" s="117" t="s">
        <v>1341</v>
      </c>
      <c r="H131" s="399">
        <f>H129*(1+H130)</f>
        <v>327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391" t="s">
        <v>1332</v>
      </c>
      <c r="C132" s="550" t="s">
        <v>243</v>
      </c>
      <c r="D132" s="550" t="s">
        <v>1333</v>
      </c>
      <c r="E132" s="519" t="s">
        <v>1334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393" t="s">
        <v>531</v>
      </c>
      <c r="C133" s="551"/>
      <c r="D133" s="551"/>
      <c r="E133" s="520"/>
      <c r="F133" s="1"/>
      <c r="G133" s="1"/>
      <c r="H133" s="39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394">
        <v>1</v>
      </c>
      <c r="C134" s="395">
        <f t="shared" ref="C134:C138" si="13">$H$131</f>
        <v>327</v>
      </c>
      <c r="D134" s="395">
        <f>D62</f>
        <v>53</v>
      </c>
      <c r="E134" s="396">
        <f t="shared" ref="E134:E138" si="14">C134*D134</f>
        <v>17331</v>
      </c>
      <c r="F134" s="1"/>
      <c r="G134" s="117"/>
      <c r="H134" s="18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382">
        <v>2</v>
      </c>
      <c r="C135" s="395">
        <f t="shared" si="13"/>
        <v>327</v>
      </c>
      <c r="D135" s="203">
        <f t="shared" ref="D135:D138" si="15">D77</f>
        <v>54.06</v>
      </c>
      <c r="E135" s="383">
        <f t="shared" si="14"/>
        <v>17677.62</v>
      </c>
      <c r="F135" s="1"/>
      <c r="G135" s="117"/>
      <c r="H135" s="39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382">
        <v>3</v>
      </c>
      <c r="C136" s="395">
        <f t="shared" si="13"/>
        <v>327</v>
      </c>
      <c r="D136" s="203">
        <f t="shared" si="15"/>
        <v>55.141200000000005</v>
      </c>
      <c r="E136" s="383">
        <f t="shared" si="14"/>
        <v>18031.172400000003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382">
        <v>4</v>
      </c>
      <c r="C137" s="395">
        <f t="shared" si="13"/>
        <v>327</v>
      </c>
      <c r="D137" s="203">
        <f t="shared" si="15"/>
        <v>56.244024000000003</v>
      </c>
      <c r="E137" s="383">
        <f t="shared" si="14"/>
        <v>18391.795848000002</v>
      </c>
      <c r="F137" s="1"/>
      <c r="G137" s="117"/>
      <c r="H137" s="20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387">
        <v>5</v>
      </c>
      <c r="C138" s="395">
        <f t="shared" si="13"/>
        <v>327</v>
      </c>
      <c r="D138" s="203">
        <f t="shared" si="15"/>
        <v>57.368904480000005</v>
      </c>
      <c r="E138" s="389">
        <f t="shared" si="14"/>
        <v>18759.631764960002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521" t="s">
        <v>1358</v>
      </c>
      <c r="C140" s="522"/>
      <c r="D140" s="522"/>
      <c r="E140" s="522"/>
      <c r="F140" s="522"/>
      <c r="G140" s="522"/>
      <c r="H140" s="52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524" t="s">
        <v>278</v>
      </c>
      <c r="C141" s="525"/>
      <c r="D141" s="526" t="s">
        <v>1173</v>
      </c>
      <c r="E141" s="527"/>
      <c r="F141" s="527"/>
      <c r="G141" s="527"/>
      <c r="H141" s="528"/>
      <c r="I141" s="1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510"/>
      <c r="C142" s="506"/>
      <c r="D142" s="419">
        <v>1</v>
      </c>
      <c r="E142" s="419">
        <v>2</v>
      </c>
      <c r="F142" s="419">
        <v>3</v>
      </c>
      <c r="G142" s="419">
        <v>4</v>
      </c>
      <c r="H142" s="420">
        <v>5</v>
      </c>
      <c r="I142" s="1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529" t="s">
        <v>475</v>
      </c>
      <c r="C143" s="530"/>
      <c r="D143" s="40">
        <f>E134</f>
        <v>17331</v>
      </c>
      <c r="E143" s="40">
        <f>E135</f>
        <v>17677.62</v>
      </c>
      <c r="F143" s="40">
        <f>E143</f>
        <v>17677.62</v>
      </c>
      <c r="G143" s="40">
        <f>E135</f>
        <v>17677.62</v>
      </c>
      <c r="H143" s="405">
        <f>E135</f>
        <v>17677.62</v>
      </c>
      <c r="I143" s="531" t="s">
        <v>1344</v>
      </c>
      <c r="J143" s="431"/>
      <c r="K143" s="431"/>
      <c r="L143" s="43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536" t="s">
        <v>293</v>
      </c>
      <c r="C144" s="431"/>
      <c r="D144" s="40">
        <f>D88*(1+0.09)</f>
        <v>13276.99845095238</v>
      </c>
      <c r="E144" s="40">
        <f>D144*(1+G62)</f>
        <v>13542.538419971428</v>
      </c>
      <c r="F144" s="40">
        <f t="shared" ref="F144:H144" si="16">$E$144</f>
        <v>13542.538419971428</v>
      </c>
      <c r="G144" s="40">
        <f t="shared" si="16"/>
        <v>13542.538419971428</v>
      </c>
      <c r="H144" s="405">
        <f t="shared" si="16"/>
        <v>13542.538419971428</v>
      </c>
      <c r="I144" s="531" t="s">
        <v>1345</v>
      </c>
      <c r="J144" s="431"/>
      <c r="K144" s="431"/>
      <c r="L144" s="43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532"/>
      <c r="C145" s="431"/>
      <c r="D145" s="431"/>
      <c r="E145" s="431"/>
      <c r="F145" s="431"/>
      <c r="G145" s="431"/>
      <c r="H145" s="53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537" t="s">
        <v>476</v>
      </c>
      <c r="C146" s="431"/>
      <c r="D146" s="40">
        <f t="shared" ref="D146:H146" si="17">D143-D144</f>
        <v>4054.0015490476198</v>
      </c>
      <c r="E146" s="40">
        <f t="shared" si="17"/>
        <v>4135.0815800285709</v>
      </c>
      <c r="F146" s="40">
        <f t="shared" si="17"/>
        <v>4135.0815800285709</v>
      </c>
      <c r="G146" s="40">
        <f t="shared" si="17"/>
        <v>4135.0815800285709</v>
      </c>
      <c r="H146" s="405">
        <f t="shared" si="17"/>
        <v>4135.0815800285709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534"/>
      <c r="C147" s="431"/>
      <c r="D147" s="431"/>
      <c r="E147" s="431"/>
      <c r="F147" s="431"/>
      <c r="G147" s="431"/>
      <c r="H147" s="533"/>
      <c r="I147" s="1"/>
      <c r="J147" s="406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540" t="s">
        <v>477</v>
      </c>
      <c r="C148" s="431"/>
      <c r="D148" s="40">
        <f>D146*J152</f>
        <v>1337.8205111857146</v>
      </c>
      <c r="E148" s="40">
        <f t="shared" ref="E148:H148" si="18">E146*$J$96</f>
        <v>1364.5769214094285</v>
      </c>
      <c r="F148" s="40">
        <f t="shared" si="18"/>
        <v>1364.5769214094285</v>
      </c>
      <c r="G148" s="40">
        <f t="shared" si="18"/>
        <v>1364.5769214094285</v>
      </c>
      <c r="H148" s="405">
        <f t="shared" si="18"/>
        <v>1364.5769214094285</v>
      </c>
      <c r="I148" s="1"/>
      <c r="J148" s="406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534"/>
      <c r="C149" s="431"/>
      <c r="D149" s="431"/>
      <c r="E149" s="431"/>
      <c r="F149" s="431"/>
      <c r="G149" s="431"/>
      <c r="H149" s="53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537" t="s">
        <v>478</v>
      </c>
      <c r="C150" s="431"/>
      <c r="D150" s="40">
        <f t="shared" ref="D150:H150" si="19">D146-D148</f>
        <v>2716.1810378619052</v>
      </c>
      <c r="E150" s="40">
        <f t="shared" si="19"/>
        <v>2770.5046586191424</v>
      </c>
      <c r="F150" s="40">
        <f t="shared" si="19"/>
        <v>2770.5046586191424</v>
      </c>
      <c r="G150" s="40">
        <f t="shared" si="19"/>
        <v>2770.5046586191424</v>
      </c>
      <c r="H150" s="405">
        <f t="shared" si="19"/>
        <v>2770.5046586191424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534"/>
      <c r="C151" s="431"/>
      <c r="D151" s="431"/>
      <c r="E151" s="431"/>
      <c r="F151" s="431"/>
      <c r="G151" s="431"/>
      <c r="H151" s="53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540" t="s">
        <v>479</v>
      </c>
      <c r="C152" s="431"/>
      <c r="D152" s="40">
        <f t="shared" ref="D152:H152" si="20">D96</f>
        <v>4237.1761904761906</v>
      </c>
      <c r="E152" s="40">
        <f t="shared" si="20"/>
        <v>4237.1761904761906</v>
      </c>
      <c r="F152" s="40">
        <f t="shared" si="20"/>
        <v>4237.1761904761906</v>
      </c>
      <c r="G152" s="40">
        <f t="shared" si="20"/>
        <v>4237.1761904761906</v>
      </c>
      <c r="H152" s="405">
        <f t="shared" si="20"/>
        <v>4237.1761904761906</v>
      </c>
      <c r="I152" s="11" t="s">
        <v>1346</v>
      </c>
      <c r="J152" s="421">
        <v>0.33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541" t="s">
        <v>480</v>
      </c>
      <c r="C153" s="542"/>
      <c r="D153" s="40">
        <f t="shared" ref="D153:H153" si="21">D97</f>
        <v>223.398</v>
      </c>
      <c r="E153" s="40">
        <f t="shared" si="21"/>
        <v>223.398</v>
      </c>
      <c r="F153" s="40">
        <f t="shared" si="21"/>
        <v>223.398</v>
      </c>
      <c r="G153" s="40">
        <f t="shared" si="21"/>
        <v>223.398</v>
      </c>
      <c r="H153" s="405">
        <f t="shared" si="21"/>
        <v>223.398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517" t="s">
        <v>1347</v>
      </c>
      <c r="C154" s="518"/>
      <c r="D154" s="408">
        <f t="shared" ref="D154:H154" si="22">D150+D152+D153</f>
        <v>7176.7552283380965</v>
      </c>
      <c r="E154" s="408">
        <f t="shared" si="22"/>
        <v>7231.0788490953337</v>
      </c>
      <c r="F154" s="408">
        <f t="shared" si="22"/>
        <v>7231.0788490953337</v>
      </c>
      <c r="G154" s="408">
        <f t="shared" si="22"/>
        <v>7231.0788490953337</v>
      </c>
      <c r="H154" s="409">
        <f t="shared" si="22"/>
        <v>7231.0788490953337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422"/>
      <c r="C155" s="423"/>
      <c r="D155" s="424"/>
      <c r="E155" s="424"/>
      <c r="F155" s="424"/>
      <c r="G155" s="424"/>
      <c r="H155" s="424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customHeight="1">
      <c r="A156" s="1"/>
      <c r="B156" s="535" t="s">
        <v>1359</v>
      </c>
      <c r="C156" s="527"/>
      <c r="D156" s="527"/>
      <c r="E156" s="527"/>
      <c r="F156" s="527"/>
      <c r="G156" s="527"/>
      <c r="H156" s="527"/>
      <c r="I156" s="528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508" t="s">
        <v>278</v>
      </c>
      <c r="C157" s="509"/>
      <c r="D157" s="462" t="s">
        <v>1173</v>
      </c>
      <c r="E157" s="463"/>
      <c r="F157" s="463"/>
      <c r="G157" s="463"/>
      <c r="H157" s="463"/>
      <c r="I157" s="513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510"/>
      <c r="C158" s="506"/>
      <c r="D158" s="200">
        <v>0</v>
      </c>
      <c r="E158" s="200">
        <v>1</v>
      </c>
      <c r="F158" s="200">
        <v>2</v>
      </c>
      <c r="G158" s="200">
        <v>3</v>
      </c>
      <c r="H158" s="200">
        <v>4</v>
      </c>
      <c r="I158" s="410">
        <v>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511" t="s">
        <v>1349</v>
      </c>
      <c r="C159" s="464"/>
      <c r="D159" s="203">
        <f t="shared" ref="D159:I159" si="23">D104</f>
        <v>-23719.903333333332</v>
      </c>
      <c r="E159" s="203">
        <f t="shared" si="23"/>
        <v>186376.61247077264</v>
      </c>
      <c r="F159" s="203">
        <f t="shared" si="23"/>
        <v>190017.22931480996</v>
      </c>
      <c r="G159" s="203">
        <f t="shared" si="23"/>
        <v>190017.22931480996</v>
      </c>
      <c r="H159" s="203">
        <f t="shared" si="23"/>
        <v>190017.22931480996</v>
      </c>
      <c r="I159" s="203">
        <f t="shared" si="23"/>
        <v>179784.15228399762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512"/>
      <c r="C160" s="463"/>
      <c r="D160" s="463"/>
      <c r="E160" s="463"/>
      <c r="F160" s="463"/>
      <c r="G160" s="463"/>
      <c r="H160" s="463"/>
      <c r="I160" s="513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511" t="s">
        <v>1350</v>
      </c>
      <c r="C161" s="464"/>
      <c r="D161" s="411"/>
      <c r="E161" s="203">
        <f t="shared" ref="E161:I161" si="24">D154</f>
        <v>7176.7552283380965</v>
      </c>
      <c r="F161" s="203">
        <f t="shared" si="24"/>
        <v>7231.0788490953337</v>
      </c>
      <c r="G161" s="203">
        <f t="shared" si="24"/>
        <v>7231.0788490953337</v>
      </c>
      <c r="H161" s="203">
        <f t="shared" si="24"/>
        <v>7231.0788490953337</v>
      </c>
      <c r="I161" s="203">
        <f t="shared" si="24"/>
        <v>7231.0788490953337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514"/>
      <c r="C162" s="515"/>
      <c r="D162" s="515"/>
      <c r="E162" s="515"/>
      <c r="F162" s="515"/>
      <c r="G162" s="515"/>
      <c r="H162" s="515"/>
      <c r="I162" s="516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517" t="s">
        <v>1351</v>
      </c>
      <c r="C163" s="518"/>
      <c r="D163" s="408">
        <f t="shared" ref="D163:I163" si="25">D159+D161</f>
        <v>-23719.903333333332</v>
      </c>
      <c r="E163" s="408">
        <f t="shared" si="25"/>
        <v>193553.36769911073</v>
      </c>
      <c r="F163" s="408">
        <f t="shared" si="25"/>
        <v>197248.30816390528</v>
      </c>
      <c r="G163" s="408">
        <f t="shared" si="25"/>
        <v>197248.30816390528</v>
      </c>
      <c r="H163" s="408">
        <f t="shared" si="25"/>
        <v>197248.30816390528</v>
      </c>
      <c r="I163" s="409">
        <f t="shared" si="25"/>
        <v>187015.23113309295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customHeight="1">
      <c r="A165" s="1"/>
      <c r="B165" s="485" t="s">
        <v>1360</v>
      </c>
      <c r="C165" s="436"/>
      <c r="D165" s="436"/>
      <c r="E165" s="436"/>
      <c r="F165" s="436"/>
      <c r="G165" s="436"/>
      <c r="H165" s="436"/>
      <c r="I165" s="437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41" t="s">
        <v>1220</v>
      </c>
      <c r="C166" s="328">
        <f>D108</f>
        <v>-23719.903333333332</v>
      </c>
      <c r="D166" s="132"/>
      <c r="E166" s="132"/>
      <c r="F166" s="132"/>
      <c r="G166" s="132"/>
      <c r="H166" s="132"/>
      <c r="I166" s="132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41" t="s">
        <v>1221</v>
      </c>
      <c r="C167" s="328">
        <f>E163</f>
        <v>193553.36769911073</v>
      </c>
      <c r="D167" s="132"/>
      <c r="E167" s="132"/>
      <c r="F167" s="132"/>
      <c r="G167" s="132"/>
      <c r="H167" s="132"/>
      <c r="I167" s="132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41" t="s">
        <v>1222</v>
      </c>
      <c r="C168" s="328">
        <f>F163</f>
        <v>197248.30816390528</v>
      </c>
      <c r="D168" s="132"/>
      <c r="E168" s="425" t="s">
        <v>1182</v>
      </c>
      <c r="F168" s="426">
        <f t="array" ref="F168">C166+NPV(C172,C167:C171)</f>
        <v>948593.6199905863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41" t="s">
        <v>1224</v>
      </c>
      <c r="C169" s="328">
        <f>G163</f>
        <v>197248.30816390528</v>
      </c>
      <c r="D169" s="132"/>
      <c r="E169" s="490" t="s">
        <v>1361</v>
      </c>
      <c r="F169" s="431"/>
      <c r="G169" s="431"/>
      <c r="H169" s="132"/>
      <c r="I169" s="132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41" t="s">
        <v>1225</v>
      </c>
      <c r="C170" s="328">
        <f>H163</f>
        <v>197248.30816390528</v>
      </c>
      <c r="D170" s="132"/>
      <c r="E170" s="132"/>
      <c r="F170" s="132"/>
      <c r="G170" s="132"/>
      <c r="H170" s="132"/>
      <c r="I170" s="132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41" t="s">
        <v>1226</v>
      </c>
      <c r="C171" s="328">
        <f>I163</f>
        <v>187015.23113309295</v>
      </c>
      <c r="D171" s="132"/>
      <c r="E171" s="132"/>
      <c r="F171" s="132"/>
      <c r="G171" s="132"/>
      <c r="H171" s="132"/>
      <c r="I171" s="132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41"/>
      <c r="C172" s="328"/>
      <c r="D172" s="132"/>
      <c r="E172" s="132"/>
      <c r="F172" s="132"/>
      <c r="G172" s="132"/>
      <c r="H172" s="132"/>
      <c r="I172" s="132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6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customHeight="1">
      <c r="A174" s="1"/>
      <c r="B174" s="485" t="s">
        <v>1360</v>
      </c>
      <c r="C174" s="436"/>
      <c r="D174" s="436"/>
      <c r="E174" s="436"/>
      <c r="F174" s="436"/>
      <c r="G174" s="436"/>
      <c r="H174" s="436"/>
      <c r="I174" s="437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427" t="s">
        <v>1220</v>
      </c>
      <c r="C175" s="40">
        <f>D108</f>
        <v>-23719.903333333332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427" t="s">
        <v>1221</v>
      </c>
      <c r="C176" s="40">
        <f t="shared" ref="C176:C180" si="26">C167</f>
        <v>193553.36769911073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427" t="s">
        <v>1222</v>
      </c>
      <c r="C177" s="40">
        <f t="shared" si="26"/>
        <v>197248.30816390528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427" t="s">
        <v>1224</v>
      </c>
      <c r="C178" s="40">
        <f t="shared" si="26"/>
        <v>197248.30816390528</v>
      </c>
      <c r="D178" s="1"/>
      <c r="E178" s="416" t="s">
        <v>1223</v>
      </c>
      <c r="F178" s="417">
        <f>IRR(C175:C180)</f>
        <v>8.1767488653220664</v>
      </c>
      <c r="G178" s="418">
        <f>F178</f>
        <v>8.1767488653220664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427" t="s">
        <v>1225</v>
      </c>
      <c r="C179" s="40">
        <f t="shared" si="26"/>
        <v>197248.30816390528</v>
      </c>
      <c r="D179" s="1"/>
      <c r="E179" s="428" t="s">
        <v>1362</v>
      </c>
      <c r="F179" s="428"/>
      <c r="G179" s="428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427" t="s">
        <v>1226</v>
      </c>
      <c r="C180" s="40">
        <f t="shared" si="26"/>
        <v>187015.23113309295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3">
    <mergeCell ref="B13:I13"/>
    <mergeCell ref="B14:I14"/>
    <mergeCell ref="B15:I15"/>
    <mergeCell ref="B16:I16"/>
    <mergeCell ref="B17:I17"/>
    <mergeCell ref="B58:E58"/>
    <mergeCell ref="B59:E59"/>
    <mergeCell ref="C60:C61"/>
    <mergeCell ref="D60:D61"/>
    <mergeCell ref="E60:E61"/>
    <mergeCell ref="B18:I18"/>
    <mergeCell ref="B19:I19"/>
    <mergeCell ref="B20:I20"/>
    <mergeCell ref="B23:I23"/>
    <mergeCell ref="B24:I24"/>
    <mergeCell ref="B25:I25"/>
    <mergeCell ref="B26:I26"/>
    <mergeCell ref="B28:I28"/>
    <mergeCell ref="B29:I29"/>
    <mergeCell ref="B30:I30"/>
    <mergeCell ref="B31:I31"/>
    <mergeCell ref="B32:I32"/>
    <mergeCell ref="B33:I33"/>
    <mergeCell ref="B34:I34"/>
    <mergeCell ref="B2:I2"/>
    <mergeCell ref="B4:I4"/>
    <mergeCell ref="B7:I7"/>
    <mergeCell ref="B8:E8"/>
    <mergeCell ref="F8:I8"/>
    <mergeCell ref="B9:E9"/>
    <mergeCell ref="F9:I9"/>
    <mergeCell ref="B10:E10"/>
    <mergeCell ref="B11:E11"/>
    <mergeCell ref="F11:I12"/>
    <mergeCell ref="B12:E12"/>
    <mergeCell ref="B36:I36"/>
    <mergeCell ref="B38:I38"/>
    <mergeCell ref="B42:I42"/>
    <mergeCell ref="B45:I45"/>
    <mergeCell ref="B46:I46"/>
    <mergeCell ref="B47:I47"/>
    <mergeCell ref="B48:I48"/>
    <mergeCell ref="B49:I49"/>
    <mergeCell ref="B50:I50"/>
    <mergeCell ref="B51:I51"/>
    <mergeCell ref="B52:I52"/>
    <mergeCell ref="B53:I53"/>
    <mergeCell ref="B88:C88"/>
    <mergeCell ref="E74:E75"/>
    <mergeCell ref="B83:H83"/>
    <mergeCell ref="B84:H84"/>
    <mergeCell ref="B85:C86"/>
    <mergeCell ref="D85:H85"/>
    <mergeCell ref="B87:C87"/>
    <mergeCell ref="I88:L88"/>
    <mergeCell ref="B72:E72"/>
    <mergeCell ref="B73:E73"/>
    <mergeCell ref="C74:C75"/>
    <mergeCell ref="D74:D75"/>
    <mergeCell ref="J74:J75"/>
    <mergeCell ref="K74:K75"/>
    <mergeCell ref="L74:L75"/>
    <mergeCell ref="A70:K70"/>
    <mergeCell ref="I72:L72"/>
    <mergeCell ref="I73:L73"/>
    <mergeCell ref="I87:L87"/>
    <mergeCell ref="B148:C148"/>
    <mergeCell ref="B150:C150"/>
    <mergeCell ref="B152:C152"/>
    <mergeCell ref="B153:C153"/>
    <mergeCell ref="B154:C154"/>
    <mergeCell ref="B110:I110"/>
    <mergeCell ref="E114:G114"/>
    <mergeCell ref="B119:I119"/>
    <mergeCell ref="E124:G124"/>
    <mergeCell ref="A127:K127"/>
    <mergeCell ref="B129:E129"/>
    <mergeCell ref="B130:E130"/>
    <mergeCell ref="B131:E131"/>
    <mergeCell ref="C132:C133"/>
    <mergeCell ref="D132:D133"/>
    <mergeCell ref="B89:H89"/>
    <mergeCell ref="B98:C98"/>
    <mergeCell ref="B102:C103"/>
    <mergeCell ref="B104:C104"/>
    <mergeCell ref="B106:C106"/>
    <mergeCell ref="B108:C108"/>
    <mergeCell ref="B91:H91"/>
    <mergeCell ref="B93:H93"/>
    <mergeCell ref="B94:C94"/>
    <mergeCell ref="B95:H95"/>
    <mergeCell ref="B96:C96"/>
    <mergeCell ref="B97:C97"/>
    <mergeCell ref="B101:I101"/>
    <mergeCell ref="D102:I102"/>
    <mergeCell ref="B105:I105"/>
    <mergeCell ref="B107:I107"/>
    <mergeCell ref="B90:C90"/>
    <mergeCell ref="B92:C92"/>
    <mergeCell ref="B174:I174"/>
    <mergeCell ref="B157:C158"/>
    <mergeCell ref="B159:C159"/>
    <mergeCell ref="B160:I160"/>
    <mergeCell ref="B161:C161"/>
    <mergeCell ref="B162:I162"/>
    <mergeCell ref="B163:C163"/>
    <mergeCell ref="B165:I165"/>
    <mergeCell ref="E132:E133"/>
    <mergeCell ref="B140:H140"/>
    <mergeCell ref="B141:C142"/>
    <mergeCell ref="D141:H141"/>
    <mergeCell ref="B143:C143"/>
    <mergeCell ref="I143:L143"/>
    <mergeCell ref="I144:L144"/>
    <mergeCell ref="B145:H145"/>
    <mergeCell ref="E169:G169"/>
    <mergeCell ref="B147:H147"/>
    <mergeCell ref="B149:H149"/>
    <mergeCell ref="B151:H151"/>
    <mergeCell ref="B156:I156"/>
    <mergeCell ref="D157:I157"/>
    <mergeCell ref="B144:C144"/>
    <mergeCell ref="B146:C146"/>
  </mergeCells>
  <pageMargins left="0.75" right="0.75" top="1" bottom="1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34</vt:i4>
      </vt:variant>
      <vt:variant>
        <vt:lpstr>Rangos con nombre</vt:lpstr>
      </vt:variant>
      <vt:variant>
        <vt:i4>1</vt:i4>
      </vt:variant>
    </vt:vector>
  </HeadingPairs>
  <TitlesOfParts>
    <vt:vector size="35" baseType="lpstr">
      <vt:lpstr>Portada</vt:lpstr>
      <vt:lpstr>Resumen</vt:lpstr>
      <vt:lpstr>Estudio ADEK</vt:lpstr>
      <vt:lpstr>Venta_Unidades</vt:lpstr>
      <vt:lpstr>Presupuesto_Ventas</vt:lpstr>
      <vt:lpstr>Inversión_Inicial</vt:lpstr>
      <vt:lpstr>Depreciación_VR</vt:lpstr>
      <vt:lpstr>Costos_Producción</vt:lpstr>
      <vt:lpstr>Planilla</vt:lpstr>
      <vt:lpstr>Gastos_Operativos</vt:lpstr>
      <vt:lpstr>Costos_Totales</vt:lpstr>
      <vt:lpstr>Costos_Unitarios</vt:lpstr>
      <vt:lpstr>KW_Año 1</vt:lpstr>
      <vt:lpstr>Punto de Equilibrio</vt:lpstr>
      <vt:lpstr>Estado de Resultados</vt:lpstr>
      <vt:lpstr>Flujo_Deuda Frances 1</vt:lpstr>
      <vt:lpstr>Flujo_Deuda Frances 2</vt:lpstr>
      <vt:lpstr>Flujo_Deuda Alemán</vt:lpstr>
      <vt:lpstr>Pago IGV</vt:lpstr>
      <vt:lpstr>Flujo de Caja Económico A</vt:lpstr>
      <vt:lpstr>Flujo de Caja Económico B</vt:lpstr>
      <vt:lpstr>VANE , TIRE -VAN, TIRF</vt:lpstr>
      <vt:lpstr>Flujo de Caja de la Deuda</vt:lpstr>
      <vt:lpstr>Flujo de Caja Financiero</vt:lpstr>
      <vt:lpstr>Rp</vt:lpstr>
      <vt:lpstr>Ku</vt:lpstr>
      <vt:lpstr>Ke y Kwacc</vt:lpstr>
      <vt:lpstr>Taller 4</vt:lpstr>
      <vt:lpstr>Análisis de Sensibilidad 1</vt:lpstr>
      <vt:lpstr>Resumen del escenario</vt:lpstr>
      <vt:lpstr>Estados Financieros</vt:lpstr>
      <vt:lpstr>VPN y TIR</vt:lpstr>
      <vt:lpstr>Relación Costo Beneficio</vt:lpstr>
      <vt:lpstr>Análisis de Sensibilidad 2</vt:lpstr>
      <vt:lpstr>Tasa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ACHALMA</dc:creator>
  <cp:lastModifiedBy>E. Edison Achalma Mendoza</cp:lastModifiedBy>
  <dcterms:created xsi:type="dcterms:W3CDTF">2021-07-21T04:35:02Z</dcterms:created>
  <dcterms:modified xsi:type="dcterms:W3CDTF">2022-01-09T07:14:50Z</dcterms:modified>
</cp:coreProperties>
</file>