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E:\EC-448 EVALUACION PRIVADA DE PROYECTOS\Unidad 2\"/>
    </mc:Choice>
  </mc:AlternateContent>
  <xr:revisionPtr revIDLastSave="0" documentId="8_{B4C440DF-7CA3-4361-ADCE-E352C6BB47BE}" xr6:coauthVersionLast="47" xr6:coauthVersionMax="47" xr10:uidLastSave="{00000000-0000-0000-0000-000000000000}"/>
  <bookViews>
    <workbookView xWindow="-120" yWindow="-120" windowWidth="20730" windowHeight="11160" tabRatio="943" firstSheet="7" activeTab="11" xr2:uid="{00000000-000D-0000-FFFF-FFFF00000000}"/>
  </bookViews>
  <sheets>
    <sheet name="Resumen" sheetId="22" r:id="rId1"/>
    <sheet name="Ingresos" sheetId="3" r:id="rId2"/>
    <sheet name="Inversion" sheetId="1" r:id="rId3"/>
    <sheet name="Depreciacion" sheetId="5" r:id="rId4"/>
    <sheet name="Planilla" sheetId="25" r:id="rId5"/>
    <sheet name="Costos_Gastos" sheetId="20" r:id="rId6"/>
    <sheet name="Capital_Trabajo" sheetId="23" r:id="rId7"/>
    <sheet name="Punto_de_Equilibrio" sheetId="19" r:id="rId8"/>
    <sheet name="Estado_Resultados" sheetId="8" r:id="rId9"/>
    <sheet name="Servicio_Deuda" sheetId="7" r:id="rId10"/>
    <sheet name="Costos-Capital" sheetId="26" r:id="rId11"/>
    <sheet name="Flujos_de_Caja" sheetId="9" r:id="rId12"/>
  </sheets>
  <externalReferences>
    <externalReference r:id="rId13"/>
  </externalReferences>
  <definedNames>
    <definedName name="_xlnm.Print_Area" localSheetId="8">Estado_Resultados!$B$5:$G$23</definedName>
    <definedName name="_xlnm.Print_Area" localSheetId="11">Flujos_de_Caja!#REF!</definedName>
    <definedName name="Precio_Materia_Prima">#REF!</definedName>
    <definedName name="Precio_Queso_Maduro">#REF!</definedName>
    <definedName name="Precio_retablo_unidad">#REF!</definedName>
    <definedName name="TIRE">#REF!</definedName>
    <definedName name="TIRF">#REF!</definedName>
    <definedName name="VANE">#REF!</definedName>
    <definedName name="VANF">#REF!</definedName>
  </definedNames>
  <calcPr calcId="191029"/>
</workbook>
</file>

<file path=xl/calcChain.xml><?xml version="1.0" encoding="utf-8"?>
<calcChain xmlns="http://schemas.openxmlformats.org/spreadsheetml/2006/main">
  <c r="C5" i="7" l="1"/>
  <c r="D40" i="9"/>
  <c r="D24" i="19"/>
  <c r="C13" i="19"/>
  <c r="D6" i="19"/>
  <c r="E15" i="5"/>
  <c r="F15" i="5"/>
  <c r="G15" i="5"/>
  <c r="H15" i="5"/>
  <c r="D15" i="5"/>
  <c r="D8" i="5"/>
  <c r="C26" i="20" l="1"/>
  <c r="H6" i="26"/>
  <c r="H7" i="26"/>
  <c r="G34" i="9"/>
  <c r="G33" i="9" s="1"/>
  <c r="H34" i="9"/>
  <c r="G42" i="9"/>
  <c r="H42" i="9"/>
  <c r="G46" i="9"/>
  <c r="G48" i="9" s="1"/>
  <c r="H46" i="9"/>
  <c r="G47" i="9"/>
  <c r="H47" i="9"/>
  <c r="H48" i="9"/>
  <c r="R11" i="8"/>
  <c r="S11" i="8"/>
  <c r="R12" i="8"/>
  <c r="S12" i="8"/>
  <c r="R19" i="8"/>
  <c r="S19" i="8"/>
  <c r="R21" i="8"/>
  <c r="S21" i="8"/>
  <c r="S8" i="3"/>
  <c r="R8" i="3"/>
  <c r="C33" i="26"/>
  <c r="E11" i="1"/>
  <c r="E25" i="1" s="1"/>
  <c r="D11" i="1"/>
  <c r="D15" i="1"/>
  <c r="C23" i="26"/>
  <c r="C11" i="26"/>
  <c r="C12" i="26" s="1"/>
  <c r="C13" i="26" s="1"/>
  <c r="C7" i="25"/>
  <c r="C27" i="20" s="1"/>
  <c r="H6" i="25"/>
  <c r="D6" i="25"/>
  <c r="G6" i="25" s="1"/>
  <c r="I6" i="25" s="1"/>
  <c r="K12" i="25"/>
  <c r="H5" i="25"/>
  <c r="H7" i="25" s="1"/>
  <c r="C28" i="20" s="1"/>
  <c r="D5" i="25"/>
  <c r="G5" i="25" s="1"/>
  <c r="I5" i="25" s="1"/>
  <c r="F10" i="3"/>
  <c r="G10" i="3"/>
  <c r="H10" i="3"/>
  <c r="I10" i="3"/>
  <c r="J10" i="3"/>
  <c r="K10" i="3"/>
  <c r="L10" i="3"/>
  <c r="M10" i="3"/>
  <c r="N10" i="3"/>
  <c r="B12" i="3"/>
  <c r="D10" i="3"/>
  <c r="E10" i="3"/>
  <c r="C10" i="3"/>
  <c r="C8" i="7"/>
  <c r="C10" i="7"/>
  <c r="C6" i="19"/>
  <c r="O9" i="3"/>
  <c r="S9" i="3" s="1"/>
  <c r="C6" i="7"/>
  <c r="C7" i="7" s="1"/>
  <c r="H23" i="26" s="1"/>
  <c r="R9" i="3" l="1"/>
  <c r="R7" i="3" s="1"/>
  <c r="S7" i="3"/>
  <c r="C30" i="20"/>
  <c r="I7" i="25"/>
  <c r="O10" i="3"/>
  <c r="P10" i="3" s="1"/>
  <c r="Q10" i="3" s="1"/>
  <c r="R10" i="3" s="1"/>
  <c r="S10" i="3" s="1"/>
  <c r="F18" i="8" l="1"/>
  <c r="F10" i="23"/>
  <c r="N10" i="23"/>
  <c r="G10" i="23"/>
  <c r="O10" i="23"/>
  <c r="J10" i="23"/>
  <c r="K10" i="23"/>
  <c r="M10" i="23"/>
  <c r="H10" i="23"/>
  <c r="P10" i="23"/>
  <c r="I10" i="23"/>
  <c r="E10" i="23"/>
  <c r="L10" i="23"/>
  <c r="G18" i="8"/>
  <c r="N18" i="8"/>
  <c r="K18" i="8"/>
  <c r="I18" i="8"/>
  <c r="D18" i="8"/>
  <c r="E18" i="8"/>
  <c r="M18" i="8"/>
  <c r="J18" i="8"/>
  <c r="L18" i="8"/>
  <c r="C18" i="8"/>
  <c r="H18" i="8"/>
  <c r="D14" i="20"/>
  <c r="F14" i="20" s="1"/>
  <c r="F13" i="20"/>
  <c r="F15" i="20"/>
  <c r="O18" i="8" l="1"/>
  <c r="P18" i="8" s="1"/>
  <c r="F18" i="20"/>
  <c r="G8" i="23" s="1"/>
  <c r="Q18" i="8" l="1"/>
  <c r="R18" i="8" s="1"/>
  <c r="K8" i="23"/>
  <c r="O8" i="23"/>
  <c r="F8" i="23"/>
  <c r="J8" i="23"/>
  <c r="N8" i="23"/>
  <c r="I8" i="23"/>
  <c r="M8" i="23"/>
  <c r="E8" i="23"/>
  <c r="H8" i="23"/>
  <c r="L8" i="23"/>
  <c r="P8" i="23"/>
  <c r="D17" i="9"/>
  <c r="F17" i="9"/>
  <c r="G17" i="9"/>
  <c r="H17" i="9"/>
  <c r="I17" i="9"/>
  <c r="J17" i="9"/>
  <c r="K17" i="9"/>
  <c r="L17" i="9"/>
  <c r="M17" i="9"/>
  <c r="N17" i="9"/>
  <c r="D8" i="3"/>
  <c r="D7" i="3" s="1"/>
  <c r="E8" i="3"/>
  <c r="E7" i="3" s="1"/>
  <c r="F8" i="3"/>
  <c r="F7" i="3" s="1"/>
  <c r="G8" i="3"/>
  <c r="G7" i="3" s="1"/>
  <c r="H8" i="3"/>
  <c r="H7" i="3" s="1"/>
  <c r="I8" i="3"/>
  <c r="I7" i="3" s="1"/>
  <c r="J8" i="3"/>
  <c r="J7" i="3" s="1"/>
  <c r="K8" i="3"/>
  <c r="K7" i="3" s="1"/>
  <c r="L8" i="3"/>
  <c r="L7" i="3" s="1"/>
  <c r="M8" i="3"/>
  <c r="M7" i="3" s="1"/>
  <c r="N8" i="3"/>
  <c r="N7" i="3" s="1"/>
  <c r="O8" i="3"/>
  <c r="P8" i="3"/>
  <c r="Q8" i="3"/>
  <c r="C12" i="7"/>
  <c r="C14" i="1"/>
  <c r="C8" i="1"/>
  <c r="E17" i="9"/>
  <c r="C17" i="9"/>
  <c r="C8" i="3"/>
  <c r="S18" i="8" l="1"/>
  <c r="S17" i="8" s="1"/>
  <c r="R17" i="8"/>
  <c r="F21" i="7"/>
  <c r="F29" i="7"/>
  <c r="F37" i="7"/>
  <c r="F45" i="7"/>
  <c r="F22" i="7"/>
  <c r="F30" i="7"/>
  <c r="F38" i="7"/>
  <c r="F46" i="7"/>
  <c r="F23" i="7"/>
  <c r="F31" i="7"/>
  <c r="F39" i="7"/>
  <c r="F47" i="7"/>
  <c r="F16" i="7"/>
  <c r="F24" i="7"/>
  <c r="F32" i="7"/>
  <c r="F40" i="7"/>
  <c r="F48" i="7"/>
  <c r="F17" i="7"/>
  <c r="F25" i="7"/>
  <c r="F33" i="7"/>
  <c r="F41" i="7"/>
  <c r="F49" i="7"/>
  <c r="F18" i="7"/>
  <c r="F26" i="7"/>
  <c r="F34" i="7"/>
  <c r="F42" i="7"/>
  <c r="F50" i="7"/>
  <c r="F19" i="7"/>
  <c r="F27" i="7"/>
  <c r="F35" i="7"/>
  <c r="F43" i="7"/>
  <c r="F15" i="7"/>
  <c r="F20" i="7"/>
  <c r="F28" i="7"/>
  <c r="F36" i="7"/>
  <c r="F44" i="7"/>
  <c r="P7" i="23"/>
  <c r="P9" i="23" s="1"/>
  <c r="P11" i="23" s="1"/>
  <c r="N14" i="8"/>
  <c r="N7" i="23"/>
  <c r="N9" i="23" s="1"/>
  <c r="N11" i="23" s="1"/>
  <c r="L14" i="8"/>
  <c r="L7" i="23"/>
  <c r="L9" i="23" s="1"/>
  <c r="L11" i="23" s="1"/>
  <c r="J14" i="8"/>
  <c r="J7" i="23"/>
  <c r="J9" i="23" s="1"/>
  <c r="J11" i="23" s="1"/>
  <c r="H14" i="8"/>
  <c r="H7" i="23"/>
  <c r="H9" i="23" s="1"/>
  <c r="H11" i="23" s="1"/>
  <c r="F14" i="8"/>
  <c r="F7" i="23"/>
  <c r="F9" i="23" s="1"/>
  <c r="F11" i="23" s="1"/>
  <c r="D14" i="8"/>
  <c r="O7" i="23"/>
  <c r="O9" i="23" s="1"/>
  <c r="O11" i="23" s="1"/>
  <c r="M14" i="8"/>
  <c r="M7" i="23"/>
  <c r="M9" i="23" s="1"/>
  <c r="M11" i="23" s="1"/>
  <c r="K14" i="8"/>
  <c r="K7" i="23"/>
  <c r="K9" i="23" s="1"/>
  <c r="K11" i="23" s="1"/>
  <c r="I14" i="8"/>
  <c r="I7" i="23"/>
  <c r="I9" i="23" s="1"/>
  <c r="I11" i="23" s="1"/>
  <c r="G14" i="8"/>
  <c r="G7" i="23"/>
  <c r="G9" i="23" s="1"/>
  <c r="G11" i="23" s="1"/>
  <c r="E14" i="8"/>
  <c r="P19" i="8"/>
  <c r="P17" i="8" s="1"/>
  <c r="Q19" i="8"/>
  <c r="Q17" i="8" s="1"/>
  <c r="O19" i="8"/>
  <c r="O17" i="8" s="1"/>
  <c r="O21" i="8"/>
  <c r="Q21" i="8" s="1"/>
  <c r="F42" i="9" s="1"/>
  <c r="D42" i="9"/>
  <c r="C21" i="1"/>
  <c r="C15" i="7"/>
  <c r="D15" i="7" s="1"/>
  <c r="H41" i="9" l="1"/>
  <c r="G41" i="9"/>
  <c r="E15" i="7"/>
  <c r="E19" i="8"/>
  <c r="E17" i="8" s="1"/>
  <c r="G19" i="8"/>
  <c r="G17" i="8" s="1"/>
  <c r="I19" i="8"/>
  <c r="I17" i="8" s="1"/>
  <c r="K19" i="8"/>
  <c r="K17" i="8" s="1"/>
  <c r="M19" i="8"/>
  <c r="M17" i="8" s="1"/>
  <c r="C19" i="8"/>
  <c r="C17" i="8" s="1"/>
  <c r="D19" i="8"/>
  <c r="D17" i="8" s="1"/>
  <c r="F19" i="8"/>
  <c r="F17" i="8" s="1"/>
  <c r="H19" i="8"/>
  <c r="H17" i="8" s="1"/>
  <c r="J19" i="8"/>
  <c r="J17" i="8" s="1"/>
  <c r="L19" i="8"/>
  <c r="L17" i="8" s="1"/>
  <c r="N19" i="8"/>
  <c r="N17" i="8" s="1"/>
  <c r="P21" i="8"/>
  <c r="E42" i="9" s="1"/>
  <c r="F16" i="9" l="1"/>
  <c r="N16" i="9"/>
  <c r="I16" i="9"/>
  <c r="H16" i="9"/>
  <c r="C16" i="9"/>
  <c r="K16" i="9"/>
  <c r="D16" i="9"/>
  <c r="J16" i="9"/>
  <c r="E16" i="9"/>
  <c r="M16" i="9"/>
  <c r="L16" i="9"/>
  <c r="G16" i="9"/>
  <c r="E18" i="19" l="1"/>
  <c r="E6" i="19"/>
  <c r="C45" i="9"/>
  <c r="C48" i="9" s="1"/>
  <c r="C22" i="9"/>
  <c r="E24" i="19" l="1"/>
  <c r="F18" i="19"/>
  <c r="F24" i="19" s="1"/>
  <c r="D18" i="19"/>
  <c r="G15" i="7"/>
  <c r="C21" i="9"/>
  <c r="C16" i="7" l="1"/>
  <c r="D16" i="7" s="1"/>
  <c r="C23" i="9"/>
  <c r="E16" i="7" l="1"/>
  <c r="D21" i="9" s="1"/>
  <c r="G16" i="7" l="1"/>
  <c r="C17" i="7" s="1"/>
  <c r="D17" i="7" s="1"/>
  <c r="E22" i="9" s="1"/>
  <c r="D22" i="9"/>
  <c r="D23" i="9" s="1"/>
  <c r="E17" i="7" l="1"/>
  <c r="E21" i="9" s="1"/>
  <c r="N21" i="9" s="1"/>
  <c r="F21" i="9" l="1"/>
  <c r="E23" i="9"/>
  <c r="K21" i="9"/>
  <c r="M21" i="9"/>
  <c r="H21" i="9"/>
  <c r="I21" i="9"/>
  <c r="J21" i="9"/>
  <c r="L21" i="9"/>
  <c r="G21" i="9"/>
  <c r="G17" i="7"/>
  <c r="C18" i="7" s="1"/>
  <c r="D18" i="7" l="1"/>
  <c r="E18" i="7" l="1"/>
  <c r="G18" i="7" s="1"/>
  <c r="C19" i="7" s="1"/>
  <c r="F22" i="9"/>
  <c r="F23" i="9" s="1"/>
  <c r="D19" i="7" l="1"/>
  <c r="E19" i="7" l="1"/>
  <c r="G19" i="7" s="1"/>
  <c r="C20" i="7" s="1"/>
  <c r="G22" i="9"/>
  <c r="G23" i="9" s="1"/>
  <c r="D20" i="7" l="1"/>
  <c r="E20" i="7" l="1"/>
  <c r="G20" i="7" s="1"/>
  <c r="C21" i="7" s="1"/>
  <c r="H22" i="9"/>
  <c r="H23" i="9" s="1"/>
  <c r="D21" i="7" l="1"/>
  <c r="E21" i="7" l="1"/>
  <c r="G21" i="7" s="1"/>
  <c r="C22" i="7" s="1"/>
  <c r="I22" i="9"/>
  <c r="I23" i="9" s="1"/>
  <c r="D12" i="8"/>
  <c r="E12" i="8"/>
  <c r="F12" i="8"/>
  <c r="G12" i="8"/>
  <c r="H12" i="8"/>
  <c r="I12" i="8"/>
  <c r="J12" i="8"/>
  <c r="K12" i="8"/>
  <c r="L12" i="8"/>
  <c r="M12" i="8"/>
  <c r="N12" i="8"/>
  <c r="F8" i="5"/>
  <c r="G8" i="5" s="1"/>
  <c r="I8" i="5" s="1"/>
  <c r="D22" i="7" l="1"/>
  <c r="K9" i="9"/>
  <c r="K8" i="9" s="1"/>
  <c r="K11" i="8"/>
  <c r="I9" i="9"/>
  <c r="I8" i="9" s="1"/>
  <c r="I11" i="8"/>
  <c r="E9" i="9"/>
  <c r="E8" i="9" s="1"/>
  <c r="E11" i="8"/>
  <c r="J9" i="9"/>
  <c r="J8" i="9" s="1"/>
  <c r="J11" i="8"/>
  <c r="H9" i="9"/>
  <c r="H8" i="9" s="1"/>
  <c r="H11" i="8"/>
  <c r="G9" i="9"/>
  <c r="G8" i="9" s="1"/>
  <c r="G11" i="8"/>
  <c r="N9" i="9"/>
  <c r="N8" i="9" s="1"/>
  <c r="N11" i="8"/>
  <c r="F9" i="9"/>
  <c r="F8" i="9" s="1"/>
  <c r="F11" i="8"/>
  <c r="M9" i="9"/>
  <c r="M8" i="9" s="1"/>
  <c r="M11" i="8"/>
  <c r="L9" i="9"/>
  <c r="L8" i="9" s="1"/>
  <c r="L11" i="8"/>
  <c r="D9" i="9"/>
  <c r="D8" i="9" s="1"/>
  <c r="D11" i="8"/>
  <c r="F41" i="9"/>
  <c r="E41" i="9"/>
  <c r="G9" i="5"/>
  <c r="H8" i="5"/>
  <c r="H9" i="5" s="1"/>
  <c r="H14" i="5" l="1"/>
  <c r="S15" i="8" s="1"/>
  <c r="G14" i="5"/>
  <c r="R15" i="8" s="1"/>
  <c r="E22" i="7"/>
  <c r="J22" i="9"/>
  <c r="J23" i="9" s="1"/>
  <c r="D15" i="8"/>
  <c r="F15" i="8"/>
  <c r="H15" i="8"/>
  <c r="J15" i="8"/>
  <c r="L15" i="8"/>
  <c r="N15" i="8"/>
  <c r="E15" i="8"/>
  <c r="G15" i="8"/>
  <c r="I15" i="8"/>
  <c r="K15" i="8"/>
  <c r="M15" i="8"/>
  <c r="C15" i="8"/>
  <c r="J8" i="5"/>
  <c r="J9" i="5" s="1"/>
  <c r="H35" i="9" s="1"/>
  <c r="I9" i="5"/>
  <c r="F14" i="5"/>
  <c r="Q15" i="8" s="1"/>
  <c r="E14" i="5"/>
  <c r="P15" i="8" s="1"/>
  <c r="D14" i="5"/>
  <c r="O15" i="8" s="1"/>
  <c r="B128" i="7"/>
  <c r="D128" i="7"/>
  <c r="G128" i="7"/>
  <c r="B129" i="7"/>
  <c r="D129" i="7"/>
  <c r="G129" i="7"/>
  <c r="B130" i="7"/>
  <c r="D130" i="7"/>
  <c r="G130" i="7"/>
  <c r="B131" i="7"/>
  <c r="D131" i="7"/>
  <c r="G131" i="7"/>
  <c r="B132" i="7"/>
  <c r="D132" i="7"/>
  <c r="G132" i="7"/>
  <c r="B133" i="7"/>
  <c r="D133" i="7"/>
  <c r="G133" i="7"/>
  <c r="B134" i="7"/>
  <c r="D134" i="7"/>
  <c r="G134" i="7"/>
  <c r="B135" i="7"/>
  <c r="D135" i="7"/>
  <c r="G135" i="7"/>
  <c r="B136" i="7"/>
  <c r="D136" i="7"/>
  <c r="G136" i="7"/>
  <c r="B137" i="7"/>
  <c r="D137" i="7"/>
  <c r="G137" i="7"/>
  <c r="B138" i="7"/>
  <c r="D138" i="7"/>
  <c r="G138" i="7"/>
  <c r="D139" i="7"/>
  <c r="B140" i="7"/>
  <c r="B143" i="7"/>
  <c r="B144" i="7" s="1"/>
  <c r="C143" i="7"/>
  <c r="G22" i="7" l="1"/>
  <c r="C23" i="7" s="1"/>
  <c r="C144" i="7"/>
  <c r="E129" i="7"/>
  <c r="E130" i="7" s="1"/>
  <c r="E132" i="7" s="1"/>
  <c r="D13" i="8"/>
  <c r="D15" i="9" s="1"/>
  <c r="M13" i="8"/>
  <c r="M15" i="9" s="1"/>
  <c r="I13" i="8"/>
  <c r="I15" i="9" s="1"/>
  <c r="E13" i="8"/>
  <c r="E15" i="9" s="1"/>
  <c r="N13" i="8"/>
  <c r="N15" i="9" s="1"/>
  <c r="J13" i="8"/>
  <c r="J15" i="9" s="1"/>
  <c r="F13" i="8"/>
  <c r="F15" i="9" s="1"/>
  <c r="K13" i="8"/>
  <c r="K15" i="9" s="1"/>
  <c r="G13" i="8"/>
  <c r="G15" i="9" s="1"/>
  <c r="L13" i="8"/>
  <c r="L15" i="9" s="1"/>
  <c r="H13" i="8"/>
  <c r="H15" i="9" s="1"/>
  <c r="C38" i="9"/>
  <c r="D23" i="7" l="1"/>
  <c r="E16" i="8"/>
  <c r="E20" i="8" s="1"/>
  <c r="E22" i="8" s="1"/>
  <c r="I16" i="8"/>
  <c r="I20" i="8" s="1"/>
  <c r="I22" i="8" s="1"/>
  <c r="M16" i="8"/>
  <c r="M20" i="8" s="1"/>
  <c r="M22" i="8" s="1"/>
  <c r="F16" i="8"/>
  <c r="F20" i="8" s="1"/>
  <c r="F22" i="8" s="1"/>
  <c r="J16" i="8"/>
  <c r="J20" i="8" s="1"/>
  <c r="J22" i="8" s="1"/>
  <c r="N16" i="8"/>
  <c r="N20" i="8" s="1"/>
  <c r="N22" i="8" s="1"/>
  <c r="G16" i="8"/>
  <c r="G20" i="8" s="1"/>
  <c r="G22" i="8" s="1"/>
  <c r="K16" i="8"/>
  <c r="K20" i="8" s="1"/>
  <c r="K22" i="8" s="1"/>
  <c r="D16" i="8"/>
  <c r="D20" i="8" s="1"/>
  <c r="D22" i="8" s="1"/>
  <c r="H16" i="8"/>
  <c r="H20" i="8" s="1"/>
  <c r="H22" i="8" s="1"/>
  <c r="L16" i="8"/>
  <c r="L20" i="8" s="1"/>
  <c r="L22" i="8" s="1"/>
  <c r="E23" i="7" l="1"/>
  <c r="K22" i="9"/>
  <c r="K23" i="9" s="1"/>
  <c r="D41" i="9"/>
  <c r="G23" i="7" l="1"/>
  <c r="C24" i="7" s="1"/>
  <c r="D24" i="7" l="1"/>
  <c r="E24" i="7" l="1"/>
  <c r="L22" i="9"/>
  <c r="L23" i="9" s="1"/>
  <c r="G24" i="7" l="1"/>
  <c r="C25" i="7" s="1"/>
  <c r="D25" i="7" l="1"/>
  <c r="E25" i="7" l="1"/>
  <c r="M22" i="9"/>
  <c r="M23" i="9" s="1"/>
  <c r="G25" i="7" l="1"/>
  <c r="C26" i="7" s="1"/>
  <c r="D26" i="7" l="1"/>
  <c r="J18" i="7" l="1"/>
  <c r="N22" i="9"/>
  <c r="N23" i="9" s="1"/>
  <c r="E26" i="7"/>
  <c r="J19" i="7" l="1"/>
  <c r="D46" i="9" s="1"/>
  <c r="G26" i="7"/>
  <c r="C27" i="7" s="1"/>
  <c r="D47" i="9"/>
  <c r="J20" i="7" l="1"/>
  <c r="D27" i="7"/>
  <c r="D48" i="9"/>
  <c r="E27" i="7" l="1"/>
  <c r="G27" i="7" l="1"/>
  <c r="C28" i="7" s="1"/>
  <c r="D28" i="7" l="1"/>
  <c r="E28" i="7" l="1"/>
  <c r="G28" i="7" l="1"/>
  <c r="C29" i="7" s="1"/>
  <c r="D29" i="7" l="1"/>
  <c r="E29" i="7" l="1"/>
  <c r="F51" i="7"/>
  <c r="G29" i="7" l="1"/>
  <c r="C30" i="7" s="1"/>
  <c r="D30" i="7" l="1"/>
  <c r="C12" i="8"/>
  <c r="C7" i="3"/>
  <c r="C14" i="8" s="1"/>
  <c r="C13" i="8" s="1"/>
  <c r="C16" i="8" s="1"/>
  <c r="Q9" i="3"/>
  <c r="E30" i="7" l="1"/>
  <c r="C9" i="9"/>
  <c r="D34" i="9" s="1"/>
  <c r="C11" i="8"/>
  <c r="O12" i="8"/>
  <c r="O11" i="8" s="1"/>
  <c r="O7" i="3"/>
  <c r="P14" i="8"/>
  <c r="O14" i="8"/>
  <c r="O13" i="8" s="1"/>
  <c r="Q12" i="8"/>
  <c r="Q11" i="8" s="1"/>
  <c r="Q7" i="3"/>
  <c r="P9" i="3"/>
  <c r="E7" i="23"/>
  <c r="E9" i="23" s="1"/>
  <c r="E11" i="23" l="1"/>
  <c r="D12" i="23" s="1"/>
  <c r="G30" i="7"/>
  <c r="C31" i="7" s="1"/>
  <c r="C8" i="9"/>
  <c r="D33" i="9" s="1"/>
  <c r="F34" i="9"/>
  <c r="P12" i="8"/>
  <c r="P11" i="8" s="1"/>
  <c r="P7" i="3"/>
  <c r="C15" i="9"/>
  <c r="Q14" i="8"/>
  <c r="P13" i="8"/>
  <c r="E40" i="9" s="1"/>
  <c r="E37" i="9" s="1"/>
  <c r="Q13" i="8" l="1"/>
  <c r="F40" i="9" s="1"/>
  <c r="F37" i="9" s="1"/>
  <c r="R14" i="8"/>
  <c r="E12" i="23"/>
  <c r="E13" i="23" s="1"/>
  <c r="F12" i="23" s="1"/>
  <c r="D31" i="7"/>
  <c r="O16" i="8"/>
  <c r="C20" i="8"/>
  <c r="E34" i="9"/>
  <c r="E33" i="9" s="1"/>
  <c r="E43" i="9" s="1"/>
  <c r="P16" i="8"/>
  <c r="P20" i="8" s="1"/>
  <c r="P22" i="8" s="1"/>
  <c r="Q16" i="8"/>
  <c r="Q20" i="8" s="1"/>
  <c r="Q22" i="8" s="1"/>
  <c r="S14" i="8" l="1"/>
  <c r="S13" i="8" s="1"/>
  <c r="R13" i="8"/>
  <c r="F13" i="23"/>
  <c r="G12" i="23" s="1"/>
  <c r="E14" i="9" s="1"/>
  <c r="E12" i="9" s="1"/>
  <c r="E18" i="9" s="1"/>
  <c r="E24" i="9" s="1"/>
  <c r="D14" i="9"/>
  <c r="D12" i="9" s="1"/>
  <c r="D18" i="9" s="1"/>
  <c r="D24" i="9" s="1"/>
  <c r="C14" i="9"/>
  <c r="C12" i="9" s="1"/>
  <c r="C18" i="9" s="1"/>
  <c r="E31" i="7"/>
  <c r="G13" i="23"/>
  <c r="H12" i="23" s="1"/>
  <c r="C22" i="8"/>
  <c r="O22" i="8" s="1"/>
  <c r="O20" i="8"/>
  <c r="R16" i="8" l="1"/>
  <c r="R20" i="8" s="1"/>
  <c r="R22" i="8" s="1"/>
  <c r="G40" i="9"/>
  <c r="G37" i="9" s="1"/>
  <c r="G43" i="9" s="1"/>
  <c r="G49" i="9" s="1"/>
  <c r="S16" i="8"/>
  <c r="S20" i="8" s="1"/>
  <c r="S22" i="8" s="1"/>
  <c r="H40" i="9"/>
  <c r="H37" i="9" s="1"/>
  <c r="G31" i="7"/>
  <c r="C32" i="7" s="1"/>
  <c r="H13" i="23"/>
  <c r="I12" i="23" s="1"/>
  <c r="F14" i="9"/>
  <c r="F12" i="9" s="1"/>
  <c r="C24" i="9"/>
  <c r="D32" i="7" l="1"/>
  <c r="E32" i="7" s="1"/>
  <c r="G32" i="7" s="1"/>
  <c r="C33" i="7" s="1"/>
  <c r="G14" i="9"/>
  <c r="G12" i="9" s="1"/>
  <c r="G18" i="9" s="1"/>
  <c r="G24" i="9" s="1"/>
  <c r="I13" i="23"/>
  <c r="J12" i="23" s="1"/>
  <c r="F18" i="9"/>
  <c r="D33" i="7" l="1"/>
  <c r="F24" i="9"/>
  <c r="J13" i="23"/>
  <c r="K12" i="23" s="1"/>
  <c r="H14" i="9"/>
  <c r="H12" i="9" s="1"/>
  <c r="E33" i="7" l="1"/>
  <c r="H18" i="9"/>
  <c r="I14" i="9"/>
  <c r="I12" i="9" s="1"/>
  <c r="I18" i="9" s="1"/>
  <c r="I24" i="9" s="1"/>
  <c r="K13" i="23"/>
  <c r="L12" i="23" s="1"/>
  <c r="G33" i="7" l="1"/>
  <c r="C34" i="7" s="1"/>
  <c r="L13" i="23"/>
  <c r="M12" i="23" s="1"/>
  <c r="J14" i="9"/>
  <c r="J12" i="9" s="1"/>
  <c r="J18" i="9" s="1"/>
  <c r="J24" i="9" s="1"/>
  <c r="H24" i="9"/>
  <c r="D34" i="7" l="1"/>
  <c r="K14" i="9"/>
  <c r="K12" i="9" s="1"/>
  <c r="M13" i="23"/>
  <c r="N12" i="23" s="1"/>
  <c r="E34" i="7" l="1"/>
  <c r="N13" i="23"/>
  <c r="L14" i="9"/>
  <c r="L12" i="9" s="1"/>
  <c r="L18" i="9" s="1"/>
  <c r="L24" i="9" s="1"/>
  <c r="K18" i="9"/>
  <c r="G34" i="7" l="1"/>
  <c r="C35" i="7" s="1"/>
  <c r="O12" i="23"/>
  <c r="Q12" i="23" s="1"/>
  <c r="C23" i="1" s="1"/>
  <c r="M14" i="9"/>
  <c r="M12" i="9" s="1"/>
  <c r="K24" i="9"/>
  <c r="D23" i="1" l="1"/>
  <c r="D25" i="1" s="1"/>
  <c r="C24" i="1"/>
  <c r="H36" i="9" s="1"/>
  <c r="H33" i="9" s="1"/>
  <c r="H43" i="9" s="1"/>
  <c r="H49" i="9" s="1"/>
  <c r="D35" i="7"/>
  <c r="O13" i="23"/>
  <c r="M18" i="9"/>
  <c r="C39" i="9" l="1"/>
  <c r="C37" i="9" s="1"/>
  <c r="C43" i="9" s="1"/>
  <c r="C25" i="1"/>
  <c r="H20" i="26" s="1"/>
  <c r="C32" i="26"/>
  <c r="C35" i="26" s="1"/>
  <c r="C21" i="26" s="1"/>
  <c r="C25" i="26" s="1"/>
  <c r="H21" i="26" s="1"/>
  <c r="E35" i="7"/>
  <c r="N14" i="9"/>
  <c r="N12" i="9" s="1"/>
  <c r="P13" i="23"/>
  <c r="F33" i="9"/>
  <c r="F43" i="9" s="1"/>
  <c r="M24" i="9"/>
  <c r="H22" i="26" l="1"/>
  <c r="H25" i="26" s="1"/>
  <c r="C49" i="9"/>
  <c r="G35" i="7"/>
  <c r="C36" i="7" s="1"/>
  <c r="N18" i="9"/>
  <c r="D37" i="9"/>
  <c r="D36" i="7" l="1"/>
  <c r="N24" i="9"/>
  <c r="D43" i="9"/>
  <c r="E36" i="7" l="1"/>
  <c r="D49" i="9"/>
  <c r="C11" i="22"/>
  <c r="C9" i="22"/>
  <c r="G36" i="7" l="1"/>
  <c r="C37" i="7" s="1"/>
  <c r="D37" i="7" l="1"/>
  <c r="E37" i="7" l="1"/>
  <c r="G37" i="7" l="1"/>
  <c r="C38" i="7" s="1"/>
  <c r="D38" i="7" l="1"/>
  <c r="E38" i="7" l="1"/>
  <c r="K18" i="7"/>
  <c r="E47" i="9" l="1"/>
  <c r="K19" i="7"/>
  <c r="E46" i="9" s="1"/>
  <c r="G38" i="7"/>
  <c r="C39" i="7" s="1"/>
  <c r="D39" i="7" l="1"/>
  <c r="K20" i="7"/>
  <c r="E48" i="9"/>
  <c r="E49" i="9" s="1"/>
  <c r="E39" i="7" l="1"/>
  <c r="G39" i="7" l="1"/>
  <c r="C40" i="7" s="1"/>
  <c r="D40" i="7" l="1"/>
  <c r="E40" i="7" l="1"/>
  <c r="G40" i="7" l="1"/>
  <c r="C41" i="7" s="1"/>
  <c r="D41" i="7" l="1"/>
  <c r="E41" i="7" l="1"/>
  <c r="G41" i="7" l="1"/>
  <c r="C42" i="7" s="1"/>
  <c r="D42" i="7" l="1"/>
  <c r="E42" i="7" l="1"/>
  <c r="G42" i="7" l="1"/>
  <c r="C43" i="7" s="1"/>
  <c r="D43" i="7" l="1"/>
  <c r="E43" i="7" l="1"/>
  <c r="G43" i="7" l="1"/>
  <c r="C44" i="7" s="1"/>
  <c r="D44" i="7" l="1"/>
  <c r="E44" i="7" s="1"/>
  <c r="G44" i="7" s="1"/>
  <c r="C45" i="7" s="1"/>
  <c r="D45" i="7" l="1"/>
  <c r="E45" i="7" s="1"/>
  <c r="G45" i="7"/>
  <c r="C46" i="7" s="1"/>
  <c r="D46" i="7" l="1"/>
  <c r="E46" i="7" s="1"/>
  <c r="G46" i="7" s="1"/>
  <c r="C47" i="7" s="1"/>
  <c r="D47" i="7" s="1"/>
  <c r="E47" i="7" s="1"/>
  <c r="G47" i="7" s="1"/>
  <c r="C48" i="7" s="1"/>
  <c r="D48" i="7" s="1"/>
  <c r="E48" i="7" s="1"/>
  <c r="G48" i="7" s="1"/>
  <c r="C49" i="7" s="1"/>
  <c r="D49" i="7" s="1"/>
  <c r="E49" i="7" s="1"/>
  <c r="G49" i="7" s="1"/>
  <c r="C50" i="7" s="1"/>
  <c r="D50" i="7" l="1"/>
  <c r="C51" i="7"/>
  <c r="E50" i="7" l="1"/>
  <c r="D51" i="7"/>
  <c r="L18" i="7"/>
  <c r="F47" i="9" l="1"/>
  <c r="E51" i="7"/>
  <c r="L19" i="7"/>
  <c r="F46" i="9" s="1"/>
  <c r="G50" i="7"/>
  <c r="G51" i="7" s="1"/>
  <c r="F48" i="9" l="1"/>
  <c r="F49" i="9" s="1"/>
  <c r="L20" i="7"/>
  <c r="E9" i="22" l="1"/>
  <c r="E11" i="22"/>
</calcChain>
</file>

<file path=xl/sharedStrings.xml><?xml version="1.0" encoding="utf-8"?>
<sst xmlns="http://schemas.openxmlformats.org/spreadsheetml/2006/main" count="354" uniqueCount="295">
  <si>
    <t>TOTAL</t>
  </si>
  <si>
    <t>INGRESOS</t>
  </si>
  <si>
    <t>ACTIVO</t>
  </si>
  <si>
    <t>RUBROS</t>
  </si>
  <si>
    <t>UTILIDAD NETA</t>
  </si>
  <si>
    <t>EGRESOS</t>
  </si>
  <si>
    <t>|</t>
  </si>
  <si>
    <t>Precio</t>
  </si>
  <si>
    <t>soles</t>
  </si>
  <si>
    <t>FINANCIAMIENTO NETO</t>
  </si>
  <si>
    <t>Flujo de Caja Financiero</t>
  </si>
  <si>
    <t>DESTINO</t>
  </si>
  <si>
    <t>ACTIVO FIJO</t>
  </si>
  <si>
    <t>A. TANGIBLES</t>
  </si>
  <si>
    <t>Implementación y puesta en marcha</t>
  </si>
  <si>
    <t>TOTAL DE ACTIVO FIJO</t>
  </si>
  <si>
    <t>Impuestos y Tributos</t>
  </si>
  <si>
    <t>mensual</t>
  </si>
  <si>
    <t>Periodo pago</t>
  </si>
  <si>
    <t>meses</t>
  </si>
  <si>
    <t>mes</t>
  </si>
  <si>
    <t>Interes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</si>
  <si>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</si>
  <si>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</si>
  <si>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</si>
  <si>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</si>
  <si>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</si>
  <si>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</si>
  <si>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</si>
  <si>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</si>
  <si>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</si>
  <si>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</si>
  <si>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</si>
  <si>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</si>
  <si>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ACTUAL.</t>
  </si>
  <si>
    <t>CUADRO Nº 8.3</t>
  </si>
  <si>
    <t>CALCULO DEL VANF Y TIRF</t>
  </si>
  <si>
    <t xml:space="preserve">FLUJO </t>
  </si>
  <si>
    <t>F. DE ACTUAL.</t>
  </si>
  <si>
    <t>FLUJO</t>
  </si>
  <si>
    <t>FINANCIERO</t>
  </si>
  <si>
    <t>INVERSION</t>
  </si>
  <si>
    <t>VAN(-)</t>
  </si>
  <si>
    <t>TIR</t>
  </si>
  <si>
    <t>Maquinarias, Equipos y herramientas</t>
  </si>
  <si>
    <t>PRODUCTO</t>
  </si>
  <si>
    <t>PRECIO</t>
  </si>
  <si>
    <t>MgCU</t>
  </si>
  <si>
    <t>PE =</t>
  </si>
  <si>
    <t>CF</t>
  </si>
  <si>
    <t xml:space="preserve">   PE =</t>
  </si>
  <si>
    <t xml:space="preserve">EVALUACION ECONOMICA </t>
  </si>
  <si>
    <t>CVMe = Costo variable Medio(Costo Variable Unitario)</t>
  </si>
  <si>
    <t>MgCU = Margen de Contribución Unitario</t>
  </si>
  <si>
    <t>PUNTO DE EQUILIBRIO EN UNIDADES POR PRODUCTO</t>
  </si>
  <si>
    <t>UNIDAD
DE MEDIDA</t>
  </si>
  <si>
    <t>CANTIDAD
ANUAL</t>
  </si>
  <si>
    <t>CANTIDAD
MENSUAL</t>
  </si>
  <si>
    <t>CANTIDAD
DIARIA</t>
  </si>
  <si>
    <t>PUNTO DE EQUILIBRIO EN SOLES POR PRODUCTO</t>
  </si>
  <si>
    <t>TOTAL
ANUALS/.</t>
  </si>
  <si>
    <t xml:space="preserve">Flujo de Caja Económico  </t>
  </si>
  <si>
    <t>UTILIDAD IMPONIBLE</t>
  </si>
  <si>
    <t>Ingreso por ventas</t>
  </si>
  <si>
    <t>Flujo de Financiamento Neto</t>
  </si>
  <si>
    <t>Valor recuperado activo fijo</t>
  </si>
  <si>
    <t>B. INTANGIBLES</t>
  </si>
  <si>
    <t>TOTAL DE INVERSIÓN</t>
  </si>
  <si>
    <t>Valor del Activo</t>
  </si>
  <si>
    <t>Deprec. Anual</t>
  </si>
  <si>
    <t>Tasa de Deprec.</t>
  </si>
  <si>
    <t>Creación de una pagina  web.</t>
  </si>
  <si>
    <t>Terreno</t>
  </si>
  <si>
    <t>Construccion y Edificaciones</t>
  </si>
  <si>
    <t>Muebles y equipos de oficina</t>
  </si>
  <si>
    <t>Vehiculos</t>
  </si>
  <si>
    <t>Constitución y formalizacion</t>
  </si>
  <si>
    <t>Licencias</t>
  </si>
  <si>
    <t>Certificaciones</t>
  </si>
  <si>
    <t>Capacitaciones</t>
  </si>
  <si>
    <t>Materia prima</t>
  </si>
  <si>
    <t>Deprec. Acumulada</t>
  </si>
  <si>
    <t>Vida util</t>
  </si>
  <si>
    <t>Depreciaciones</t>
  </si>
  <si>
    <t>SERVICIO DE AMORTIZACION  LA DEUDA</t>
  </si>
  <si>
    <t>Prestamo</t>
  </si>
  <si>
    <t>Cuota principal</t>
  </si>
  <si>
    <t>Valor recupero de capital trabajo</t>
  </si>
  <si>
    <t>Inversion en Activo Fijo</t>
  </si>
  <si>
    <t>Inversion en Capital de Trabajo</t>
  </si>
  <si>
    <t>Costos de Produccion (*)</t>
  </si>
  <si>
    <t xml:space="preserve">Prestamo </t>
  </si>
  <si>
    <t>Amortización Principal</t>
  </si>
  <si>
    <t>Intereses</t>
  </si>
  <si>
    <t>PROYECCION DE INGRESOS POR VENTAS</t>
  </si>
  <si>
    <t>PUNTO DE EQUILIBRIO PARA UN PRODUCTO</t>
  </si>
  <si>
    <t>UNIDAD DE MEDIDA</t>
  </si>
  <si>
    <t>Soles</t>
  </si>
  <si>
    <t>COSTO TOTAL UNITARIO- CTU</t>
  </si>
  <si>
    <t>CTU =  CFU + CVU</t>
  </si>
  <si>
    <t>Donde:</t>
  </si>
  <si>
    <t xml:space="preserve">l </t>
  </si>
  <si>
    <t>Año 1</t>
  </si>
  <si>
    <t>Año 2</t>
  </si>
  <si>
    <t>Año 3</t>
  </si>
  <si>
    <t>Meses</t>
  </si>
  <si>
    <t>Platos</t>
  </si>
  <si>
    <t>Alquiler</t>
  </si>
  <si>
    <t>Servicios públicos</t>
  </si>
  <si>
    <t>Aseo y mantenimiento</t>
  </si>
  <si>
    <t>Promoción y publicidad</t>
  </si>
  <si>
    <t>TOTAL DE CAPITAL DE TRABAJO*</t>
  </si>
  <si>
    <t>Deprec. Mensual</t>
  </si>
  <si>
    <t xml:space="preserve">Costos fijos </t>
  </si>
  <si>
    <t>valor</t>
  </si>
  <si>
    <t xml:space="preserve">Recursos Humanos </t>
  </si>
  <si>
    <t>Arroz</t>
  </si>
  <si>
    <t>Mariscos</t>
  </si>
  <si>
    <t>Verduras</t>
  </si>
  <si>
    <t>Condimentos</t>
  </si>
  <si>
    <t>Servilletas</t>
  </si>
  <si>
    <t>Total costos variables</t>
  </si>
  <si>
    <t>Total costos Fijos</t>
  </si>
  <si>
    <t>Kilo</t>
  </si>
  <si>
    <t>Unidad de
 compra</t>
  </si>
  <si>
    <t>Precio
 unitario</t>
  </si>
  <si>
    <t>Unidades 
utilizadas</t>
  </si>
  <si>
    <t>Costo
 parcial</t>
  </si>
  <si>
    <t xml:space="preserve"> - Impuesto </t>
  </si>
  <si>
    <t>Amortizacion de intangibles</t>
  </si>
  <si>
    <t xml:space="preserve"> - Costos de ventas </t>
  </si>
  <si>
    <t>UTILIDAD BRUTA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</si>
  <si>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</si>
  <si>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</si>
  <si>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</si>
  <si>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</si>
  <si>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</si>
  <si>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</si>
  <si>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</si>
  <si>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</si>
  <si>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</si>
  <si>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</si>
  <si>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</si>
  <si>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</si>
  <si>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</si>
  <si>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</si>
  <si>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</si>
  <si>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</si>
  <si>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</si>
  <si>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</si>
  <si>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</si>
  <si>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</si>
  <si>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</si>
  <si>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</si>
  <si>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</si>
  <si>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</si>
  <si>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Año 0</t>
  </si>
  <si>
    <t>Gastos de Administracion  y ventas (**)</t>
  </si>
  <si>
    <t>Unidades mensuales</t>
  </si>
  <si>
    <t>Rubro</t>
  </si>
  <si>
    <t>Depreciacion</t>
  </si>
  <si>
    <t>Año1</t>
  </si>
  <si>
    <t>Año2</t>
  </si>
  <si>
    <t>Año3</t>
  </si>
  <si>
    <t xml:space="preserve">Total amortizacion </t>
  </si>
  <si>
    <t xml:space="preserve">Rubros </t>
  </si>
  <si>
    <t xml:space="preserve"> TOTAL </t>
  </si>
  <si>
    <t>PLAN DE INVERSIÓN INICIAL</t>
  </si>
  <si>
    <t xml:space="preserve"> - Gastos operativos</t>
  </si>
  <si>
    <t>Costo variable unitario</t>
  </si>
  <si>
    <t>Produccion en unidades</t>
  </si>
  <si>
    <t>Variacion capital de trabajo</t>
  </si>
  <si>
    <t>FLUJOS DE CAJA MENSUAL AÑO 1</t>
  </si>
  <si>
    <t>FLUJOS DE CAJA ANUAL PROYECTADO</t>
  </si>
  <si>
    <t>Meses primer año</t>
  </si>
  <si>
    <t>Maquinarias,Equipos y Herramientas</t>
  </si>
  <si>
    <t>RUBRO</t>
  </si>
  <si>
    <t>COSTO VARIABLE UNITARIO</t>
  </si>
  <si>
    <t>COSTO FIJO MENSUAL</t>
  </si>
  <si>
    <t>VARIACION DE CAPITAL DE TRABAJO MENSUAL EN EL PRIMER AÑO</t>
  </si>
  <si>
    <t>Horizonte de evaluacion</t>
  </si>
  <si>
    <t>años</t>
  </si>
  <si>
    <t>anual</t>
  </si>
  <si>
    <t>Plato a la carta</t>
  </si>
  <si>
    <t>platos</t>
  </si>
  <si>
    <t xml:space="preserve">TEM </t>
  </si>
  <si>
    <t>Mes</t>
  </si>
  <si>
    <t>Saldo Inicial</t>
  </si>
  <si>
    <t>Amortizacion</t>
  </si>
  <si>
    <t>Saldo Final</t>
  </si>
  <si>
    <t>Capital trabajo requerido</t>
  </si>
  <si>
    <t>(*) sin depreciaciones</t>
  </si>
  <si>
    <t>(**) sin amortizacion de intangibles</t>
  </si>
  <si>
    <t>VARIABLES CRITICAS</t>
  </si>
  <si>
    <t>AMORTIZACION ANUAL DE LA DEUDA</t>
  </si>
  <si>
    <t>Tasa Efectiva Mensual</t>
  </si>
  <si>
    <t>Valor</t>
  </si>
  <si>
    <t>Unidad</t>
  </si>
  <si>
    <t>Y</t>
  </si>
  <si>
    <t>FINANCIERA</t>
  </si>
  <si>
    <t>VANE</t>
  </si>
  <si>
    <t>TIRE</t>
  </si>
  <si>
    <t>TIRF</t>
  </si>
  <si>
    <t>VANF</t>
  </si>
  <si>
    <t>Total capital de Acumulado</t>
  </si>
  <si>
    <t>ESTADO DE RESULTADOS PROYECTADO</t>
  </si>
  <si>
    <t>TOTAL
MENSUALS/.</t>
  </si>
  <si>
    <t>TOTAL
DIARIOS/.</t>
  </si>
  <si>
    <t>TEA</t>
  </si>
  <si>
    <t>TEM real</t>
  </si>
  <si>
    <t>Inflacion anual</t>
  </si>
  <si>
    <t>Inflacion mes</t>
  </si>
  <si>
    <t>Amortización</t>
  </si>
  <si>
    <t>Ventas con IGV</t>
  </si>
  <si>
    <t>Ventas sin IGV</t>
  </si>
  <si>
    <t>Ventas sin  IGV</t>
  </si>
  <si>
    <t>Gastos Fijos operativos</t>
  </si>
  <si>
    <t xml:space="preserve">Costos de producción </t>
  </si>
  <si>
    <t>REGIMEN LABORAL MICRO EMPRESA</t>
  </si>
  <si>
    <t>Cargo</t>
  </si>
  <si>
    <t>Básico mes</t>
  </si>
  <si>
    <t>Anual</t>
  </si>
  <si>
    <t>Gratificación(*)</t>
  </si>
  <si>
    <t>CTS (**)</t>
  </si>
  <si>
    <t>Sub Total</t>
  </si>
  <si>
    <t>CIS (***)</t>
  </si>
  <si>
    <t>(*) No tiene gratificaciones</t>
  </si>
  <si>
    <t>(**) No tiene CTS</t>
  </si>
  <si>
    <t>(***) 15 soles mensuales por trabajador</t>
  </si>
  <si>
    <t>UIT</t>
  </si>
  <si>
    <t>Micro empresa</t>
  </si>
  <si>
    <t>CIS</t>
  </si>
  <si>
    <t>Total Costos Fijos</t>
  </si>
  <si>
    <t>Costos y gastos primer año</t>
  </si>
  <si>
    <t>CAPITAL DE TRABAJO (3 meses)</t>
  </si>
  <si>
    <t>Flujo de Caja de la deuda</t>
  </si>
  <si>
    <r>
      <t xml:space="preserve">Kurt = Rf usa+ </t>
    </r>
    <r>
      <rPr>
        <sz val="12"/>
        <color indexed="8"/>
        <rFont val="Symbol"/>
        <family val="1"/>
        <charset val="2"/>
      </rPr>
      <t>b</t>
    </r>
    <r>
      <rPr>
        <sz val="12"/>
        <color indexed="8"/>
        <rFont val="Times New Roman"/>
        <family val="1"/>
      </rPr>
      <t xml:space="preserve">u total </t>
    </r>
    <r>
      <rPr>
        <vertAlign val="subscript"/>
        <sz val="12"/>
        <color indexed="8"/>
        <rFont val="Times New Roman"/>
        <family val="1"/>
      </rPr>
      <t>ME</t>
    </r>
    <r>
      <rPr>
        <sz val="12"/>
        <color indexed="8"/>
        <rFont val="Times New Roman"/>
        <family val="1"/>
      </rPr>
      <t>* (Rm- Rf)</t>
    </r>
    <r>
      <rPr>
        <vertAlign val="subscript"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usa+ Rp </t>
    </r>
    <r>
      <rPr>
        <vertAlign val="subscript"/>
        <sz val="12"/>
        <color indexed="8"/>
        <rFont val="Times New Roman"/>
        <family val="1"/>
      </rPr>
      <t>PERU</t>
    </r>
    <r>
      <rPr>
        <sz val="12"/>
        <color indexed="8"/>
        <rFont val="Times New Roman"/>
        <family val="1"/>
      </rPr>
      <t xml:space="preserve"> </t>
    </r>
  </si>
  <si>
    <t>Donde</t>
  </si>
  <si>
    <t>Rf usa =</t>
  </si>
  <si>
    <t>promedio geometrico 1928-2020</t>
  </si>
  <si>
    <t>βu total ME =</t>
  </si>
  <si>
    <t>(Rm-Rf) =</t>
  </si>
  <si>
    <t>Rp =</t>
  </si>
  <si>
    <t>Promedio 2020</t>
  </si>
  <si>
    <t>COK desapalancado con Riesgo Total</t>
  </si>
  <si>
    <t>COK Apalancado con riesgo total</t>
  </si>
  <si>
    <t>Costo Promedio Ponderado de Capital con riesgo total</t>
  </si>
  <si>
    <r>
      <t xml:space="preserve">Kert = Rfusa + </t>
    </r>
    <r>
      <rPr>
        <b/>
        <sz val="12"/>
        <color indexed="8"/>
        <rFont val="Symbol"/>
        <family val="1"/>
        <charset val="2"/>
      </rPr>
      <t>b</t>
    </r>
    <r>
      <rPr>
        <b/>
        <sz val="12"/>
        <color indexed="8"/>
        <rFont val="Times New Roman"/>
        <family val="1"/>
      </rPr>
      <t xml:space="preserve">rl total </t>
    </r>
    <r>
      <rPr>
        <b/>
        <vertAlign val="subscript"/>
        <sz val="10"/>
        <color indexed="8"/>
        <rFont val="Times New Roman"/>
        <family val="1"/>
      </rPr>
      <t>PERU</t>
    </r>
    <r>
      <rPr>
        <b/>
        <sz val="12"/>
        <color indexed="8"/>
        <rFont val="Times New Roman"/>
        <family val="1"/>
      </rPr>
      <t xml:space="preserve">* (Rm- Rf )usa+ Rp </t>
    </r>
    <r>
      <rPr>
        <b/>
        <vertAlign val="subscript"/>
        <sz val="10"/>
        <color indexed="8"/>
        <rFont val="Times New Roman"/>
        <family val="1"/>
      </rPr>
      <t xml:space="preserve">PERU </t>
    </r>
    <r>
      <rPr>
        <b/>
        <sz val="12"/>
        <color indexed="8"/>
        <rFont val="Times New Roman"/>
        <family val="1"/>
      </rPr>
      <t xml:space="preserve">                                                </t>
    </r>
  </si>
  <si>
    <t>Dónde:</t>
  </si>
  <si>
    <t>Rfusa =</t>
  </si>
  <si>
    <r>
      <t>E/V*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=</t>
    </r>
  </si>
  <si>
    <r>
      <t>b</t>
    </r>
    <r>
      <rPr>
        <sz val="12"/>
        <color indexed="8"/>
        <rFont val="Times New Roman"/>
        <family val="1"/>
      </rPr>
      <t>rl total</t>
    </r>
    <r>
      <rPr>
        <vertAlign val="subscript"/>
        <sz val="10"/>
        <color indexed="8"/>
        <rFont val="Times New Roman"/>
        <family val="1"/>
      </rPr>
      <t xml:space="preserve"> PERU</t>
    </r>
    <r>
      <rPr>
        <sz val="12"/>
        <color indexed="8"/>
        <rFont val="Times New Roman"/>
        <family val="1"/>
      </rPr>
      <t xml:space="preserve">= </t>
    </r>
  </si>
  <si>
    <t>Kert =</t>
  </si>
  <si>
    <t>(Rm – Rf)usa =</t>
  </si>
  <si>
    <r>
      <t>D/V*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= </t>
    </r>
  </si>
  <si>
    <t xml:space="preserve">Rp = </t>
  </si>
  <si>
    <r>
      <t>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>=</t>
    </r>
    <r>
      <rPr>
        <sz val="12"/>
        <color indexed="8"/>
        <rFont val="Times New Roman"/>
        <family val="1"/>
      </rPr>
      <t xml:space="preserve"> </t>
    </r>
  </si>
  <si>
    <t>Beta reapalancado para el proyecto</t>
  </si>
  <si>
    <r>
      <t xml:space="preserve">             b</t>
    </r>
    <r>
      <rPr>
        <b/>
        <vertAlign val="subscript"/>
        <sz val="12"/>
        <color indexed="8"/>
        <rFont val="Arial"/>
        <family val="2"/>
      </rPr>
      <t xml:space="preserve">rl total  </t>
    </r>
    <r>
      <rPr>
        <b/>
        <sz val="12"/>
        <color indexed="8"/>
        <rFont val="Arial"/>
        <family val="2"/>
      </rPr>
      <t xml:space="preserve">=  </t>
    </r>
    <r>
      <rPr>
        <b/>
        <sz val="12"/>
        <color indexed="8"/>
        <rFont val="Symbol"/>
        <family val="1"/>
        <charset val="2"/>
      </rPr>
      <t>b</t>
    </r>
    <r>
      <rPr>
        <b/>
        <vertAlign val="subscript"/>
        <sz val="12"/>
        <color indexed="8"/>
        <rFont val="Arial"/>
        <family val="2"/>
      </rPr>
      <t>u total ME *</t>
    </r>
    <r>
      <rPr>
        <b/>
        <sz val="12"/>
        <color indexed="8"/>
        <rFont val="Arial"/>
        <family val="2"/>
      </rPr>
      <t>( 1+(D/E*)*( 1-t))</t>
    </r>
    <r>
      <rPr>
        <b/>
        <vertAlign val="subscript"/>
        <sz val="12"/>
        <color indexed="8"/>
        <rFont val="Arial"/>
        <family val="2"/>
      </rPr>
      <t xml:space="preserve">PERU                                                                             </t>
    </r>
    <r>
      <rPr>
        <sz val="12"/>
        <color indexed="8"/>
        <rFont val="Arial"/>
        <family val="2"/>
      </rPr>
      <t xml:space="preserve"> </t>
    </r>
  </si>
  <si>
    <r>
      <t>Donde:</t>
    </r>
    <r>
      <rPr>
        <sz val="12"/>
        <color indexed="8"/>
        <rFont val="Arial"/>
        <family val="2"/>
      </rPr>
      <t xml:space="preserve">         </t>
    </r>
    <r>
      <rPr>
        <sz val="12"/>
        <color indexed="8"/>
        <rFont val="Symbol"/>
        <family val="1"/>
        <charset val="2"/>
      </rPr>
      <t xml:space="preserve">                                                                      </t>
    </r>
  </si>
  <si>
    <r>
      <t>b</t>
    </r>
    <r>
      <rPr>
        <vertAlign val="subscript"/>
        <sz val="12"/>
        <color indexed="8"/>
        <rFont val="Arial"/>
        <family val="2"/>
      </rPr>
      <t xml:space="preserve">u total ME </t>
    </r>
    <r>
      <rPr>
        <sz val="12"/>
        <color indexed="8"/>
        <rFont val="Times New Roman"/>
        <family val="1"/>
      </rPr>
      <t xml:space="preserve">= </t>
    </r>
  </si>
  <si>
    <r>
      <t>D/E*</t>
    </r>
    <r>
      <rPr>
        <vertAlign val="subscript"/>
        <sz val="12"/>
        <color indexed="8"/>
        <rFont val="Times New Roman"/>
        <family val="1"/>
      </rPr>
      <t xml:space="preserve">PERU </t>
    </r>
    <r>
      <rPr>
        <sz val="12"/>
        <color indexed="8"/>
        <rFont val="Times New Roman"/>
        <family val="1"/>
      </rPr>
      <t xml:space="preserve">= </t>
    </r>
  </si>
  <si>
    <t xml:space="preserve">t* = </t>
  </si>
  <si>
    <t xml:space="preserve">βrl total perú </t>
  </si>
  <si>
    <t>Capital Propio</t>
  </si>
  <si>
    <t>Deuda</t>
  </si>
  <si>
    <r>
      <t>Kwacc rt= E/V * Kert + D/V * 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 xml:space="preserve">* </t>
    </r>
  </si>
  <si>
    <t>Kwacc rt</t>
  </si>
  <si>
    <t>Año 4</t>
  </si>
  <si>
    <t>Año 5</t>
  </si>
  <si>
    <t>Valor  de Recupero</t>
  </si>
  <si>
    <t>Beta total de Restaurantes</t>
  </si>
  <si>
    <t>Inflación USA</t>
  </si>
  <si>
    <t>Inflación Peru</t>
  </si>
  <si>
    <t>Kurt en dolares =</t>
  </si>
  <si>
    <t xml:space="preserve">                                (1+π USA )</t>
  </si>
  <si>
    <r>
      <t>Ki (s/.)  = Ki ($) X (</t>
    </r>
    <r>
      <rPr>
        <b/>
        <u/>
        <sz val="11"/>
        <color rgb="FF000000"/>
        <rFont val="Times New Roman"/>
        <family val="1"/>
      </rPr>
      <t xml:space="preserve">1+ π Perú) </t>
    </r>
  </si>
  <si>
    <r>
      <t xml:space="preserve">Ki real  =  </t>
    </r>
    <r>
      <rPr>
        <b/>
        <u/>
        <sz val="12"/>
        <color rgb="FF000000"/>
        <rFont val="Times New Roman"/>
        <family val="1"/>
      </rPr>
      <t>(1+ Ki nominal</t>
    </r>
    <r>
      <rPr>
        <b/>
        <sz val="12"/>
        <color rgb="FF000000"/>
        <rFont val="Times New Roman"/>
        <family val="1"/>
      </rPr>
      <t xml:space="preserve">) - 1                                                                               </t>
    </r>
  </si>
  <si>
    <t xml:space="preserve">                        (1 +  π)</t>
  </si>
  <si>
    <t>Kurt en Soles =</t>
  </si>
  <si>
    <t>Kurt soles real =</t>
  </si>
  <si>
    <t>Personal de Atención</t>
  </si>
  <si>
    <t>Personal de Cocina</t>
  </si>
  <si>
    <t>Servicio de lavado</t>
  </si>
  <si>
    <t>Valor de venta/plato</t>
  </si>
  <si>
    <t>Tasa de inflación anual Perú</t>
  </si>
  <si>
    <t>DEPRECIACIONES Y VALOR RECUPERO</t>
  </si>
  <si>
    <t>PROYECCION DEPRECIONES Y AMORTIZACION INTANGIBLES</t>
  </si>
  <si>
    <t>VALOR  = CTU + G</t>
  </si>
  <si>
    <t>CV por plato</t>
  </si>
  <si>
    <t>Valor del Marisco/Kgr</t>
  </si>
  <si>
    <t>** calculado para tres meses</t>
  </si>
  <si>
    <t>CVU</t>
  </si>
  <si>
    <t>pago Principal</t>
  </si>
  <si>
    <t>COK Des apalancado con riesgo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</si>
</sst>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.00_ ;_ * \-#,##0.00_ ;_ * &quot;-&quot;??_ ;_ @_ "/>
    <numFmt numFmtId="166" formatCode="#,##0.00\ &quot;pta&quot;;[Red]\-#,##0.00\ &quot;pta&quot;"/>
    <numFmt numFmtId="167" formatCode="0.00000"/>
    <numFmt numFmtId="168" formatCode="0.0000"/>
    <numFmt numFmtId="169" formatCode="0.000"/>
    <numFmt numFmtId="170" formatCode="0.0%"/>
    <numFmt numFmtId="171" formatCode="_ * #,##0_ ;_ * \-#,##0_ ;_ * &quot;-&quot;??_ ;_ @_ "/>
  </numFmts>
  <fonts count="4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4"/>
      <color theme="0"/>
      <name val="Arial"/>
      <family val="2"/>
    </font>
    <font>
      <b/>
      <sz val="10"/>
      <color theme="0"/>
      <name val="Arial"/>
      <family val="2"/>
    </font>
    <font>
      <sz val="12"/>
      <color rgb="FF000000"/>
      <name val="Times New Roman"/>
      <family val="1"/>
    </font>
    <font>
      <sz val="12"/>
      <color indexed="8"/>
      <name val="Symbol"/>
      <family val="1"/>
      <charset val="2"/>
    </font>
    <font>
      <sz val="12"/>
      <color indexed="8"/>
      <name val="Times New Roman"/>
      <family val="1"/>
    </font>
    <font>
      <vertAlign val="subscript"/>
      <sz val="12"/>
      <color indexed="8"/>
      <name val="Times New Roman"/>
      <family val="1"/>
    </font>
    <font>
      <sz val="10"/>
      <name val="Calibri"/>
      <family val="2"/>
    </font>
    <font>
      <b/>
      <sz val="12"/>
      <color rgb="FF000000"/>
      <name val="Times New Roman"/>
      <family val="1"/>
    </font>
    <font>
      <b/>
      <sz val="12"/>
      <color indexed="8"/>
      <name val="Symbol"/>
      <family val="1"/>
      <charset val="2"/>
    </font>
    <font>
      <b/>
      <sz val="12"/>
      <color indexed="8"/>
      <name val="Times New Roman"/>
      <family val="1"/>
    </font>
    <font>
      <b/>
      <vertAlign val="subscript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rgb="FF000000"/>
      <name val="Symbol"/>
      <family val="1"/>
      <charset val="2"/>
    </font>
    <font>
      <vertAlign val="subscript"/>
      <sz val="10"/>
      <color indexed="8"/>
      <name val="Times New Roman"/>
      <family val="1"/>
    </font>
    <font>
      <b/>
      <sz val="12"/>
      <color rgb="FF000000"/>
      <name val="Symbol"/>
      <family val="1"/>
      <charset val="2"/>
    </font>
    <font>
      <b/>
      <vertAlign val="subscript"/>
      <sz val="12"/>
      <color indexed="8"/>
      <name val="Arial"/>
      <family val="2"/>
    </font>
    <font>
      <sz val="12"/>
      <color indexed="8"/>
      <name val="Arial"/>
      <family val="2"/>
    </font>
    <font>
      <vertAlign val="subscript"/>
      <sz val="12"/>
      <color indexed="8"/>
      <name val="Arial"/>
      <family val="2"/>
    </font>
    <font>
      <b/>
      <u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77">
    <xf numFmtId="0" fontId="0" fillId="0" borderId="0" xfId="0"/>
    <xf numFmtId="4" fontId="0" fillId="2" borderId="1" xfId="0" applyNumberFormat="1" applyFill="1" applyBorder="1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5" fillId="2" borderId="0" xfId="2" applyFill="1" applyAlignment="1" applyProtection="1"/>
    <xf numFmtId="0" fontId="0" fillId="0" borderId="6" xfId="0" applyBorder="1"/>
    <xf numFmtId="0" fontId="2" fillId="0" borderId="0" xfId="0" applyFont="1"/>
    <xf numFmtId="0" fontId="0" fillId="0" borderId="0" xfId="0" applyBorder="1"/>
    <xf numFmtId="1" fontId="0" fillId="2" borderId="1" xfId="0" applyNumberFormat="1" applyFill="1" applyBorder="1"/>
    <xf numFmtId="1" fontId="0" fillId="2" borderId="0" xfId="0" applyNumberFormat="1" applyFill="1" applyBorder="1"/>
    <xf numFmtId="1" fontId="0" fillId="2" borderId="0" xfId="0" applyNumberFormat="1" applyFill="1"/>
    <xf numFmtId="4" fontId="0" fillId="2" borderId="0" xfId="0" applyNumberFormat="1" applyFill="1" applyBorder="1"/>
    <xf numFmtId="0" fontId="6" fillId="2" borderId="0" xfId="0" applyFont="1" applyFill="1"/>
    <xf numFmtId="0" fontId="3" fillId="2" borderId="0" xfId="0" applyFont="1" applyFill="1"/>
    <xf numFmtId="0" fontId="0" fillId="0" borderId="13" xfId="0" applyBorder="1"/>
    <xf numFmtId="169" fontId="0" fillId="0" borderId="6" xfId="0" applyNumberFormat="1" applyBorder="1"/>
    <xf numFmtId="0" fontId="0" fillId="0" borderId="14" xfId="0" applyBorder="1"/>
    <xf numFmtId="2" fontId="11" fillId="0" borderId="15" xfId="0" applyNumberFormat="1" applyFont="1" applyBorder="1"/>
    <xf numFmtId="0" fontId="11" fillId="0" borderId="1" xfId="0" applyFont="1" applyBorder="1"/>
    <xf numFmtId="0" fontId="2" fillId="0" borderId="0" xfId="0" applyFont="1" applyBorder="1"/>
    <xf numFmtId="0" fontId="2" fillId="0" borderId="15" xfId="0" applyFont="1" applyBorder="1"/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0" borderId="17" xfId="0" applyFont="1" applyBorder="1"/>
    <xf numFmtId="0" fontId="12" fillId="0" borderId="2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2" fillId="0" borderId="19" xfId="0" applyFont="1" applyBorder="1"/>
    <xf numFmtId="0" fontId="0" fillId="0" borderId="20" xfId="0" applyBorder="1"/>
    <xf numFmtId="0" fontId="12" fillId="0" borderId="0" xfId="0" applyFont="1" applyBorder="1" applyAlignment="1">
      <alignment horizontal="center"/>
    </xf>
    <xf numFmtId="0" fontId="0" fillId="0" borderId="21" xfId="0" applyBorder="1"/>
    <xf numFmtId="9" fontId="2" fillId="0" borderId="17" xfId="0" applyNumberFormat="1" applyFont="1" applyBorder="1"/>
    <xf numFmtId="0" fontId="2" fillId="0" borderId="2" xfId="0" applyFont="1" applyBorder="1"/>
    <xf numFmtId="9" fontId="12" fillId="0" borderId="17" xfId="0" applyNumberFormat="1" applyFont="1" applyBorder="1" applyAlignment="1">
      <alignment horizontal="center"/>
    </xf>
    <xf numFmtId="168" fontId="0" fillId="0" borderId="6" xfId="0" applyNumberFormat="1" applyBorder="1"/>
    <xf numFmtId="168" fontId="0" fillId="0" borderId="15" xfId="0" applyNumberFormat="1" applyBorder="1"/>
    <xf numFmtId="168" fontId="0" fillId="0" borderId="0" xfId="0" applyNumberFormat="1" applyBorder="1"/>
    <xf numFmtId="168" fontId="0" fillId="0" borderId="0" xfId="0" applyNumberFormat="1"/>
    <xf numFmtId="167" fontId="0" fillId="0" borderId="0" xfId="0" applyNumberFormat="1" applyBorder="1"/>
    <xf numFmtId="169" fontId="0" fillId="0" borderId="2" xfId="0" applyNumberFormat="1" applyBorder="1"/>
    <xf numFmtId="0" fontId="0" fillId="0" borderId="17" xfId="0" applyBorder="1"/>
    <xf numFmtId="168" fontId="2" fillId="0" borderId="1" xfId="0" applyNumberFormat="1" applyFont="1" applyBorder="1"/>
    <xf numFmtId="166" fontId="0" fillId="0" borderId="0" xfId="0" applyNumberFormat="1"/>
    <xf numFmtId="0" fontId="11" fillId="0" borderId="6" xfId="0" applyFont="1" applyFill="1" applyBorder="1"/>
    <xf numFmtId="2" fontId="11" fillId="0" borderId="2" xfId="0" applyNumberFormat="1" applyFont="1" applyBorder="1"/>
    <xf numFmtId="43" fontId="0" fillId="2" borderId="0" xfId="0" applyNumberFormat="1" applyFill="1"/>
    <xf numFmtId="0" fontId="0" fillId="0" borderId="0" xfId="0" applyFill="1" applyBorder="1"/>
    <xf numFmtId="164" fontId="0" fillId="2" borderId="0" xfId="1" applyFont="1" applyFill="1" applyBorder="1"/>
    <xf numFmtId="4" fontId="0" fillId="0" borderId="1" xfId="0" applyNumberFormat="1" applyBorder="1"/>
    <xf numFmtId="4" fontId="4" fillId="2" borderId="0" xfId="0" applyNumberFormat="1" applyFont="1" applyFill="1" applyBorder="1"/>
    <xf numFmtId="1" fontId="0" fillId="0" borderId="0" xfId="0" applyNumberFormat="1"/>
    <xf numFmtId="0" fontId="3" fillId="2" borderId="0" xfId="0" applyFont="1" applyFill="1" applyBorder="1" applyAlignment="1">
      <alignment horizontal="left" vertical="center"/>
    </xf>
    <xf numFmtId="2" fontId="0" fillId="0" borderId="0" xfId="0" applyNumberFormat="1" applyBorder="1"/>
    <xf numFmtId="170" fontId="0" fillId="0" borderId="0" xfId="3" applyNumberFormat="1" applyFont="1" applyBorder="1"/>
    <xf numFmtId="0" fontId="13" fillId="2" borderId="0" xfId="0" applyFont="1" applyFill="1"/>
    <xf numFmtId="3" fontId="0" fillId="2" borderId="1" xfId="0" applyNumberFormat="1" applyFill="1" applyBorder="1"/>
    <xf numFmtId="0" fontId="3" fillId="0" borderId="0" xfId="0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3" fillId="2" borderId="3" xfId="0" applyFont="1" applyFill="1" applyBorder="1"/>
    <xf numFmtId="4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 wrapText="1"/>
    </xf>
    <xf numFmtId="170" fontId="0" fillId="0" borderId="0" xfId="3" applyNumberFormat="1" applyFont="1" applyFill="1" applyBorder="1"/>
    <xf numFmtId="0" fontId="2" fillId="3" borderId="0" xfId="0" applyFont="1" applyFill="1" applyBorder="1"/>
    <xf numFmtId="0" fontId="9" fillId="3" borderId="0" xfId="0" applyFont="1" applyFill="1" applyBorder="1" applyAlignment="1">
      <alignment horizontal="center"/>
    </xf>
    <xf numFmtId="0" fontId="2" fillId="3" borderId="3" xfId="0" applyFont="1" applyFill="1" applyBorder="1"/>
    <xf numFmtId="0" fontId="3" fillId="2" borderId="0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 wrapText="1"/>
    </xf>
    <xf numFmtId="1" fontId="15" fillId="2" borderId="31" xfId="3" applyNumberFormat="1" applyFon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33" xfId="0" applyBorder="1" applyAlignment="1">
      <alignment horizont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3" fontId="0" fillId="2" borderId="15" xfId="0" applyNumberFormat="1" applyFill="1" applyBorder="1"/>
    <xf numFmtId="0" fontId="3" fillId="0" borderId="0" xfId="0" applyFont="1"/>
    <xf numFmtId="0" fontId="3" fillId="0" borderId="1" xfId="0" applyFont="1" applyBorder="1"/>
    <xf numFmtId="0" fontId="0" fillId="0" borderId="22" xfId="0" applyBorder="1"/>
    <xf numFmtId="4" fontId="2" fillId="2" borderId="1" xfId="1" applyNumberFormat="1" applyFont="1" applyFill="1" applyBorder="1"/>
    <xf numFmtId="4" fontId="0" fillId="2" borderId="1" xfId="1" applyNumberFormat="1" applyFont="1" applyFill="1" applyBorder="1"/>
    <xf numFmtId="0" fontId="11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2" fillId="2" borderId="24" xfId="0" applyFont="1" applyFill="1" applyBorder="1"/>
    <xf numFmtId="3" fontId="14" fillId="2" borderId="1" xfId="0" applyNumberFormat="1" applyFont="1" applyFill="1" applyBorder="1"/>
    <xf numFmtId="4" fontId="15" fillId="0" borderId="0" xfId="1" applyNumberFormat="1" applyFont="1" applyFill="1" applyBorder="1"/>
    <xf numFmtId="0" fontId="2" fillId="0" borderId="30" xfId="0" applyFont="1" applyBorder="1" applyAlignment="1">
      <alignment horizontal="center"/>
    </xf>
    <xf numFmtId="2" fontId="0" fillId="2" borderId="31" xfId="3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" fontId="0" fillId="0" borderId="1" xfId="0" applyNumberFormat="1" applyBorder="1"/>
    <xf numFmtId="0" fontId="3" fillId="2" borderId="1" xfId="0" applyFont="1" applyFill="1" applyBorder="1"/>
    <xf numFmtId="0" fontId="17" fillId="2" borderId="0" xfId="0" applyFont="1" applyFill="1" applyBorder="1"/>
    <xf numFmtId="3" fontId="0" fillId="2" borderId="1" xfId="1" applyNumberFormat="1" applyFont="1" applyFill="1" applyBorder="1"/>
    <xf numFmtId="3" fontId="2" fillId="2" borderId="1" xfId="1" applyNumberFormat="1" applyFont="1" applyFill="1" applyBorder="1"/>
    <xf numFmtId="3" fontId="2" fillId="2" borderId="15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171" fontId="2" fillId="4" borderId="25" xfId="1" applyNumberFormat="1" applyFont="1" applyFill="1" applyBorder="1"/>
    <xf numFmtId="2" fontId="2" fillId="4" borderId="25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30" xfId="0" applyFont="1" applyFill="1" applyBorder="1"/>
    <xf numFmtId="4" fontId="15" fillId="4" borderId="31" xfId="1" applyNumberFormat="1" applyFont="1" applyFill="1" applyBorder="1"/>
    <xf numFmtId="4" fontId="0" fillId="0" borderId="0" xfId="0" applyNumberFormat="1"/>
    <xf numFmtId="0" fontId="2" fillId="4" borderId="1" xfId="0" applyFont="1" applyFill="1" applyBorder="1" applyAlignment="1">
      <alignment horizontal="justify" vertical="center" wrapText="1"/>
    </xf>
    <xf numFmtId="3" fontId="0" fillId="0" borderId="0" xfId="0" applyNumberFormat="1"/>
    <xf numFmtId="0" fontId="12" fillId="3" borderId="0" xfId="0" applyFont="1" applyFill="1" applyBorder="1" applyAlignment="1">
      <alignment horizontal="center"/>
    </xf>
    <xf numFmtId="0" fontId="0" fillId="3" borderId="0" xfId="0" applyFill="1" applyBorder="1"/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right" vertical="center" wrapText="1"/>
    </xf>
    <xf numFmtId="0" fontId="3" fillId="3" borderId="3" xfId="0" applyFont="1" applyFill="1" applyBorder="1"/>
    <xf numFmtId="3" fontId="0" fillId="0" borderId="1" xfId="0" applyNumberFormat="1" applyBorder="1"/>
    <xf numFmtId="0" fontId="2" fillId="4" borderId="3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1" fillId="2" borderId="3" xfId="0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left" vertical="center"/>
    </xf>
    <xf numFmtId="1" fontId="0" fillId="2" borderId="22" xfId="0" applyNumberFormat="1" applyFill="1" applyBorder="1"/>
    <xf numFmtId="1" fontId="0" fillId="2" borderId="25" xfId="0" applyNumberFormat="1" applyFill="1" applyBorder="1"/>
    <xf numFmtId="0" fontId="2" fillId="4" borderId="25" xfId="0" applyFont="1" applyFill="1" applyBorder="1" applyAlignment="1">
      <alignment horizontal="center"/>
    </xf>
    <xf numFmtId="3" fontId="14" fillId="2" borderId="22" xfId="0" applyNumberFormat="1" applyFont="1" applyFill="1" applyBorder="1"/>
    <xf numFmtId="0" fontId="0" fillId="0" borderId="3" xfId="0" applyBorder="1"/>
    <xf numFmtId="0" fontId="2" fillId="5" borderId="27" xfId="0" applyFont="1" applyFill="1" applyBorder="1"/>
    <xf numFmtId="0" fontId="2" fillId="5" borderId="29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3" fillId="0" borderId="37" xfId="0" applyFont="1" applyFill="1" applyBorder="1"/>
    <xf numFmtId="3" fontId="3" fillId="0" borderId="23" xfId="0" applyNumberFormat="1" applyFont="1" applyFill="1" applyBorder="1"/>
    <xf numFmtId="1" fontId="3" fillId="0" borderId="23" xfId="0" applyNumberFormat="1" applyFont="1" applyFill="1" applyBorder="1"/>
    <xf numFmtId="1" fontId="0" fillId="0" borderId="38" xfId="0" applyNumberFormat="1" applyFill="1" applyBorder="1"/>
    <xf numFmtId="0" fontId="3" fillId="0" borderId="3" xfId="0" applyFont="1" applyFill="1" applyBorder="1"/>
    <xf numFmtId="3" fontId="3" fillId="0" borderId="1" xfId="0" applyNumberFormat="1" applyFont="1" applyFill="1" applyBorder="1"/>
    <xf numFmtId="2" fontId="3" fillId="0" borderId="1" xfId="0" applyNumberFormat="1" applyFont="1" applyFill="1" applyBorder="1"/>
    <xf numFmtId="1" fontId="0" fillId="0" borderId="22" xfId="0" applyNumberFormat="1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1" fontId="3" fillId="0" borderId="22" xfId="0" applyNumberFormat="1" applyFont="1" applyFill="1" applyBorder="1"/>
    <xf numFmtId="0" fontId="3" fillId="0" borderId="39" xfId="0" applyFont="1" applyFill="1" applyBorder="1"/>
    <xf numFmtId="1" fontId="2" fillId="5" borderId="27" xfId="0" applyNumberFormat="1" applyFont="1" applyFill="1" applyBorder="1"/>
    <xf numFmtId="1" fontId="0" fillId="5" borderId="28" xfId="0" applyNumberFormat="1" applyFill="1" applyBorder="1"/>
    <xf numFmtId="3" fontId="2" fillId="0" borderId="1" xfId="0" applyNumberFormat="1" applyFont="1" applyFill="1" applyBorder="1"/>
    <xf numFmtId="1" fontId="2" fillId="0" borderId="26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/>
    </xf>
    <xf numFmtId="0" fontId="1" fillId="0" borderId="0" xfId="0" applyFont="1"/>
    <xf numFmtId="0" fontId="2" fillId="4" borderId="3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left" vertical="center"/>
    </xf>
    <xf numFmtId="0" fontId="0" fillId="0" borderId="31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1" fillId="0" borderId="3" xfId="0" applyFont="1" applyFill="1" applyBorder="1"/>
    <xf numFmtId="1" fontId="2" fillId="0" borderId="25" xfId="0" applyNumberFormat="1" applyFont="1" applyFill="1" applyBorder="1"/>
    <xf numFmtId="0" fontId="1" fillId="0" borderId="3" xfId="0" applyFont="1" applyBorder="1"/>
    <xf numFmtId="0" fontId="8" fillId="0" borderId="3" xfId="0" applyFont="1" applyBorder="1"/>
    <xf numFmtId="3" fontId="8" fillId="2" borderId="1" xfId="0" applyNumberFormat="1" applyFont="1" applyFill="1" applyBorder="1"/>
    <xf numFmtId="3" fontId="8" fillId="2" borderId="22" xfId="0" applyNumberFormat="1" applyFont="1" applyFill="1" applyBorder="1"/>
    <xf numFmtId="0" fontId="18" fillId="2" borderId="3" xfId="0" applyFont="1" applyFill="1" applyBorder="1"/>
    <xf numFmtId="0" fontId="18" fillId="0" borderId="3" xfId="0" applyFont="1" applyBorder="1"/>
    <xf numFmtId="3" fontId="18" fillId="2" borderId="1" xfId="0" applyNumberFormat="1" applyFont="1" applyFill="1" applyBorder="1"/>
    <xf numFmtId="3" fontId="18" fillId="2" borderId="22" xfId="0" applyNumberFormat="1" applyFont="1" applyFill="1" applyBorder="1"/>
    <xf numFmtId="0" fontId="19" fillId="2" borderId="3" xfId="0" applyFont="1" applyFill="1" applyBorder="1"/>
    <xf numFmtId="3" fontId="14" fillId="2" borderId="25" xfId="0" applyNumberFormat="1" applyFont="1" applyFill="1" applyBorder="1"/>
    <xf numFmtId="3" fontId="14" fillId="2" borderId="26" xfId="0" applyNumberFormat="1" applyFont="1" applyFill="1" applyBorder="1"/>
    <xf numFmtId="0" fontId="2" fillId="2" borderId="0" xfId="0" applyFont="1" applyFill="1" applyBorder="1" applyAlignment="1">
      <alignment horizontal="justify"/>
    </xf>
    <xf numFmtId="0" fontId="2" fillId="2" borderId="3" xfId="0" applyFont="1" applyFill="1" applyBorder="1" applyAlignment="1"/>
    <xf numFmtId="3" fontId="2" fillId="2" borderId="22" xfId="0" applyNumberFormat="1" applyFont="1" applyFill="1" applyBorder="1" applyAlignment="1">
      <alignment horizontal="right"/>
    </xf>
    <xf numFmtId="0" fontId="3" fillId="2" borderId="3" xfId="0" applyFont="1" applyFill="1" applyBorder="1" applyAlignment="1"/>
    <xf numFmtId="3" fontId="3" fillId="2" borderId="22" xfId="0" applyNumberFormat="1" applyFont="1" applyFill="1" applyBorder="1" applyAlignment="1">
      <alignment horizontal="right"/>
    </xf>
    <xf numFmtId="0" fontId="3" fillId="2" borderId="22" xfId="0" applyFont="1" applyFill="1" applyBorder="1" applyAlignment="1">
      <alignment horizontal="right"/>
    </xf>
    <xf numFmtId="0" fontId="3" fillId="2" borderId="22" xfId="0" applyFont="1" applyFill="1" applyBorder="1"/>
    <xf numFmtId="0" fontId="2" fillId="4" borderId="3" xfId="0" applyFont="1" applyFill="1" applyBorder="1" applyAlignment="1">
      <alignment horizontal="justify" vertical="center" wrapText="1"/>
    </xf>
    <xf numFmtId="3" fontId="2" fillId="4" borderId="22" xfId="0" applyNumberFormat="1" applyFont="1" applyFill="1" applyBorder="1" applyAlignment="1">
      <alignment horizontal="right" vertical="center" wrapText="1"/>
    </xf>
    <xf numFmtId="0" fontId="2" fillId="4" borderId="39" xfId="0" applyFont="1" applyFill="1" applyBorder="1" applyAlignment="1"/>
    <xf numFmtId="3" fontId="2" fillId="4" borderId="25" xfId="0" applyNumberFormat="1" applyFont="1" applyFill="1" applyBorder="1" applyAlignment="1">
      <alignment horizontal="right"/>
    </xf>
    <xf numFmtId="3" fontId="2" fillId="4" borderId="26" xfId="0" applyNumberFormat="1" applyFont="1" applyFill="1" applyBorder="1" applyAlignment="1">
      <alignment horizontal="right"/>
    </xf>
    <xf numFmtId="0" fontId="1" fillId="3" borderId="0" xfId="0" applyFont="1" applyFill="1"/>
    <xf numFmtId="0" fontId="2" fillId="2" borderId="46" xfId="0" applyFont="1" applyFill="1" applyBorder="1" applyAlignment="1"/>
    <xf numFmtId="3" fontId="2" fillId="2" borderId="2" xfId="0" applyNumberFormat="1" applyFont="1" applyFill="1" applyBorder="1" applyAlignment="1">
      <alignment horizontal="right"/>
    </xf>
    <xf numFmtId="3" fontId="2" fillId="2" borderId="47" xfId="0" applyNumberFormat="1" applyFont="1" applyFill="1" applyBorder="1" applyAlignment="1">
      <alignment horizontal="right"/>
    </xf>
    <xf numFmtId="0" fontId="2" fillId="4" borderId="26" xfId="0" applyFont="1" applyFill="1" applyBorder="1" applyAlignment="1">
      <alignment horizontal="center"/>
    </xf>
    <xf numFmtId="9" fontId="1" fillId="3" borderId="0" xfId="0" applyNumberFormat="1" applyFont="1" applyFill="1"/>
    <xf numFmtId="0" fontId="3" fillId="0" borderId="3" xfId="0" applyFont="1" applyBorder="1"/>
    <xf numFmtId="2" fontId="0" fillId="0" borderId="22" xfId="0" applyNumberFormat="1" applyBorder="1"/>
    <xf numFmtId="0" fontId="2" fillId="4" borderId="39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10" fontId="0" fillId="3" borderId="0" xfId="0" applyNumberFormat="1" applyFill="1" applyBorder="1"/>
    <xf numFmtId="0" fontId="3" fillId="3" borderId="7" xfId="0" applyFont="1" applyFill="1" applyBorder="1" applyAlignment="1">
      <alignment horizontal="left"/>
    </xf>
    <xf numFmtId="3" fontId="3" fillId="3" borderId="8" xfId="0" applyNumberFormat="1" applyFont="1" applyFill="1" applyBorder="1"/>
    <xf numFmtId="0" fontId="3" fillId="3" borderId="9" xfId="0" applyFont="1" applyFill="1" applyBorder="1"/>
    <xf numFmtId="0" fontId="1" fillId="3" borderId="5" xfId="0" applyFont="1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 applyAlignment="1">
      <alignment horizontal="left"/>
    </xf>
    <xf numFmtId="2" fontId="0" fillId="3" borderId="11" xfId="0" applyNumberFormat="1" applyFill="1" applyBorder="1"/>
    <xf numFmtId="0" fontId="0" fillId="3" borderId="12" xfId="0" applyFill="1" applyBorder="1"/>
    <xf numFmtId="0" fontId="2" fillId="4" borderId="23" xfId="0" applyFont="1" applyFill="1" applyBorder="1" applyAlignment="1">
      <alignment horizontal="center"/>
    </xf>
    <xf numFmtId="3" fontId="0" fillId="0" borderId="22" xfId="0" applyNumberFormat="1" applyBorder="1"/>
    <xf numFmtId="0" fontId="3" fillId="0" borderId="39" xfId="0" applyFont="1" applyBorder="1"/>
    <xf numFmtId="3" fontId="0" fillId="0" borderId="25" xfId="0" applyNumberFormat="1" applyBorder="1"/>
    <xf numFmtId="3" fontId="0" fillId="0" borderId="26" xfId="0" applyNumberFormat="1" applyBorder="1"/>
    <xf numFmtId="0" fontId="2" fillId="2" borderId="2" xfId="0" applyFont="1" applyFill="1" applyBorder="1" applyAlignment="1">
      <alignment horizontal="right"/>
    </xf>
    <xf numFmtId="9" fontId="1" fillId="2" borderId="3" xfId="0" applyNumberFormat="1" applyFont="1" applyFill="1" applyBorder="1"/>
    <xf numFmtId="0" fontId="1" fillId="0" borderId="39" xfId="0" applyFont="1" applyBorder="1"/>
    <xf numFmtId="0" fontId="0" fillId="0" borderId="25" xfId="0" applyBorder="1"/>
    <xf numFmtId="0" fontId="0" fillId="0" borderId="26" xfId="0" applyBorder="1"/>
    <xf numFmtId="0" fontId="1" fillId="0" borderId="46" xfId="0" applyFont="1" applyBorder="1"/>
    <xf numFmtId="0" fontId="0" fillId="0" borderId="47" xfId="0" applyBorder="1"/>
    <xf numFmtId="170" fontId="0" fillId="0" borderId="1" xfId="0" applyNumberFormat="1" applyBorder="1"/>
    <xf numFmtId="0" fontId="20" fillId="6" borderId="5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0" fillId="6" borderId="4" xfId="0" applyFont="1" applyFill="1" applyBorder="1" applyAlignment="1">
      <alignment horizontal="center"/>
    </xf>
    <xf numFmtId="0" fontId="20" fillId="6" borderId="5" xfId="0" applyFont="1" applyFill="1" applyBorder="1"/>
    <xf numFmtId="0" fontId="20" fillId="6" borderId="0" xfId="0" applyFont="1" applyFill="1" applyBorder="1"/>
    <xf numFmtId="0" fontId="20" fillId="6" borderId="4" xfId="0" applyFont="1" applyFill="1" applyBorder="1"/>
    <xf numFmtId="0" fontId="21" fillId="6" borderId="37" xfId="0" applyFont="1" applyFill="1" applyBorder="1"/>
    <xf numFmtId="3" fontId="2" fillId="0" borderId="23" xfId="0" applyNumberFormat="1" applyFont="1" applyBorder="1"/>
    <xf numFmtId="0" fontId="21" fillId="6" borderId="23" xfId="0" applyFont="1" applyFill="1" applyBorder="1" applyAlignment="1">
      <alignment horizontal="left"/>
    </xf>
    <xf numFmtId="171" fontId="2" fillId="0" borderId="38" xfId="1" applyNumberFormat="1" applyFont="1" applyBorder="1"/>
    <xf numFmtId="0" fontId="21" fillId="6" borderId="39" xfId="0" applyFont="1" applyFill="1" applyBorder="1"/>
    <xf numFmtId="10" fontId="2" fillId="0" borderId="25" xfId="0" applyNumberFormat="1" applyFont="1" applyBorder="1"/>
    <xf numFmtId="0" fontId="21" fillId="6" borderId="25" xfId="0" applyFont="1" applyFill="1" applyBorder="1"/>
    <xf numFmtId="10" fontId="2" fillId="0" borderId="26" xfId="0" applyNumberFormat="1" applyFont="1" applyBorder="1"/>
    <xf numFmtId="0" fontId="2" fillId="3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2" borderId="0" xfId="0" applyFont="1" applyFill="1"/>
    <xf numFmtId="1" fontId="3" fillId="0" borderId="25" xfId="0" applyNumberFormat="1" applyFont="1" applyFill="1" applyBorder="1"/>
    <xf numFmtId="0" fontId="2" fillId="4" borderId="38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vertical="center" wrapText="1"/>
    </xf>
    <xf numFmtId="0" fontId="14" fillId="3" borderId="39" xfId="0" applyFont="1" applyFill="1" applyBorder="1"/>
    <xf numFmtId="3" fontId="14" fillId="3" borderId="25" xfId="0" applyNumberFormat="1" applyFont="1" applyFill="1" applyBorder="1"/>
    <xf numFmtId="170" fontId="1" fillId="3" borderId="0" xfId="3" applyNumberFormat="1" applyFont="1" applyFill="1"/>
    <xf numFmtId="10" fontId="1" fillId="3" borderId="0" xfId="0" applyNumberFormat="1" applyFont="1" applyFill="1"/>
    <xf numFmtId="10" fontId="1" fillId="3" borderId="0" xfId="3" applyNumberFormat="1" applyFont="1" applyFill="1"/>
    <xf numFmtId="0" fontId="1" fillId="3" borderId="10" xfId="0" applyFont="1" applyFill="1" applyBorder="1" applyAlignment="1">
      <alignment horizontal="left"/>
    </xf>
    <xf numFmtId="0" fontId="3" fillId="3" borderId="0" xfId="0" applyFont="1" applyFill="1"/>
    <xf numFmtId="0" fontId="0" fillId="3" borderId="0" xfId="0" applyFill="1"/>
    <xf numFmtId="0" fontId="0" fillId="3" borderId="0" xfId="0" applyFill="1" applyBorder="1" applyAlignment="1">
      <alignment horizontal="left"/>
    </xf>
    <xf numFmtId="170" fontId="0" fillId="3" borderId="0" xfId="3" applyNumberFormat="1" applyFont="1" applyFill="1" applyBorder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1" fontId="0" fillId="0" borderId="1" xfId="0" applyNumberFormat="1" applyFill="1" applyBorder="1"/>
    <xf numFmtId="3" fontId="1" fillId="2" borderId="1" xfId="0" applyNumberFormat="1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/>
    <xf numFmtId="1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24" xfId="0" applyFont="1" applyFill="1" applyBorder="1"/>
    <xf numFmtId="0" fontId="22" fillId="0" borderId="0" xfId="0" applyFont="1" applyAlignment="1">
      <alignment vertical="center"/>
    </xf>
    <xf numFmtId="10" fontId="0" fillId="0" borderId="0" xfId="3" applyNumberFormat="1" applyFont="1"/>
    <xf numFmtId="0" fontId="26" fillId="0" borderId="0" xfId="0" applyFont="1"/>
    <xf numFmtId="10" fontId="2" fillId="7" borderId="0" xfId="3" applyNumberFormat="1" applyFont="1" applyFill="1"/>
    <xf numFmtId="0" fontId="27" fillId="0" borderId="0" xfId="0" applyFont="1"/>
    <xf numFmtId="0" fontId="27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3" fontId="0" fillId="0" borderId="0" xfId="0" applyNumberFormat="1"/>
    <xf numFmtId="10" fontId="0" fillId="0" borderId="0" xfId="0" applyNumberFormat="1"/>
    <xf numFmtId="0" fontId="27" fillId="7" borderId="0" xfId="0" applyFont="1" applyFill="1" applyAlignment="1">
      <alignment vertical="center"/>
    </xf>
    <xf numFmtId="10" fontId="2" fillId="7" borderId="0" xfId="0" applyNumberFormat="1" applyFont="1" applyFill="1"/>
    <xf numFmtId="0" fontId="35" fillId="0" borderId="0" xfId="0" applyFont="1" applyAlignment="1">
      <alignment vertical="center"/>
    </xf>
    <xf numFmtId="0" fontId="4" fillId="2" borderId="46" xfId="0" applyFont="1" applyFill="1" applyBorder="1" applyAlignment="1">
      <alignment horizontal="center"/>
    </xf>
    <xf numFmtId="0" fontId="0" fillId="2" borderId="2" xfId="0" applyFill="1" applyBorder="1"/>
    <xf numFmtId="0" fontId="0" fillId="2" borderId="15" xfId="0" applyFill="1" applyBorder="1"/>
    <xf numFmtId="0" fontId="2" fillId="5" borderId="29" xfId="0" applyFont="1" applyFill="1" applyBorder="1"/>
    <xf numFmtId="3" fontId="2" fillId="5" borderId="27" xfId="0" applyNumberFormat="1" applyFont="1" applyFill="1" applyBorder="1"/>
    <xf numFmtId="3" fontId="2" fillId="5" borderId="28" xfId="0" applyNumberFormat="1" applyFont="1" applyFill="1" applyBorder="1"/>
    <xf numFmtId="2" fontId="0" fillId="0" borderId="0" xfId="0" applyNumberFormat="1"/>
    <xf numFmtId="0" fontId="8" fillId="4" borderId="15" xfId="0" applyFont="1" applyFill="1" applyBorder="1" applyAlignment="1">
      <alignment horizontal="center"/>
    </xf>
    <xf numFmtId="0" fontId="19" fillId="4" borderId="30" xfId="0" applyFont="1" applyFill="1" applyBorder="1"/>
    <xf numFmtId="3" fontId="19" fillId="4" borderId="31" xfId="0" applyNumberFormat="1" applyFont="1" applyFill="1" applyBorder="1"/>
    <xf numFmtId="3" fontId="19" fillId="4" borderId="32" xfId="0" applyNumberFormat="1" applyFont="1" applyFill="1" applyBorder="1"/>
    <xf numFmtId="171" fontId="3" fillId="2" borderId="22" xfId="1" applyNumberFormat="1" applyFont="1" applyFill="1" applyBorder="1" applyAlignment="1">
      <alignment horizontal="center"/>
    </xf>
    <xf numFmtId="171" fontId="2" fillId="4" borderId="26" xfId="1" applyNumberFormat="1" applyFont="1" applyFill="1" applyBorder="1" applyAlignment="1">
      <alignment horizontal="center"/>
    </xf>
    <xf numFmtId="0" fontId="1" fillId="7" borderId="0" xfId="0" applyFont="1" applyFill="1"/>
    <xf numFmtId="0" fontId="40" fillId="0" borderId="0" xfId="0" applyFont="1" applyAlignment="1">
      <alignment horizontal="left" vertical="center" readingOrder="1"/>
    </xf>
    <xf numFmtId="0" fontId="18" fillId="0" borderId="0" xfId="0" applyFont="1"/>
    <xf numFmtId="0" fontId="27" fillId="0" borderId="0" xfId="0" applyFont="1" applyAlignment="1">
      <alignment horizontal="left" vertical="center" readingOrder="1"/>
    </xf>
    <xf numFmtId="0" fontId="42" fillId="0" borderId="0" xfId="0" applyFont="1"/>
    <xf numFmtId="10" fontId="0" fillId="0" borderId="2" xfId="0" applyNumberFormat="1" applyBorder="1"/>
    <xf numFmtId="0" fontId="18" fillId="3" borderId="37" xfId="0" applyFont="1" applyFill="1" applyBorder="1" applyAlignment="1">
      <alignment horizontal="left" vertical="center"/>
    </xf>
    <xf numFmtId="0" fontId="18" fillId="3" borderId="23" xfId="0" applyFont="1" applyFill="1" applyBorder="1" applyAlignment="1">
      <alignment horizontal="center"/>
    </xf>
    <xf numFmtId="0" fontId="18" fillId="3" borderId="38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/>
    </xf>
    <xf numFmtId="0" fontId="20" fillId="6" borderId="9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0" fillId="6" borderId="4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 vertical="center"/>
    </xf>
    <xf numFmtId="0" fontId="16" fillId="5" borderId="3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6" fillId="5" borderId="36" xfId="0" applyFont="1" applyFill="1" applyBorder="1" applyAlignment="1">
      <alignment horizontal="center" vertical="center" wrapText="1"/>
    </xf>
    <xf numFmtId="0" fontId="16" fillId="5" borderId="3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wrapText="1"/>
    </xf>
    <xf numFmtId="0" fontId="2" fillId="5" borderId="25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8" fillId="4" borderId="38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/>
    </xf>
    <xf numFmtId="0" fontId="8" fillId="4" borderId="42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4" borderId="39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/>
    </xf>
    <xf numFmtId="0" fontId="2" fillId="8" borderId="40" xfId="0" applyFont="1" applyFill="1" applyBorder="1" applyAlignment="1">
      <alignment horizontal="center"/>
    </xf>
    <xf numFmtId="0" fontId="2" fillId="8" borderId="41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9" borderId="40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33" xfId="0" applyFont="1" applyFill="1" applyBorder="1" applyAlignment="1">
      <alignment horizontal="center"/>
    </xf>
    <xf numFmtId="0" fontId="27" fillId="10" borderId="40" xfId="0" applyFont="1" applyFill="1" applyBorder="1" applyAlignment="1">
      <alignment horizontal="center" vertical="center"/>
    </xf>
    <xf numFmtId="0" fontId="27" fillId="10" borderId="41" xfId="0" applyFont="1" applyFill="1" applyBorder="1" applyAlignment="1">
      <alignment horizontal="center" vertical="center"/>
    </xf>
    <xf numFmtId="0" fontId="27" fillId="10" borderId="33" xfId="0" applyFont="1" applyFill="1" applyBorder="1" applyAlignment="1">
      <alignment horizontal="center" vertical="center"/>
    </xf>
  </cellXfs>
  <cellStyles count="4">
    <cellStyle name="Hipervínculo" xfId="2" builtinId="8"/>
    <cellStyle name="Millares" xfId="1" builtinId="3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</xdr:col>
      <xdr:colOff>619125</xdr:colOff>
      <xdr:row>0</xdr:row>
      <xdr:rowOff>0</xdr:rowOff>
    </xdr:to>
    <xdr:sp macro="" textlink="">
      <xdr:nvSpPr>
        <xdr:cNvPr id="3418" name="Line 1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>
          <a:spLocks noChangeShapeType="1"/>
        </xdr:cNvSpPr>
      </xdr:nvSpPr>
      <xdr:spPr bwMode="auto">
        <a:xfrm>
          <a:off x="676275" y="0"/>
          <a:ext cx="485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142875</xdr:colOff>
      <xdr:row>0</xdr:row>
      <xdr:rowOff>0</xdr:rowOff>
    </xdr:from>
    <xdr:to>
      <xdr:col>1</xdr:col>
      <xdr:colOff>628650</xdr:colOff>
      <xdr:row>0</xdr:row>
      <xdr:rowOff>0</xdr:rowOff>
    </xdr:to>
    <xdr:sp macro="" textlink="">
      <xdr:nvSpPr>
        <xdr:cNvPr id="3419" name="Line 2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>
          <a:spLocks noChangeShapeType="1"/>
        </xdr:cNvSpPr>
      </xdr:nvSpPr>
      <xdr:spPr bwMode="auto">
        <a:xfrm>
          <a:off x="685800" y="0"/>
          <a:ext cx="485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00000000-0008-0000-0700-0000031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gradFill rotWithShape="0">
          <a:gsLst>
            <a:gs pos="0">
              <a:srgbClr val="FFCC00"/>
            </a:gs>
            <a:gs pos="100000">
              <a:srgbClr val="FFFF99"/>
            </a:gs>
          </a:gsLst>
          <a:lin ang="0" scaled="1"/>
        </a:gra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s-ES" sz="1400" b="1" i="0" strike="noStrike">
              <a:solidFill>
                <a:srgbClr val="800000"/>
              </a:solidFill>
              <a:latin typeface="Arial"/>
              <a:cs typeface="Arial"/>
            </a:rPr>
            <a:t>SERVICIO DE LA DEUDA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740" name="Line 4">
          <a:extLst>
            <a:ext uri="{FF2B5EF4-FFF2-40B4-BE49-F238E27FC236}">
              <a16:creationId xmlns:a16="http://schemas.microsoft.com/office/drawing/2014/main" id="{00000000-0008-0000-0700-00008412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741" name="Line 5">
          <a:extLst>
            <a:ext uri="{FF2B5EF4-FFF2-40B4-BE49-F238E27FC236}">
              <a16:creationId xmlns:a16="http://schemas.microsoft.com/office/drawing/2014/main" id="{00000000-0008-0000-0700-00008512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117</xdr:row>
      <xdr:rowOff>9525</xdr:rowOff>
    </xdr:from>
    <xdr:to>
      <xdr:col>0</xdr:col>
      <xdr:colOff>0</xdr:colOff>
      <xdr:row>117</xdr:row>
      <xdr:rowOff>152400</xdr:rowOff>
    </xdr:to>
    <xdr:sp macro="" textlink="">
      <xdr:nvSpPr>
        <xdr:cNvPr id="4742" name="Line 6">
          <a:extLst>
            <a:ext uri="{FF2B5EF4-FFF2-40B4-BE49-F238E27FC236}">
              <a16:creationId xmlns:a16="http://schemas.microsoft.com/office/drawing/2014/main" id="{00000000-0008-0000-0700-000086120000}"/>
            </a:ext>
          </a:extLst>
        </xdr:cNvPr>
        <xdr:cNvSpPr>
          <a:spLocks noChangeShapeType="1"/>
        </xdr:cNvSpPr>
      </xdr:nvSpPr>
      <xdr:spPr bwMode="auto">
        <a:xfrm>
          <a:off x="0" y="14782800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117</xdr:row>
      <xdr:rowOff>9525</xdr:rowOff>
    </xdr:from>
    <xdr:to>
      <xdr:col>0</xdr:col>
      <xdr:colOff>0</xdr:colOff>
      <xdr:row>117</xdr:row>
      <xdr:rowOff>152400</xdr:rowOff>
    </xdr:to>
    <xdr:sp macro="" textlink="">
      <xdr:nvSpPr>
        <xdr:cNvPr id="4743" name="Line 7">
          <a:extLst>
            <a:ext uri="{FF2B5EF4-FFF2-40B4-BE49-F238E27FC236}">
              <a16:creationId xmlns:a16="http://schemas.microsoft.com/office/drawing/2014/main" id="{00000000-0008-0000-0700-000087120000}"/>
            </a:ext>
          </a:extLst>
        </xdr:cNvPr>
        <xdr:cNvSpPr>
          <a:spLocks noChangeShapeType="1"/>
        </xdr:cNvSpPr>
      </xdr:nvSpPr>
      <xdr:spPr bwMode="auto">
        <a:xfrm>
          <a:off x="0" y="14782800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117</xdr:row>
      <xdr:rowOff>9525</xdr:rowOff>
    </xdr:from>
    <xdr:to>
      <xdr:col>0</xdr:col>
      <xdr:colOff>0</xdr:colOff>
      <xdr:row>117</xdr:row>
      <xdr:rowOff>152400</xdr:rowOff>
    </xdr:to>
    <xdr:sp macro="" textlink="">
      <xdr:nvSpPr>
        <xdr:cNvPr id="4744" name="Line 8">
          <a:extLst>
            <a:ext uri="{FF2B5EF4-FFF2-40B4-BE49-F238E27FC236}">
              <a16:creationId xmlns:a16="http://schemas.microsoft.com/office/drawing/2014/main" id="{00000000-0008-0000-0700-000088120000}"/>
            </a:ext>
          </a:extLst>
        </xdr:cNvPr>
        <xdr:cNvSpPr>
          <a:spLocks noChangeShapeType="1"/>
        </xdr:cNvSpPr>
      </xdr:nvSpPr>
      <xdr:spPr bwMode="auto">
        <a:xfrm>
          <a:off x="0" y="14782800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SGRADO%202021/GERENCIA%20DE%20PROYECTOS%202021/AD-704%20GERENCIA%20DE%20PROYECTOS/Unidad%201/MERMELADA%20DE%20ROCOTO/MERMELADA%20DE%20ROCOTO%20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Ventas_Unidades"/>
      <sheetName val="Presupuesto_Ventas"/>
      <sheetName val="Inversión_Inicial"/>
      <sheetName val="Depreciación_VR"/>
      <sheetName val="KW_Año 1"/>
      <sheetName val="Costos_Producción"/>
      <sheetName val="Planilla"/>
      <sheetName val="Gastos_Operativos"/>
      <sheetName val="Costos_Unitarios"/>
      <sheetName val="Punto de equilibrio"/>
      <sheetName val="Flujo_Deuda"/>
      <sheetName val="Estado de Resultados"/>
      <sheetName val="IGV"/>
      <sheetName val="Ku"/>
      <sheetName val="Ke y Kwacc"/>
      <sheetName val="Flujos de Caja"/>
      <sheetName val="Rentabil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workbookViewId="0">
      <selection activeCell="G14" sqref="G14"/>
    </sheetView>
  </sheetViews>
  <sheetFormatPr baseColWidth="10" defaultRowHeight="12.75" x14ac:dyDescent="0.2"/>
  <cols>
    <col min="5" max="5" width="12.28515625" bestFit="1" customWidth="1"/>
    <col min="6" max="6" width="2.28515625" customWidth="1"/>
    <col min="7" max="7" width="28.140625" customWidth="1"/>
    <col min="8" max="8" width="6.140625" customWidth="1"/>
  </cols>
  <sheetData>
    <row r="2" spans="2:9" ht="13.5" thickBot="1" x14ac:dyDescent="0.25"/>
    <row r="3" spans="2:9" ht="18.75" thickBot="1" x14ac:dyDescent="0.3">
      <c r="B3" s="312" t="s">
        <v>51</v>
      </c>
      <c r="C3" s="313"/>
      <c r="D3" s="313"/>
      <c r="E3" s="314"/>
      <c r="G3" s="141" t="s">
        <v>193</v>
      </c>
      <c r="H3" s="142" t="s">
        <v>196</v>
      </c>
      <c r="I3" s="143" t="s">
        <v>197</v>
      </c>
    </row>
    <row r="4" spans="2:9" ht="18" x14ac:dyDescent="0.25">
      <c r="B4" s="232"/>
      <c r="C4" s="233"/>
      <c r="D4" s="233"/>
      <c r="E4" s="234"/>
      <c r="G4" s="229" t="s">
        <v>285</v>
      </c>
      <c r="H4" s="308">
        <v>2.9000000000000001E-2</v>
      </c>
      <c r="I4" s="230" t="s">
        <v>182</v>
      </c>
    </row>
    <row r="5" spans="2:9" ht="18" x14ac:dyDescent="0.25">
      <c r="B5" s="315" t="s">
        <v>198</v>
      </c>
      <c r="C5" s="316"/>
      <c r="D5" s="316"/>
      <c r="E5" s="317"/>
      <c r="G5" s="225" t="s">
        <v>195</v>
      </c>
      <c r="H5" s="231">
        <v>1.4999999999999999E-2</v>
      </c>
      <c r="I5" s="90" t="s">
        <v>20</v>
      </c>
    </row>
    <row r="6" spans="2:9" ht="18" x14ac:dyDescent="0.25">
      <c r="B6" s="235"/>
      <c r="C6" s="236"/>
      <c r="D6" s="236"/>
      <c r="E6" s="237"/>
      <c r="G6" s="174" t="s">
        <v>284</v>
      </c>
      <c r="H6" s="4">
        <v>15</v>
      </c>
      <c r="I6" s="90" t="s">
        <v>8</v>
      </c>
    </row>
    <row r="7" spans="2:9" ht="18.75" thickBot="1" x14ac:dyDescent="0.3">
      <c r="B7" s="318" t="s">
        <v>199</v>
      </c>
      <c r="C7" s="319"/>
      <c r="D7" s="319"/>
      <c r="E7" s="320"/>
      <c r="G7" s="174" t="s">
        <v>290</v>
      </c>
      <c r="H7" s="4">
        <v>15</v>
      </c>
      <c r="I7" s="90" t="s">
        <v>8</v>
      </c>
    </row>
    <row r="8" spans="2:9" ht="13.5" thickBot="1" x14ac:dyDescent="0.25">
      <c r="G8" s="226" t="s">
        <v>180</v>
      </c>
      <c r="H8" s="227">
        <v>5</v>
      </c>
      <c r="I8" s="228" t="s">
        <v>181</v>
      </c>
    </row>
    <row r="9" spans="2:9" x14ac:dyDescent="0.2">
      <c r="B9" s="238" t="s">
        <v>200</v>
      </c>
      <c r="C9" s="239" t="e">
        <f>#REF!</f>
        <v>#REF!</v>
      </c>
      <c r="D9" s="240" t="s">
        <v>203</v>
      </c>
      <c r="E9" s="241" t="e">
        <f>#REF!</f>
        <v>#REF!</v>
      </c>
      <c r="G9" s="60"/>
      <c r="H9" s="11"/>
      <c r="I9" s="60"/>
    </row>
    <row r="10" spans="2:9" x14ac:dyDescent="0.2">
      <c r="B10" s="139"/>
      <c r="C10" s="4"/>
      <c r="D10" s="4"/>
      <c r="E10" s="90"/>
      <c r="G10" s="163"/>
    </row>
    <row r="11" spans="2:9" ht="13.5" thickBot="1" x14ac:dyDescent="0.25">
      <c r="B11" s="242" t="s">
        <v>201</v>
      </c>
      <c r="C11" s="243" t="e">
        <f>#REF!</f>
        <v>#REF!</v>
      </c>
      <c r="D11" s="244" t="s">
        <v>202</v>
      </c>
      <c r="E11" s="245" t="e">
        <f>#REF!</f>
        <v>#REF!</v>
      </c>
      <c r="G11" s="88"/>
    </row>
    <row r="12" spans="2:9" x14ac:dyDescent="0.2">
      <c r="G12" s="88"/>
    </row>
  </sheetData>
  <mergeCells count="3">
    <mergeCell ref="B3:E3"/>
    <mergeCell ref="B5:E5"/>
    <mergeCell ref="B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144"/>
  <sheetViews>
    <sheetView workbookViewId="0">
      <selection activeCell="H5" sqref="H5"/>
    </sheetView>
  </sheetViews>
  <sheetFormatPr baseColWidth="10" defaultColWidth="11.42578125" defaultRowHeight="12.75" x14ac:dyDescent="0.2"/>
  <cols>
    <col min="2" max="2" width="13.42578125" customWidth="1"/>
    <col min="3" max="3" width="10.7109375" customWidth="1"/>
    <col min="4" max="4" width="9.28515625" customWidth="1"/>
    <col min="5" max="5" width="9.140625" customWidth="1"/>
    <col min="6" max="6" width="9.7109375" customWidth="1"/>
    <col min="7" max="7" width="10.85546875" customWidth="1"/>
    <col min="9" max="9" width="17" customWidth="1"/>
    <col min="10" max="10" width="9.140625" bestFit="1" customWidth="1"/>
    <col min="11" max="11" width="9.28515625" bestFit="1" customWidth="1"/>
    <col min="12" max="12" width="9.140625" bestFit="1" customWidth="1"/>
  </cols>
  <sheetData>
    <row r="2" spans="2:15" x14ac:dyDescent="0.2">
      <c r="B2" s="359"/>
      <c r="C2" s="359"/>
      <c r="D2" s="359"/>
      <c r="E2" s="359"/>
      <c r="F2" s="359"/>
      <c r="G2" s="359"/>
    </row>
    <row r="3" spans="2:15" x14ac:dyDescent="0.2">
      <c r="B3" s="359" t="s">
        <v>84</v>
      </c>
      <c r="C3" s="359"/>
      <c r="D3" s="359"/>
      <c r="E3" s="359"/>
      <c r="F3" s="359"/>
      <c r="G3" s="359"/>
    </row>
    <row r="4" spans="2:15" ht="13.5" thickBot="1" x14ac:dyDescent="0.25">
      <c r="B4" s="262"/>
      <c r="C4" s="262"/>
      <c r="D4" s="262"/>
      <c r="E4" s="262"/>
      <c r="F4" s="262"/>
      <c r="G4" s="262"/>
    </row>
    <row r="5" spans="2:15" x14ac:dyDescent="0.2">
      <c r="B5" s="211" t="s">
        <v>85</v>
      </c>
      <c r="C5" s="212">
        <f>Inversion!E11</f>
        <v>10000</v>
      </c>
      <c r="D5" s="213" t="s">
        <v>8</v>
      </c>
      <c r="E5" s="262"/>
      <c r="F5" s="262"/>
      <c r="G5" s="262"/>
    </row>
    <row r="6" spans="2:15" x14ac:dyDescent="0.2">
      <c r="B6" s="214" t="s">
        <v>185</v>
      </c>
      <c r="C6" s="210">
        <f>Resumen!H5</f>
        <v>1.4999999999999999E-2</v>
      </c>
      <c r="D6" s="215" t="s">
        <v>17</v>
      </c>
      <c r="E6" s="262"/>
      <c r="F6" s="262"/>
      <c r="G6" s="262"/>
    </row>
    <row r="7" spans="2:15" x14ac:dyDescent="0.2">
      <c r="B7" s="214" t="s">
        <v>208</v>
      </c>
      <c r="C7" s="257">
        <f>POWER((1+C6),(12))-1</f>
        <v>0.19561817146153326</v>
      </c>
      <c r="D7" s="215"/>
      <c r="E7" s="262"/>
      <c r="F7" s="262"/>
      <c r="G7" s="262"/>
    </row>
    <row r="8" spans="2:15" x14ac:dyDescent="0.2">
      <c r="B8" s="214" t="s">
        <v>209</v>
      </c>
      <c r="C8" s="258">
        <f>((1+C6)/(1+C10))-1</f>
        <v>1.2584855535088257E-2</v>
      </c>
      <c r="D8" s="215"/>
      <c r="E8" s="262"/>
      <c r="F8" s="262"/>
      <c r="G8" s="262"/>
    </row>
    <row r="9" spans="2:15" x14ac:dyDescent="0.2">
      <c r="B9" s="214" t="s">
        <v>210</v>
      </c>
      <c r="C9" s="210">
        <v>2.9000000000000001E-2</v>
      </c>
      <c r="D9" s="215"/>
      <c r="E9" s="262"/>
      <c r="F9" s="262"/>
      <c r="G9" s="262"/>
    </row>
    <row r="10" spans="2:15" x14ac:dyDescent="0.2">
      <c r="B10" s="214" t="s">
        <v>211</v>
      </c>
      <c r="C10" s="259">
        <f>POWER((1+C9),(1/12))-1</f>
        <v>2.3851279739270925E-3</v>
      </c>
      <c r="D10" s="215"/>
      <c r="E10" s="262"/>
      <c r="F10" s="262"/>
      <c r="G10" s="262"/>
    </row>
    <row r="11" spans="2:15" x14ac:dyDescent="0.2">
      <c r="B11" s="216" t="s">
        <v>18</v>
      </c>
      <c r="C11" s="120">
        <v>36</v>
      </c>
      <c r="D11" s="215" t="s">
        <v>19</v>
      </c>
      <c r="E11" s="262"/>
      <c r="F11" s="262"/>
      <c r="G11" s="262"/>
    </row>
    <row r="12" spans="2:15" ht="13.5" thickBot="1" x14ac:dyDescent="0.25">
      <c r="B12" s="260" t="s">
        <v>212</v>
      </c>
      <c r="C12" s="217">
        <f>PMT(C8,C11,C5)</f>
        <v>-347.15214205974837</v>
      </c>
      <c r="D12" s="218" t="s">
        <v>20</v>
      </c>
      <c r="E12" s="262"/>
      <c r="F12" s="262"/>
      <c r="G12" s="262"/>
    </row>
    <row r="13" spans="2:15" x14ac:dyDescent="0.2">
      <c r="B13" s="263"/>
      <c r="C13" s="264"/>
      <c r="D13" s="120"/>
      <c r="E13" s="120"/>
      <c r="F13" s="262"/>
      <c r="G13" s="262"/>
    </row>
    <row r="14" spans="2:15" ht="25.5" customHeight="1" x14ac:dyDescent="0.2">
      <c r="B14" s="108" t="s">
        <v>186</v>
      </c>
      <c r="C14" s="161" t="s">
        <v>187</v>
      </c>
      <c r="D14" s="160" t="s">
        <v>21</v>
      </c>
      <c r="E14" s="117" t="s">
        <v>293</v>
      </c>
      <c r="F14" s="117" t="s">
        <v>188</v>
      </c>
      <c r="G14" s="160" t="s">
        <v>189</v>
      </c>
      <c r="J14" s="162"/>
      <c r="K14" s="119"/>
      <c r="L14" s="67"/>
      <c r="M14" s="119"/>
      <c r="N14" s="113"/>
      <c r="O14" s="119"/>
    </row>
    <row r="15" spans="2:15" x14ac:dyDescent="0.2">
      <c r="B15" s="4" t="s">
        <v>22</v>
      </c>
      <c r="C15" s="52">
        <f>C5</f>
        <v>10000</v>
      </c>
      <c r="D15" s="52">
        <f>+C15*$C$8</f>
        <v>125.84855535088258</v>
      </c>
      <c r="E15" s="52">
        <f>F15-D15</f>
        <v>221.30358670886579</v>
      </c>
      <c r="F15" s="52">
        <f>-$C$12</f>
        <v>347.15214205974837</v>
      </c>
      <c r="G15" s="52">
        <f>+C15-E15</f>
        <v>9778.6964132911344</v>
      </c>
      <c r="I15" s="359" t="s">
        <v>194</v>
      </c>
      <c r="J15" s="359"/>
      <c r="K15" s="359"/>
      <c r="L15" s="359"/>
      <c r="M15" s="120"/>
      <c r="N15" s="120"/>
      <c r="O15" s="120"/>
    </row>
    <row r="16" spans="2:15" ht="13.5" thickBot="1" x14ac:dyDescent="0.25">
      <c r="B16" s="4" t="s">
        <v>23</v>
      </c>
      <c r="C16" s="52">
        <f>+G15</f>
        <v>9778.6964132911344</v>
      </c>
      <c r="D16" s="52">
        <f t="shared" ref="D16:D50" si="0">+C16*$C$8</f>
        <v>123.06348168275463</v>
      </c>
      <c r="E16" s="52">
        <f t="shared" ref="E16:E50" si="1">F16-D16</f>
        <v>224.08866037699374</v>
      </c>
      <c r="F16" s="52">
        <f t="shared" ref="F16:F50" si="2">-$C$12</f>
        <v>347.15214205974837</v>
      </c>
      <c r="G16" s="52">
        <f t="shared" ref="G16:G50" si="3">+C16-E16</f>
        <v>9554.6077529141403</v>
      </c>
      <c r="I16" s="261"/>
      <c r="J16" s="262"/>
      <c r="K16" s="262"/>
      <c r="L16" s="262"/>
    </row>
    <row r="17" spans="2:12" ht="12" customHeight="1" x14ac:dyDescent="0.2">
      <c r="B17" s="4" t="s">
        <v>24</v>
      </c>
      <c r="C17" s="52">
        <f>+G16</f>
        <v>9554.6077529141403</v>
      </c>
      <c r="D17" s="52">
        <f t="shared" si="0"/>
        <v>120.2433582648587</v>
      </c>
      <c r="E17" s="52">
        <f t="shared" si="1"/>
        <v>226.90878379488967</v>
      </c>
      <c r="F17" s="52">
        <f t="shared" si="2"/>
        <v>347.15214205974837</v>
      </c>
      <c r="G17" s="52">
        <f t="shared" si="3"/>
        <v>9327.6989691192503</v>
      </c>
      <c r="I17" s="208" t="s">
        <v>165</v>
      </c>
      <c r="J17" s="219" t="s">
        <v>161</v>
      </c>
      <c r="K17" s="219" t="s">
        <v>162</v>
      </c>
      <c r="L17" s="209" t="s">
        <v>163</v>
      </c>
    </row>
    <row r="18" spans="2:12" x14ac:dyDescent="0.2">
      <c r="B18" s="4" t="s">
        <v>25</v>
      </c>
      <c r="C18" s="52">
        <f t="shared" ref="C18:C50" si="4">+G17</f>
        <v>9327.6989691192503</v>
      </c>
      <c r="D18" s="52">
        <f t="shared" si="0"/>
        <v>117.38774400115743</v>
      </c>
      <c r="E18" s="52">
        <f t="shared" si="1"/>
        <v>229.76439805859093</v>
      </c>
      <c r="F18" s="52">
        <f t="shared" si="2"/>
        <v>347.15214205974837</v>
      </c>
      <c r="G18" s="52">
        <f t="shared" si="3"/>
        <v>9097.9345710606594</v>
      </c>
      <c r="I18" s="203" t="s">
        <v>93</v>
      </c>
      <c r="J18" s="128">
        <f>SUM(D15:D26)</f>
        <v>1318.4340528791943</v>
      </c>
      <c r="K18" s="128">
        <f>SUM(D27:D38)</f>
        <v>857.37750237962928</v>
      </c>
      <c r="L18" s="220">
        <f>SUM(D39:D50)</f>
        <v>321.66555889211486</v>
      </c>
    </row>
    <row r="19" spans="2:12" x14ac:dyDescent="0.2">
      <c r="B19" s="89" t="s">
        <v>26</v>
      </c>
      <c r="C19" s="52">
        <f t="shared" si="4"/>
        <v>9097.9345710606594</v>
      </c>
      <c r="D19" s="52">
        <f t="shared" si="0"/>
        <v>114.49619224448355</v>
      </c>
      <c r="E19" s="52">
        <f t="shared" si="1"/>
        <v>232.65594981526482</v>
      </c>
      <c r="F19" s="52">
        <f t="shared" si="2"/>
        <v>347.15214205974837</v>
      </c>
      <c r="G19" s="52">
        <f t="shared" si="3"/>
        <v>8865.2786212453939</v>
      </c>
      <c r="I19" s="203" t="s">
        <v>86</v>
      </c>
      <c r="J19" s="128">
        <f>SUM(E15:E26)</f>
        <v>2847.3916518377864</v>
      </c>
      <c r="K19" s="128">
        <f>SUM(E27:E38)</f>
        <v>3308.4482023373512</v>
      </c>
      <c r="L19" s="220">
        <f>SUM(E39:E50)</f>
        <v>3844.1601458248656</v>
      </c>
    </row>
    <row r="20" spans="2:12" ht="13.5" thickBot="1" x14ac:dyDescent="0.25">
      <c r="B20" s="4" t="s">
        <v>27</v>
      </c>
      <c r="C20" s="52">
        <f t="shared" si="4"/>
        <v>8865.2786212453939</v>
      </c>
      <c r="D20" s="52">
        <f t="shared" si="0"/>
        <v>111.56825072667969</v>
      </c>
      <c r="E20" s="52">
        <f t="shared" si="1"/>
        <v>235.58389133306866</v>
      </c>
      <c r="F20" s="52">
        <f t="shared" si="2"/>
        <v>347.15214205974837</v>
      </c>
      <c r="G20" s="52">
        <f t="shared" si="3"/>
        <v>8629.6947299123258</v>
      </c>
      <c r="I20" s="221" t="s">
        <v>164</v>
      </c>
      <c r="J20" s="222">
        <f>SUM(J18:J19)</f>
        <v>4165.8257047169809</v>
      </c>
      <c r="K20" s="222">
        <f t="shared" ref="K20:L20" si="5">SUM(K18:K19)</f>
        <v>4165.8257047169809</v>
      </c>
      <c r="L20" s="223">
        <f t="shared" si="5"/>
        <v>4165.8257047169809</v>
      </c>
    </row>
    <row r="21" spans="2:12" x14ac:dyDescent="0.2">
      <c r="B21" s="4" t="s">
        <v>28</v>
      </c>
      <c r="C21" s="52">
        <f t="shared" si="4"/>
        <v>8629.6947299123258</v>
      </c>
      <c r="D21" s="52">
        <f t="shared" si="0"/>
        <v>108.60346148785909</v>
      </c>
      <c r="E21" s="52">
        <f t="shared" si="1"/>
        <v>238.54868057188929</v>
      </c>
      <c r="F21" s="52">
        <f t="shared" si="2"/>
        <v>347.15214205974837</v>
      </c>
      <c r="G21" s="52">
        <f t="shared" si="3"/>
        <v>8391.1460493404356</v>
      </c>
    </row>
    <row r="22" spans="2:12" x14ac:dyDescent="0.2">
      <c r="B22" s="4" t="s">
        <v>29</v>
      </c>
      <c r="C22" s="52">
        <f t="shared" si="4"/>
        <v>8391.1460493404356</v>
      </c>
      <c r="D22" s="52">
        <f t="shared" si="0"/>
        <v>105.60136080477595</v>
      </c>
      <c r="E22" s="52">
        <f t="shared" si="1"/>
        <v>241.55078125497243</v>
      </c>
      <c r="F22" s="52">
        <f t="shared" si="2"/>
        <v>347.15214205974837</v>
      </c>
      <c r="G22" s="52">
        <f t="shared" si="3"/>
        <v>8149.5952680854634</v>
      </c>
    </row>
    <row r="23" spans="2:12" x14ac:dyDescent="0.2">
      <c r="B23" s="4" t="s">
        <v>30</v>
      </c>
      <c r="C23" s="52">
        <f t="shared" si="4"/>
        <v>8149.5952680854634</v>
      </c>
      <c r="D23" s="52">
        <f t="shared" si="0"/>
        <v>102.56147911829441</v>
      </c>
      <c r="E23" s="52">
        <f t="shared" si="1"/>
        <v>244.59066294145396</v>
      </c>
      <c r="F23" s="52">
        <f t="shared" si="2"/>
        <v>347.15214205974837</v>
      </c>
      <c r="G23" s="52">
        <f t="shared" si="3"/>
        <v>7905.0046051440095</v>
      </c>
    </row>
    <row r="24" spans="2:12" x14ac:dyDescent="0.2">
      <c r="B24" s="4" t="s">
        <v>31</v>
      </c>
      <c r="C24" s="52">
        <f t="shared" si="4"/>
        <v>7905.0046051440095</v>
      </c>
      <c r="D24" s="52">
        <f t="shared" si="0"/>
        <v>99.483340959944755</v>
      </c>
      <c r="E24" s="52">
        <f t="shared" si="1"/>
        <v>247.6688010998036</v>
      </c>
      <c r="F24" s="52">
        <f t="shared" si="2"/>
        <v>347.15214205974837</v>
      </c>
      <c r="G24" s="52">
        <f t="shared" si="3"/>
        <v>7657.3358040442063</v>
      </c>
    </row>
    <row r="25" spans="2:12" x14ac:dyDescent="0.2">
      <c r="B25" s="89" t="s">
        <v>32</v>
      </c>
      <c r="C25" s="52">
        <f t="shared" si="4"/>
        <v>7657.3358040442063</v>
      </c>
      <c r="D25" s="52">
        <f t="shared" si="0"/>
        <v>96.366464877555217</v>
      </c>
      <c r="E25" s="52">
        <f t="shared" si="1"/>
        <v>250.78567718219315</v>
      </c>
      <c r="F25" s="52">
        <f t="shared" si="2"/>
        <v>347.15214205974837</v>
      </c>
      <c r="G25" s="52">
        <f t="shared" si="3"/>
        <v>7406.5501268620128</v>
      </c>
    </row>
    <row r="26" spans="2:12" x14ac:dyDescent="0.2">
      <c r="B26" s="4" t="s">
        <v>33</v>
      </c>
      <c r="C26" s="52">
        <f t="shared" si="4"/>
        <v>7406.5501268620128</v>
      </c>
      <c r="D26" s="52">
        <f t="shared" si="0"/>
        <v>93.210363359948033</v>
      </c>
      <c r="E26" s="52">
        <f t="shared" si="1"/>
        <v>253.94177869980035</v>
      </c>
      <c r="F26" s="52">
        <f t="shared" si="2"/>
        <v>347.15214205974837</v>
      </c>
      <c r="G26" s="52">
        <f t="shared" si="3"/>
        <v>7152.6083481622127</v>
      </c>
    </row>
    <row r="27" spans="2:12" x14ac:dyDescent="0.2">
      <c r="B27" s="89" t="s">
        <v>132</v>
      </c>
      <c r="C27" s="52">
        <f t="shared" si="4"/>
        <v>7152.6083481622127</v>
      </c>
      <c r="D27" s="52">
        <f t="shared" si="0"/>
        <v>90.014542760687704</v>
      </c>
      <c r="E27" s="52">
        <f t="shared" si="1"/>
        <v>257.13759929906064</v>
      </c>
      <c r="F27" s="52">
        <f t="shared" si="2"/>
        <v>347.15214205974837</v>
      </c>
      <c r="G27" s="52">
        <f t="shared" si="3"/>
        <v>6895.470748863152</v>
      </c>
      <c r="H27" s="116"/>
      <c r="I27" s="116"/>
    </row>
    <row r="28" spans="2:12" x14ac:dyDescent="0.2">
      <c r="B28" s="4" t="s">
        <v>133</v>
      </c>
      <c r="C28" s="52">
        <f t="shared" si="4"/>
        <v>6895.470748863152</v>
      </c>
      <c r="D28" s="52">
        <f t="shared" si="0"/>
        <v>86.778503220869609</v>
      </c>
      <c r="E28" s="52">
        <f t="shared" si="1"/>
        <v>260.37363883887878</v>
      </c>
      <c r="F28" s="52">
        <f t="shared" si="2"/>
        <v>347.15214205974837</v>
      </c>
      <c r="G28" s="52">
        <f t="shared" si="3"/>
        <v>6635.0971100242732</v>
      </c>
    </row>
    <row r="29" spans="2:12" x14ac:dyDescent="0.2">
      <c r="B29" s="89" t="s">
        <v>134</v>
      </c>
      <c r="C29" s="52">
        <f t="shared" si="4"/>
        <v>6635.0971100242732</v>
      </c>
      <c r="D29" s="52">
        <f t="shared" si="0"/>
        <v>83.50173859093708</v>
      </c>
      <c r="E29" s="52">
        <f t="shared" si="1"/>
        <v>263.65040346881131</v>
      </c>
      <c r="F29" s="52">
        <f t="shared" si="2"/>
        <v>347.15214205974837</v>
      </c>
      <c r="G29" s="52">
        <f t="shared" si="3"/>
        <v>6371.4467065554618</v>
      </c>
    </row>
    <row r="30" spans="2:12" x14ac:dyDescent="0.2">
      <c r="B30" s="4" t="s">
        <v>135</v>
      </c>
      <c r="C30" s="52">
        <f t="shared" si="4"/>
        <v>6371.4467065554618</v>
      </c>
      <c r="D30" s="52">
        <f t="shared" si="0"/>
        <v>80.183736351514355</v>
      </c>
      <c r="E30" s="52">
        <f t="shared" si="1"/>
        <v>266.968405708234</v>
      </c>
      <c r="F30" s="52">
        <f t="shared" si="2"/>
        <v>347.15214205974837</v>
      </c>
      <c r="G30" s="52">
        <f t="shared" si="3"/>
        <v>6104.4783008472277</v>
      </c>
    </row>
    <row r="31" spans="2:12" x14ac:dyDescent="0.2">
      <c r="B31" s="89" t="s">
        <v>136</v>
      </c>
      <c r="C31" s="52">
        <f t="shared" si="4"/>
        <v>6104.4783008472277</v>
      </c>
      <c r="D31" s="52">
        <f t="shared" si="0"/>
        <v>76.823977533243394</v>
      </c>
      <c r="E31" s="52">
        <f t="shared" si="1"/>
        <v>270.32816452650496</v>
      </c>
      <c r="F31" s="52">
        <f t="shared" si="2"/>
        <v>347.15214205974837</v>
      </c>
      <c r="G31" s="52">
        <f t="shared" si="3"/>
        <v>5834.1501363207226</v>
      </c>
    </row>
    <row r="32" spans="2:12" x14ac:dyDescent="0.2">
      <c r="B32" s="4" t="s">
        <v>137</v>
      </c>
      <c r="C32" s="52">
        <f t="shared" si="4"/>
        <v>5834.1501363207226</v>
      </c>
      <c r="D32" s="52">
        <f t="shared" si="0"/>
        <v>73.421936635611758</v>
      </c>
      <c r="E32" s="52">
        <f t="shared" si="1"/>
        <v>273.73020542413661</v>
      </c>
      <c r="F32" s="52">
        <f t="shared" si="2"/>
        <v>347.15214205974837</v>
      </c>
      <c r="G32" s="52">
        <f t="shared" si="3"/>
        <v>5560.4199308965863</v>
      </c>
    </row>
    <row r="33" spans="2:9" x14ac:dyDescent="0.2">
      <c r="B33" s="89" t="s">
        <v>138</v>
      </c>
      <c r="C33" s="52">
        <f t="shared" si="4"/>
        <v>5560.4199308965863</v>
      </c>
      <c r="D33" s="52">
        <f t="shared" si="0"/>
        <v>69.977081544758974</v>
      </c>
      <c r="E33" s="52">
        <f t="shared" si="1"/>
        <v>277.17506051498941</v>
      </c>
      <c r="F33" s="52">
        <f t="shared" si="2"/>
        <v>347.15214205974837</v>
      </c>
      <c r="G33" s="52">
        <f t="shared" si="3"/>
        <v>5283.2448703815971</v>
      </c>
    </row>
    <row r="34" spans="2:9" x14ac:dyDescent="0.2">
      <c r="B34" s="4" t="s">
        <v>139</v>
      </c>
      <c r="C34" s="52">
        <f t="shared" si="4"/>
        <v>5283.2448703815971</v>
      </c>
      <c r="D34" s="52">
        <f t="shared" si="0"/>
        <v>66.488873450248491</v>
      </c>
      <c r="E34" s="52">
        <f t="shared" si="1"/>
        <v>280.66326860949988</v>
      </c>
      <c r="F34" s="52">
        <f t="shared" si="2"/>
        <v>347.15214205974837</v>
      </c>
      <c r="G34" s="52">
        <f t="shared" si="3"/>
        <v>5002.5816017720972</v>
      </c>
    </row>
    <row r="35" spans="2:9" x14ac:dyDescent="0.2">
      <c r="B35" s="89" t="s">
        <v>140</v>
      </c>
      <c r="C35" s="52">
        <f t="shared" si="4"/>
        <v>5002.5816017720972</v>
      </c>
      <c r="D35" s="52">
        <f t="shared" si="0"/>
        <v>62.956766760792256</v>
      </c>
      <c r="E35" s="52">
        <f t="shared" si="1"/>
        <v>284.19537529895609</v>
      </c>
      <c r="F35" s="52">
        <f t="shared" si="2"/>
        <v>347.15214205974837</v>
      </c>
      <c r="G35" s="52">
        <f t="shared" si="3"/>
        <v>4718.3862264731415</v>
      </c>
    </row>
    <row r="36" spans="2:9" x14ac:dyDescent="0.2">
      <c r="B36" s="4" t="s">
        <v>141</v>
      </c>
      <c r="C36" s="52">
        <f t="shared" si="4"/>
        <v>4718.3862264731415</v>
      </c>
      <c r="D36" s="52">
        <f t="shared" si="0"/>
        <v>59.380209018914712</v>
      </c>
      <c r="E36" s="52">
        <f t="shared" si="1"/>
        <v>287.77193304083369</v>
      </c>
      <c r="F36" s="52">
        <f t="shared" si="2"/>
        <v>347.15214205974837</v>
      </c>
      <c r="G36" s="52">
        <f t="shared" si="3"/>
        <v>4430.6142934323079</v>
      </c>
    </row>
    <row r="37" spans="2:9" x14ac:dyDescent="0.2">
      <c r="B37" s="89" t="s">
        <v>142</v>
      </c>
      <c r="C37" s="52">
        <f t="shared" si="4"/>
        <v>4430.6142934323079</v>
      </c>
      <c r="D37" s="52">
        <f t="shared" si="0"/>
        <v>55.75864081454273</v>
      </c>
      <c r="E37" s="52">
        <f t="shared" si="1"/>
        <v>291.39350124520564</v>
      </c>
      <c r="F37" s="52">
        <f t="shared" si="2"/>
        <v>347.15214205974837</v>
      </c>
      <c r="G37" s="52">
        <f t="shared" si="3"/>
        <v>4139.2207921871022</v>
      </c>
    </row>
    <row r="38" spans="2:9" x14ac:dyDescent="0.2">
      <c r="B38" s="4" t="s">
        <v>143</v>
      </c>
      <c r="C38" s="52">
        <f t="shared" si="4"/>
        <v>4139.2207921871022</v>
      </c>
      <c r="D38" s="52">
        <f t="shared" si="0"/>
        <v>52.091495697508257</v>
      </c>
      <c r="E38" s="52">
        <f t="shared" si="1"/>
        <v>295.06064636224011</v>
      </c>
      <c r="F38" s="52">
        <f t="shared" si="2"/>
        <v>347.15214205974837</v>
      </c>
      <c r="G38" s="52">
        <f t="shared" si="3"/>
        <v>3844.160145824862</v>
      </c>
    </row>
    <row r="39" spans="2:9" x14ac:dyDescent="0.2">
      <c r="B39" s="89" t="s">
        <v>144</v>
      </c>
      <c r="C39" s="52">
        <f t="shared" si="4"/>
        <v>3844.160145824862</v>
      </c>
      <c r="D39" s="52">
        <f t="shared" si="0"/>
        <v>48.378200088949697</v>
      </c>
      <c r="E39" s="52">
        <f t="shared" si="1"/>
        <v>298.77394197079866</v>
      </c>
      <c r="F39" s="52">
        <f t="shared" si="2"/>
        <v>347.15214205974837</v>
      </c>
      <c r="G39" s="52">
        <f t="shared" si="3"/>
        <v>3545.3862038540633</v>
      </c>
      <c r="H39" s="116"/>
      <c r="I39" s="116"/>
    </row>
    <row r="40" spans="2:9" x14ac:dyDescent="0.2">
      <c r="B40" s="4" t="s">
        <v>145</v>
      </c>
      <c r="C40" s="52">
        <f t="shared" si="4"/>
        <v>3545.3862038540633</v>
      </c>
      <c r="D40" s="52">
        <f t="shared" si="0"/>
        <v>44.618173191598352</v>
      </c>
      <c r="E40" s="52">
        <f t="shared" si="1"/>
        <v>302.53396886815</v>
      </c>
      <c r="F40" s="52">
        <f t="shared" si="2"/>
        <v>347.15214205974837</v>
      </c>
      <c r="G40" s="52">
        <f t="shared" si="3"/>
        <v>3242.8522349859131</v>
      </c>
    </row>
    <row r="41" spans="2:9" x14ac:dyDescent="0.2">
      <c r="B41" s="89" t="s">
        <v>146</v>
      </c>
      <c r="C41" s="52">
        <f t="shared" si="4"/>
        <v>3242.8522349859131</v>
      </c>
      <c r="D41" s="52">
        <f t="shared" si="0"/>
        <v>40.810826898935794</v>
      </c>
      <c r="E41" s="52">
        <f t="shared" si="1"/>
        <v>306.3413151608126</v>
      </c>
      <c r="F41" s="52">
        <f t="shared" si="2"/>
        <v>347.15214205974837</v>
      </c>
      <c r="G41" s="52">
        <f t="shared" si="3"/>
        <v>2936.5109198251007</v>
      </c>
    </row>
    <row r="42" spans="2:9" x14ac:dyDescent="0.2">
      <c r="B42" s="4" t="s">
        <v>147</v>
      </c>
      <c r="C42" s="52">
        <f t="shared" si="4"/>
        <v>2936.5109198251007</v>
      </c>
      <c r="D42" s="52">
        <f t="shared" si="0"/>
        <v>36.95556570320803</v>
      </c>
      <c r="E42" s="52">
        <f t="shared" si="1"/>
        <v>310.19657635654033</v>
      </c>
      <c r="F42" s="52">
        <f t="shared" si="2"/>
        <v>347.15214205974837</v>
      </c>
      <c r="G42" s="52">
        <f t="shared" si="3"/>
        <v>2626.3143434685603</v>
      </c>
    </row>
    <row r="43" spans="2:9" x14ac:dyDescent="0.2">
      <c r="B43" s="89" t="s">
        <v>148</v>
      </c>
      <c r="C43" s="52">
        <f t="shared" si="4"/>
        <v>2626.3143434685603</v>
      </c>
      <c r="D43" s="52">
        <f t="shared" si="0"/>
        <v>33.051786602281993</v>
      </c>
      <c r="E43" s="52">
        <f t="shared" si="1"/>
        <v>314.10035545746638</v>
      </c>
      <c r="F43" s="52">
        <f t="shared" si="2"/>
        <v>347.15214205974837</v>
      </c>
      <c r="G43" s="52">
        <f t="shared" si="3"/>
        <v>2312.213988011094</v>
      </c>
    </row>
    <row r="44" spans="2:9" x14ac:dyDescent="0.2">
      <c r="B44" s="4" t="s">
        <v>149</v>
      </c>
      <c r="C44" s="52">
        <f t="shared" si="4"/>
        <v>2312.213988011094</v>
      </c>
      <c r="D44" s="52">
        <f t="shared" si="0"/>
        <v>29.098879005329909</v>
      </c>
      <c r="E44" s="52">
        <f t="shared" si="1"/>
        <v>318.05326305441844</v>
      </c>
      <c r="F44" s="52">
        <f t="shared" si="2"/>
        <v>347.15214205974837</v>
      </c>
      <c r="G44" s="52">
        <f t="shared" si="3"/>
        <v>1994.1607249566755</v>
      </c>
    </row>
    <row r="45" spans="2:9" x14ac:dyDescent="0.2">
      <c r="B45" s="89" t="s">
        <v>150</v>
      </c>
      <c r="C45" s="52">
        <f t="shared" si="4"/>
        <v>1994.1607249566755</v>
      </c>
      <c r="D45" s="52">
        <f t="shared" si="0"/>
        <v>25.096224637326628</v>
      </c>
      <c r="E45" s="52">
        <f t="shared" si="1"/>
        <v>322.05591742242177</v>
      </c>
      <c r="F45" s="52">
        <f t="shared" si="2"/>
        <v>347.15214205974837</v>
      </c>
      <c r="G45" s="52">
        <f t="shared" si="3"/>
        <v>1672.1048075342537</v>
      </c>
    </row>
    <row r="46" spans="2:9" x14ac:dyDescent="0.2">
      <c r="B46" s="4" t="s">
        <v>151</v>
      </c>
      <c r="C46" s="52">
        <f t="shared" si="4"/>
        <v>1672.1048075342537</v>
      </c>
      <c r="D46" s="52">
        <f t="shared" si="0"/>
        <v>21.043197442345139</v>
      </c>
      <c r="E46" s="52">
        <f t="shared" si="1"/>
        <v>326.10894461740321</v>
      </c>
      <c r="F46" s="52">
        <f t="shared" si="2"/>
        <v>347.15214205974837</v>
      </c>
      <c r="G46" s="52">
        <f t="shared" si="3"/>
        <v>1345.9958629168505</v>
      </c>
    </row>
    <row r="47" spans="2:9" x14ac:dyDescent="0.2">
      <c r="B47" s="89" t="s">
        <v>152</v>
      </c>
      <c r="C47" s="52">
        <f t="shared" si="4"/>
        <v>1345.9958629168505</v>
      </c>
      <c r="D47" s="52">
        <f t="shared" si="0"/>
        <v>16.939163485635021</v>
      </c>
      <c r="E47" s="52">
        <f t="shared" si="1"/>
        <v>330.21297857411332</v>
      </c>
      <c r="F47" s="52">
        <f t="shared" si="2"/>
        <v>347.15214205974837</v>
      </c>
      <c r="G47" s="52">
        <f t="shared" si="3"/>
        <v>1015.7828843427371</v>
      </c>
    </row>
    <row r="48" spans="2:9" x14ac:dyDescent="0.2">
      <c r="B48" s="4" t="s">
        <v>153</v>
      </c>
      <c r="C48" s="52">
        <f t="shared" si="4"/>
        <v>1015.7828843427371</v>
      </c>
      <c r="D48" s="52">
        <f t="shared" si="0"/>
        <v>12.78348085446861</v>
      </c>
      <c r="E48" s="52">
        <f t="shared" si="1"/>
        <v>334.36866120527975</v>
      </c>
      <c r="F48" s="52">
        <f t="shared" si="2"/>
        <v>347.15214205974837</v>
      </c>
      <c r="G48" s="52">
        <f t="shared" si="3"/>
        <v>681.41422313745738</v>
      </c>
    </row>
    <row r="49" spans="1:7" x14ac:dyDescent="0.2">
      <c r="B49" s="89" t="s">
        <v>154</v>
      </c>
      <c r="C49" s="52">
        <f t="shared" si="4"/>
        <v>681.41422313745738</v>
      </c>
      <c r="D49" s="52">
        <f t="shared" si="0"/>
        <v>8.5754995577392954</v>
      </c>
      <c r="E49" s="52">
        <f t="shared" si="1"/>
        <v>338.57664250200907</v>
      </c>
      <c r="F49" s="52">
        <f t="shared" si="2"/>
        <v>347.15214205974837</v>
      </c>
      <c r="G49" s="52">
        <f t="shared" si="3"/>
        <v>342.83758063544832</v>
      </c>
    </row>
    <row r="50" spans="1:7" x14ac:dyDescent="0.2">
      <c r="B50" s="4" t="s">
        <v>155</v>
      </c>
      <c r="C50" s="52">
        <f t="shared" si="4"/>
        <v>342.83758063544832</v>
      </c>
      <c r="D50" s="52">
        <f t="shared" si="0"/>
        <v>4.3145614242962882</v>
      </c>
      <c r="E50" s="52">
        <f t="shared" si="1"/>
        <v>342.83758063545207</v>
      </c>
      <c r="F50" s="52">
        <f t="shared" si="2"/>
        <v>347.15214205974837</v>
      </c>
      <c r="G50" s="52">
        <f t="shared" si="3"/>
        <v>-3.751665644813329E-12</v>
      </c>
    </row>
    <row r="51" spans="1:7" ht="13.5" thickBot="1" x14ac:dyDescent="0.25">
      <c r="B51" s="114" t="s">
        <v>0</v>
      </c>
      <c r="C51" s="115">
        <f>SUM(C15:C50)</f>
        <v>198450.99589642795</v>
      </c>
      <c r="D51" s="115">
        <f t="shared" ref="D51:G51" si="6">SUM(D15:D50)</f>
        <v>2497.4771141509382</v>
      </c>
      <c r="E51" s="115">
        <f t="shared" si="6"/>
        <v>10000</v>
      </c>
      <c r="F51" s="115">
        <f t="shared" si="6"/>
        <v>12497.47711415095</v>
      </c>
      <c r="G51" s="115">
        <f t="shared" si="6"/>
        <v>188450.99589642795</v>
      </c>
    </row>
    <row r="52" spans="1:7" x14ac:dyDescent="0.2">
      <c r="A52" s="50"/>
      <c r="B52" s="360"/>
      <c r="C52" s="360"/>
      <c r="D52" s="360"/>
      <c r="E52" s="360"/>
      <c r="F52" s="360"/>
      <c r="G52" s="360"/>
    </row>
    <row r="53" spans="1:7" x14ac:dyDescent="0.2">
      <c r="A53" s="50"/>
      <c r="B53" s="50"/>
      <c r="C53" s="64"/>
      <c r="D53" s="64"/>
      <c r="E53" s="64"/>
      <c r="F53" s="64"/>
      <c r="G53" s="64"/>
    </row>
    <row r="54" spans="1:7" x14ac:dyDescent="0.2">
      <c r="A54" s="50"/>
      <c r="B54" s="50"/>
      <c r="C54" s="64"/>
      <c r="D54" s="64"/>
      <c r="E54" s="64"/>
      <c r="F54" s="64"/>
      <c r="G54" s="64"/>
    </row>
    <row r="55" spans="1:7" ht="12" customHeight="1" x14ac:dyDescent="0.2">
      <c r="A55" s="50"/>
      <c r="B55" s="50"/>
      <c r="C55" s="64"/>
      <c r="D55" s="64"/>
      <c r="E55" s="64"/>
      <c r="F55" s="64"/>
      <c r="G55" s="64"/>
    </row>
    <row r="56" spans="1:7" x14ac:dyDescent="0.2">
      <c r="A56" s="50"/>
      <c r="B56" s="50"/>
      <c r="C56" s="64"/>
      <c r="D56" s="64"/>
      <c r="E56" s="64"/>
      <c r="F56" s="64"/>
      <c r="G56" s="64"/>
    </row>
    <row r="57" spans="1:7" x14ac:dyDescent="0.2">
      <c r="A57" s="50"/>
      <c r="B57" s="62"/>
      <c r="C57" s="64"/>
      <c r="D57" s="64"/>
      <c r="E57" s="64"/>
      <c r="F57" s="64"/>
      <c r="G57" s="64"/>
    </row>
    <row r="58" spans="1:7" x14ac:dyDescent="0.2">
      <c r="A58" s="50"/>
      <c r="B58" s="50"/>
      <c r="C58" s="64"/>
      <c r="D58" s="64"/>
      <c r="E58" s="64"/>
      <c r="F58" s="64"/>
      <c r="G58" s="64"/>
    </row>
    <row r="59" spans="1:7" x14ac:dyDescent="0.2">
      <c r="A59" s="50"/>
      <c r="B59" s="50"/>
      <c r="C59" s="64"/>
      <c r="D59" s="64"/>
      <c r="E59" s="64"/>
      <c r="F59" s="64"/>
      <c r="G59" s="64"/>
    </row>
    <row r="60" spans="1:7" x14ac:dyDescent="0.2">
      <c r="A60" s="50"/>
      <c r="B60" s="50"/>
      <c r="C60" s="64"/>
      <c r="D60" s="64"/>
      <c r="E60" s="64"/>
      <c r="F60" s="64"/>
      <c r="G60" s="64"/>
    </row>
    <row r="61" spans="1:7" x14ac:dyDescent="0.2">
      <c r="A61" s="50"/>
      <c r="B61" s="50"/>
      <c r="C61" s="64"/>
      <c r="D61" s="64"/>
      <c r="E61" s="64"/>
      <c r="F61" s="64"/>
      <c r="G61" s="64"/>
    </row>
    <row r="62" spans="1:7" x14ac:dyDescent="0.2">
      <c r="A62" s="50"/>
      <c r="B62" s="50"/>
      <c r="C62" s="64"/>
      <c r="D62" s="64"/>
      <c r="E62" s="64"/>
      <c r="F62" s="64"/>
      <c r="G62" s="64"/>
    </row>
    <row r="63" spans="1:7" x14ac:dyDescent="0.2">
      <c r="A63" s="50"/>
      <c r="B63" s="62"/>
      <c r="C63" s="64"/>
      <c r="D63" s="64"/>
      <c r="E63" s="64"/>
      <c r="F63" s="64"/>
      <c r="G63" s="64"/>
    </row>
    <row r="64" spans="1:7" x14ac:dyDescent="0.2">
      <c r="A64" s="50"/>
      <c r="B64" s="50"/>
      <c r="C64" s="64"/>
      <c r="D64" s="64"/>
      <c r="E64" s="64"/>
      <c r="F64" s="64"/>
      <c r="G64" s="64"/>
    </row>
    <row r="65" spans="1:7" x14ac:dyDescent="0.2">
      <c r="A65" s="50"/>
      <c r="B65" s="61"/>
      <c r="C65" s="97"/>
      <c r="D65" s="97"/>
      <c r="E65" s="97"/>
      <c r="F65" s="97"/>
      <c r="G65" s="97"/>
    </row>
    <row r="66" spans="1:7" x14ac:dyDescent="0.2">
      <c r="A66" s="50"/>
      <c r="B66" s="360"/>
      <c r="C66" s="360"/>
      <c r="D66" s="360"/>
      <c r="E66" s="360"/>
      <c r="F66" s="360"/>
      <c r="G66" s="360"/>
    </row>
    <row r="67" spans="1:7" x14ac:dyDescent="0.2">
      <c r="A67" s="50"/>
      <c r="B67" s="50"/>
      <c r="C67" s="64"/>
      <c r="D67" s="64"/>
      <c r="E67" s="64"/>
      <c r="F67" s="64"/>
      <c r="G67" s="64"/>
    </row>
    <row r="68" spans="1:7" x14ac:dyDescent="0.2">
      <c r="A68" s="50"/>
      <c r="B68" s="50"/>
      <c r="C68" s="64"/>
      <c r="D68" s="64"/>
      <c r="E68" s="64"/>
      <c r="F68" s="64"/>
      <c r="G68" s="64"/>
    </row>
    <row r="69" spans="1:7" ht="13.5" customHeight="1" x14ac:dyDescent="0.2">
      <c r="A69" s="50"/>
      <c r="B69" s="50"/>
      <c r="C69" s="64"/>
      <c r="D69" s="64"/>
      <c r="E69" s="64"/>
      <c r="F69" s="64"/>
      <c r="G69" s="64"/>
    </row>
    <row r="70" spans="1:7" x14ac:dyDescent="0.2">
      <c r="A70" s="50"/>
      <c r="B70" s="50"/>
      <c r="C70" s="64"/>
      <c r="D70" s="64"/>
      <c r="E70" s="64"/>
      <c r="F70" s="64"/>
      <c r="G70" s="64"/>
    </row>
    <row r="71" spans="1:7" x14ac:dyDescent="0.2">
      <c r="A71" s="50"/>
      <c r="B71" s="62"/>
      <c r="C71" s="64"/>
      <c r="D71" s="64"/>
      <c r="E71" s="64"/>
      <c r="F71" s="64"/>
      <c r="G71" s="64"/>
    </row>
    <row r="72" spans="1:7" x14ac:dyDescent="0.2">
      <c r="A72" s="50"/>
      <c r="B72" s="50"/>
      <c r="C72" s="64"/>
      <c r="D72" s="64"/>
      <c r="E72" s="64"/>
      <c r="F72" s="64"/>
      <c r="G72" s="64"/>
    </row>
    <row r="73" spans="1:7" x14ac:dyDescent="0.2">
      <c r="A73" s="50"/>
      <c r="B73" s="50"/>
      <c r="C73" s="64"/>
      <c r="D73" s="64"/>
      <c r="E73" s="64"/>
      <c r="F73" s="64"/>
      <c r="G73" s="64"/>
    </row>
    <row r="74" spans="1:7" x14ac:dyDescent="0.2">
      <c r="A74" s="50"/>
      <c r="B74" s="50"/>
      <c r="C74" s="64"/>
      <c r="D74" s="64"/>
      <c r="E74" s="64"/>
      <c r="F74" s="64"/>
      <c r="G74" s="64"/>
    </row>
    <row r="75" spans="1:7" x14ac:dyDescent="0.2">
      <c r="A75" s="50"/>
      <c r="B75" s="50"/>
      <c r="C75" s="64"/>
      <c r="D75" s="64"/>
      <c r="E75" s="64"/>
      <c r="F75" s="64"/>
      <c r="G75" s="64"/>
    </row>
    <row r="76" spans="1:7" x14ac:dyDescent="0.2">
      <c r="A76" s="50"/>
      <c r="B76" s="50"/>
      <c r="C76" s="64"/>
      <c r="D76" s="64"/>
      <c r="E76" s="64"/>
      <c r="F76" s="64"/>
      <c r="G76" s="64"/>
    </row>
    <row r="77" spans="1:7" x14ac:dyDescent="0.2">
      <c r="A77" s="50"/>
      <c r="B77" s="62"/>
      <c r="C77" s="64"/>
      <c r="D77" s="64"/>
      <c r="E77" s="64"/>
      <c r="F77" s="64"/>
      <c r="G77" s="64"/>
    </row>
    <row r="78" spans="1:7" x14ac:dyDescent="0.2">
      <c r="A78" s="50"/>
      <c r="B78" s="50"/>
      <c r="C78" s="64"/>
      <c r="D78" s="64"/>
      <c r="E78" s="64"/>
      <c r="F78" s="64"/>
      <c r="G78" s="64"/>
    </row>
    <row r="79" spans="1:7" x14ac:dyDescent="0.2">
      <c r="A79" s="50"/>
      <c r="B79" s="61"/>
      <c r="C79" s="97"/>
      <c r="D79" s="97"/>
      <c r="E79" s="97"/>
      <c r="F79" s="97"/>
      <c r="G79" s="97"/>
    </row>
    <row r="80" spans="1:7" x14ac:dyDescent="0.2">
      <c r="A80" s="50"/>
      <c r="B80" s="360"/>
      <c r="C80" s="360"/>
      <c r="D80" s="360"/>
      <c r="E80" s="360"/>
      <c r="F80" s="360"/>
      <c r="G80" s="360"/>
    </row>
    <row r="81" spans="1:7" x14ac:dyDescent="0.2">
      <c r="A81" s="50"/>
      <c r="B81" s="50"/>
      <c r="C81" s="64"/>
      <c r="D81" s="64"/>
      <c r="E81" s="64"/>
      <c r="F81" s="64"/>
      <c r="G81" s="64"/>
    </row>
    <row r="82" spans="1:7" x14ac:dyDescent="0.2">
      <c r="A82" s="50"/>
      <c r="B82" s="50"/>
      <c r="C82" s="64"/>
      <c r="D82" s="64"/>
      <c r="E82" s="64"/>
      <c r="F82" s="64"/>
      <c r="G82" s="64"/>
    </row>
    <row r="83" spans="1:7" x14ac:dyDescent="0.2">
      <c r="A83" s="50"/>
      <c r="B83" s="50"/>
      <c r="C83" s="64"/>
      <c r="D83" s="64"/>
      <c r="E83" s="64"/>
      <c r="F83" s="64"/>
      <c r="G83" s="64"/>
    </row>
    <row r="84" spans="1:7" x14ac:dyDescent="0.2">
      <c r="A84" s="50"/>
      <c r="B84" s="50"/>
      <c r="C84" s="64"/>
      <c r="D84" s="64"/>
      <c r="E84" s="64"/>
      <c r="F84" s="64"/>
      <c r="G84" s="64"/>
    </row>
    <row r="85" spans="1:7" x14ac:dyDescent="0.2">
      <c r="A85" s="50"/>
      <c r="B85" s="62"/>
      <c r="C85" s="64"/>
      <c r="D85" s="64"/>
      <c r="E85" s="64"/>
      <c r="F85" s="64"/>
      <c r="G85" s="64"/>
    </row>
    <row r="86" spans="1:7" x14ac:dyDescent="0.2">
      <c r="A86" s="50"/>
      <c r="B86" s="50"/>
      <c r="C86" s="64"/>
      <c r="D86" s="64"/>
      <c r="E86" s="64"/>
      <c r="F86" s="64"/>
      <c r="G86" s="64"/>
    </row>
    <row r="87" spans="1:7" x14ac:dyDescent="0.2">
      <c r="A87" s="50"/>
      <c r="B87" s="50"/>
      <c r="C87" s="64"/>
      <c r="D87" s="64"/>
      <c r="E87" s="64"/>
      <c r="F87" s="64"/>
      <c r="G87" s="64"/>
    </row>
    <row r="88" spans="1:7" x14ac:dyDescent="0.2">
      <c r="A88" s="50"/>
      <c r="B88" s="50"/>
      <c r="C88" s="64"/>
      <c r="D88" s="64"/>
      <c r="E88" s="64"/>
      <c r="F88" s="64"/>
      <c r="G88" s="64"/>
    </row>
    <row r="89" spans="1:7" x14ac:dyDescent="0.2">
      <c r="A89" s="50"/>
      <c r="B89" s="50"/>
      <c r="C89" s="64"/>
      <c r="D89" s="64"/>
      <c r="E89" s="64"/>
      <c r="F89" s="64"/>
      <c r="G89" s="64"/>
    </row>
    <row r="90" spans="1:7" ht="12.75" customHeight="1" x14ac:dyDescent="0.2">
      <c r="A90" s="50"/>
      <c r="B90" s="50"/>
      <c r="C90" s="64"/>
      <c r="D90" s="64"/>
      <c r="E90" s="64"/>
      <c r="F90" s="64"/>
      <c r="G90" s="64"/>
    </row>
    <row r="91" spans="1:7" x14ac:dyDescent="0.2">
      <c r="A91" s="50"/>
      <c r="B91" s="62"/>
      <c r="C91" s="64"/>
      <c r="D91" s="64"/>
      <c r="E91" s="64"/>
      <c r="F91" s="64"/>
      <c r="G91" s="64"/>
    </row>
    <row r="92" spans="1:7" x14ac:dyDescent="0.2">
      <c r="A92" s="50"/>
      <c r="B92" s="50"/>
      <c r="C92" s="64"/>
      <c r="D92" s="64"/>
      <c r="E92" s="64"/>
      <c r="F92" s="64"/>
      <c r="G92" s="64"/>
    </row>
    <row r="93" spans="1:7" x14ac:dyDescent="0.2">
      <c r="A93" s="50"/>
      <c r="B93" s="61"/>
      <c r="C93" s="97"/>
      <c r="D93" s="97"/>
      <c r="E93" s="97"/>
      <c r="F93" s="97"/>
      <c r="G93" s="97"/>
    </row>
    <row r="94" spans="1:7" x14ac:dyDescent="0.2">
      <c r="A94" s="50"/>
      <c r="B94" s="360"/>
      <c r="C94" s="360"/>
      <c r="D94" s="360"/>
      <c r="E94" s="360"/>
      <c r="F94" s="360"/>
      <c r="G94" s="360"/>
    </row>
    <row r="95" spans="1:7" x14ac:dyDescent="0.2">
      <c r="A95" s="50"/>
      <c r="B95" s="50"/>
      <c r="C95" s="64"/>
      <c r="D95" s="64"/>
      <c r="E95" s="64"/>
      <c r="F95" s="64"/>
      <c r="G95" s="64"/>
    </row>
    <row r="96" spans="1:7" x14ac:dyDescent="0.2">
      <c r="A96" s="50"/>
      <c r="B96" s="50"/>
      <c r="C96" s="64"/>
      <c r="D96" s="64"/>
      <c r="E96" s="64"/>
      <c r="F96" s="64"/>
      <c r="G96" s="64"/>
    </row>
    <row r="97" spans="1:11" x14ac:dyDescent="0.2">
      <c r="A97" s="50"/>
      <c r="B97" s="50"/>
      <c r="C97" s="64"/>
      <c r="D97" s="64"/>
      <c r="E97" s="64"/>
      <c r="F97" s="64"/>
      <c r="G97" s="64"/>
    </row>
    <row r="98" spans="1:11" x14ac:dyDescent="0.2">
      <c r="A98" s="50"/>
      <c r="B98" s="50"/>
      <c r="C98" s="64"/>
      <c r="D98" s="64"/>
      <c r="E98" s="64"/>
      <c r="F98" s="64"/>
      <c r="G98" s="64"/>
    </row>
    <row r="99" spans="1:11" x14ac:dyDescent="0.2">
      <c r="A99" s="50"/>
      <c r="B99" s="62"/>
      <c r="C99" s="64"/>
      <c r="D99" s="64"/>
      <c r="E99" s="64"/>
      <c r="F99" s="64"/>
      <c r="G99" s="64"/>
    </row>
    <row r="100" spans="1:11" x14ac:dyDescent="0.2">
      <c r="A100" s="50"/>
      <c r="B100" s="50"/>
      <c r="C100" s="64"/>
      <c r="D100" s="64"/>
      <c r="E100" s="64"/>
      <c r="F100" s="64"/>
      <c r="G100" s="64"/>
    </row>
    <row r="101" spans="1:11" x14ac:dyDescent="0.2">
      <c r="A101" s="50"/>
      <c r="B101" s="50"/>
      <c r="C101" s="64"/>
      <c r="D101" s="64"/>
      <c r="E101" s="64"/>
      <c r="F101" s="64"/>
      <c r="G101" s="64"/>
      <c r="H101" s="20"/>
      <c r="I101" s="20"/>
      <c r="J101" s="20"/>
      <c r="K101" s="32"/>
    </row>
    <row r="102" spans="1:11" x14ac:dyDescent="0.2">
      <c r="A102" s="50"/>
      <c r="B102" s="50"/>
      <c r="C102" s="64"/>
      <c r="D102" s="64"/>
      <c r="E102" s="64"/>
      <c r="F102" s="64"/>
      <c r="G102" s="64"/>
      <c r="H102" s="33"/>
      <c r="I102" s="25"/>
      <c r="J102" s="23"/>
      <c r="K102" s="24"/>
    </row>
    <row r="103" spans="1:11" x14ac:dyDescent="0.2">
      <c r="A103" s="50"/>
      <c r="B103" s="50"/>
      <c r="C103" s="64"/>
      <c r="D103" s="64"/>
      <c r="E103" s="64"/>
      <c r="F103" s="64"/>
      <c r="G103" s="64"/>
      <c r="H103" s="37"/>
      <c r="I103" s="29"/>
      <c r="J103" s="35"/>
      <c r="K103" s="36"/>
    </row>
    <row r="104" spans="1:11" x14ac:dyDescent="0.2">
      <c r="A104" s="50"/>
      <c r="B104" s="50"/>
      <c r="C104" s="64"/>
      <c r="D104" s="64"/>
      <c r="E104" s="64"/>
      <c r="F104" s="64"/>
      <c r="G104" s="64"/>
      <c r="H104" s="40"/>
      <c r="I104" s="40"/>
      <c r="J104" s="11"/>
      <c r="K104" s="9"/>
    </row>
    <row r="105" spans="1:11" x14ac:dyDescent="0.2">
      <c r="A105" s="50"/>
      <c r="B105" s="62"/>
      <c r="C105" s="64"/>
      <c r="D105" s="64"/>
      <c r="E105" s="64"/>
      <c r="F105" s="64"/>
      <c r="G105" s="64"/>
      <c r="H105" s="11"/>
      <c r="I105" s="40"/>
      <c r="J105" s="11"/>
      <c r="K105" s="9"/>
    </row>
    <row r="106" spans="1:11" x14ac:dyDescent="0.2">
      <c r="A106" s="50"/>
      <c r="B106" s="50"/>
      <c r="C106" s="64"/>
      <c r="D106" s="64"/>
      <c r="E106" s="64"/>
      <c r="F106" s="64"/>
      <c r="G106" s="64"/>
      <c r="H106" s="11"/>
      <c r="I106" s="40"/>
      <c r="J106" s="11"/>
      <c r="K106" s="9"/>
    </row>
    <row r="107" spans="1:11" x14ac:dyDescent="0.2">
      <c r="A107" s="50"/>
      <c r="B107" s="61"/>
      <c r="C107" s="97"/>
      <c r="D107" s="97"/>
      <c r="E107" s="97"/>
      <c r="F107" s="97"/>
      <c r="G107" s="97"/>
      <c r="H107" s="11"/>
      <c r="I107" s="40"/>
      <c r="J107" s="11"/>
      <c r="K107" s="9"/>
    </row>
    <row r="108" spans="1:11" x14ac:dyDescent="0.2">
      <c r="H108" s="11"/>
      <c r="I108" s="40"/>
      <c r="J108" s="11"/>
      <c r="K108" s="9"/>
    </row>
    <row r="109" spans="1:11" x14ac:dyDescent="0.2">
      <c r="H109" s="11"/>
      <c r="I109" s="40"/>
      <c r="J109" s="11"/>
      <c r="K109" s="9"/>
    </row>
    <row r="110" spans="1:11" x14ac:dyDescent="0.2">
      <c r="H110" s="11"/>
      <c r="I110" s="40"/>
      <c r="J110" s="11"/>
      <c r="K110" s="9"/>
    </row>
    <row r="111" spans="1:11" x14ac:dyDescent="0.2">
      <c r="H111" s="11"/>
      <c r="I111" s="40"/>
      <c r="J111" s="11"/>
      <c r="K111" s="9"/>
    </row>
    <row r="112" spans="1:11" x14ac:dyDescent="0.2">
      <c r="H112" s="40"/>
      <c r="I112" s="40"/>
      <c r="J112" s="11"/>
      <c r="K112" s="9"/>
    </row>
    <row r="113" spans="2:11" x14ac:dyDescent="0.2">
      <c r="H113" s="40"/>
      <c r="I113" s="40"/>
      <c r="J113" s="11"/>
      <c r="K113" s="9"/>
    </row>
    <row r="114" spans="2:11" x14ac:dyDescent="0.2">
      <c r="H114" s="44"/>
      <c r="I114" s="40"/>
      <c r="J114" s="44"/>
      <c r="K114" s="3"/>
    </row>
    <row r="115" spans="2:11" x14ac:dyDescent="0.2">
      <c r="H115" s="28"/>
      <c r="I115" s="36"/>
      <c r="J115" s="28"/>
      <c r="K115" s="36"/>
    </row>
    <row r="116" spans="2:11" x14ac:dyDescent="0.2">
      <c r="I116" s="46"/>
    </row>
    <row r="124" spans="2:11" x14ac:dyDescent="0.2">
      <c r="F124" s="10" t="s">
        <v>35</v>
      </c>
    </row>
    <row r="125" spans="2:11" x14ac:dyDescent="0.2">
      <c r="B125" s="20"/>
      <c r="C125" s="20"/>
      <c r="D125" s="32"/>
      <c r="F125" s="31" t="s">
        <v>36</v>
      </c>
      <c r="G125" s="4"/>
    </row>
    <row r="126" spans="2:11" x14ac:dyDescent="0.2">
      <c r="B126" s="26" t="s">
        <v>39</v>
      </c>
      <c r="C126" s="23" t="s">
        <v>38</v>
      </c>
      <c r="D126" s="24" t="s">
        <v>39</v>
      </c>
      <c r="F126" s="18"/>
      <c r="G126" s="27" t="s">
        <v>37</v>
      </c>
    </row>
    <row r="127" spans="2:11" x14ac:dyDescent="0.2">
      <c r="B127" s="30" t="s">
        <v>34</v>
      </c>
      <c r="C127" s="35">
        <v>0.82</v>
      </c>
      <c r="D127" s="36" t="s">
        <v>34</v>
      </c>
      <c r="F127" s="34"/>
      <c r="G127" s="29" t="s">
        <v>40</v>
      </c>
    </row>
    <row r="128" spans="2:11" x14ac:dyDescent="0.2">
      <c r="B128" s="39" t="e">
        <f>#REF!*#REF!</f>
        <v>#REF!</v>
      </c>
      <c r="C128" s="11">
        <v>1</v>
      </c>
      <c r="D128" s="9" t="e">
        <f>C128*#REF!</f>
        <v>#REF!</v>
      </c>
      <c r="F128" s="18" t="s">
        <v>41</v>
      </c>
      <c r="G128" s="19" t="e">
        <f>#REF!</f>
        <v>#REF!</v>
      </c>
    </row>
    <row r="129" spans="2:7" x14ac:dyDescent="0.2">
      <c r="B129" s="38" t="e">
        <f>#REF!*#REF!</f>
        <v>#REF!</v>
      </c>
      <c r="C129" s="11">
        <v>0.52632000000000001</v>
      </c>
      <c r="D129" s="9" t="e">
        <f>C129*#REF!</f>
        <v>#REF!</v>
      </c>
      <c r="E129" s="41" t="e">
        <f>B129+B130</f>
        <v>#REF!</v>
      </c>
      <c r="F129" s="18">
        <v>1</v>
      </c>
      <c r="G129" s="19" t="e">
        <f>#REF!</f>
        <v>#REF!</v>
      </c>
    </row>
    <row r="130" spans="2:7" x14ac:dyDescent="0.2">
      <c r="B130" s="38" t="e">
        <f>#REF!*#REF!</f>
        <v>#REF!</v>
      </c>
      <c r="C130" s="11">
        <v>0.27700999999999998</v>
      </c>
      <c r="D130" s="9" t="e">
        <f>C130*#REF!</f>
        <v>#REF!</v>
      </c>
      <c r="E130" s="41" t="e">
        <f>E129+B128</f>
        <v>#REF!</v>
      </c>
      <c r="F130" s="18">
        <v>2</v>
      </c>
      <c r="G130" s="19" t="e">
        <f>#REF!</f>
        <v>#REF!</v>
      </c>
    </row>
    <row r="131" spans="2:7" x14ac:dyDescent="0.2">
      <c r="B131" s="38" t="e">
        <f>#REF!*#REF!</f>
        <v>#REF!</v>
      </c>
      <c r="C131" s="11">
        <v>0.14579</v>
      </c>
      <c r="D131" s="9" t="e">
        <f>C131*#REF!</f>
        <v>#REF!</v>
      </c>
      <c r="F131" s="18">
        <v>3</v>
      </c>
      <c r="G131" s="19" t="e">
        <f>#REF!</f>
        <v>#REF!</v>
      </c>
    </row>
    <row r="132" spans="2:7" x14ac:dyDescent="0.2">
      <c r="B132" s="38" t="e">
        <f>#REF!*#REF!</f>
        <v>#REF!</v>
      </c>
      <c r="C132" s="11">
        <v>7.6730000000000007E-2</v>
      </c>
      <c r="D132" s="9" t="e">
        <f>C132*#REF!</f>
        <v>#REF!</v>
      </c>
      <c r="E132" t="e">
        <f>E130*2/E129</f>
        <v>#REF!</v>
      </c>
      <c r="F132" s="18">
        <v>4</v>
      </c>
      <c r="G132" s="19" t="e">
        <f>#REF!</f>
        <v>#REF!</v>
      </c>
    </row>
    <row r="133" spans="2:7" x14ac:dyDescent="0.2">
      <c r="B133" s="38" t="e">
        <f>#REF!*#REF!</f>
        <v>#REF!</v>
      </c>
      <c r="C133" s="11">
        <v>4.0390000000000002E-2</v>
      </c>
      <c r="D133" s="9" t="e">
        <f>C133*#REF!</f>
        <v>#REF!</v>
      </c>
      <c r="F133" s="18">
        <v>5</v>
      </c>
      <c r="G133" s="19" t="e">
        <f>#REF!</f>
        <v>#REF!</v>
      </c>
    </row>
    <row r="134" spans="2:7" x14ac:dyDescent="0.2">
      <c r="B134" s="38" t="e">
        <f>#REF!*#REF!</f>
        <v>#REF!</v>
      </c>
      <c r="C134" s="11">
        <v>2.1260000000000001E-2</v>
      </c>
      <c r="D134" s="9" t="e">
        <f>C134*#REF!</f>
        <v>#REF!</v>
      </c>
      <c r="F134" s="18">
        <v>6</v>
      </c>
      <c r="G134" s="19" t="e">
        <f>#REF!</f>
        <v>#REF!</v>
      </c>
    </row>
    <row r="135" spans="2:7" x14ac:dyDescent="0.2">
      <c r="B135" s="38" t="e">
        <f>#REF!*#REF!</f>
        <v>#REF!</v>
      </c>
      <c r="C135" s="11">
        <v>1.119E-2</v>
      </c>
      <c r="D135" s="9" t="e">
        <f>C135*#REF!</f>
        <v>#REF!</v>
      </c>
      <c r="F135" s="18">
        <v>7</v>
      </c>
      <c r="G135" s="19" t="e">
        <f>#REF!</f>
        <v>#REF!</v>
      </c>
    </row>
    <row r="136" spans="2:7" x14ac:dyDescent="0.2">
      <c r="B136" s="38" t="e">
        <f>#REF!*#REF!</f>
        <v>#REF!</v>
      </c>
      <c r="C136" s="11">
        <v>5.8900000000000003E-3</v>
      </c>
      <c r="D136" s="9" t="e">
        <f>C136*#REF!</f>
        <v>#REF!</v>
      </c>
      <c r="F136" s="18">
        <v>8</v>
      </c>
      <c r="G136" s="19" t="e">
        <f>#REF!</f>
        <v>#REF!</v>
      </c>
    </row>
    <row r="137" spans="2:7" x14ac:dyDescent="0.2">
      <c r="B137" s="38" t="e">
        <f>#REF!*#REF!</f>
        <v>#REF!</v>
      </c>
      <c r="C137" s="42">
        <v>3.0999999999999999E-3</v>
      </c>
      <c r="D137" s="9" t="e">
        <f>C137*#REF!</f>
        <v>#REF!</v>
      </c>
      <c r="F137" s="18">
        <v>9</v>
      </c>
      <c r="G137" s="19" t="e">
        <f>#REF!</f>
        <v>#REF!</v>
      </c>
    </row>
    <row r="138" spans="2:7" x14ac:dyDescent="0.2">
      <c r="B138" s="38" t="e">
        <f>#REF!*#REF!</f>
        <v>#REF!</v>
      </c>
      <c r="C138" s="44">
        <v>1.6299999999999999E-3</v>
      </c>
      <c r="D138" s="3" t="e">
        <f>C138*#REF!</f>
        <v>#REF!</v>
      </c>
      <c r="F138" s="34">
        <v>10</v>
      </c>
      <c r="G138" s="43" t="e">
        <f>#REF!</f>
        <v>#REF!</v>
      </c>
    </row>
    <row r="139" spans="2:7" x14ac:dyDescent="0.2">
      <c r="B139" s="45">
        <v>169373.50700000001</v>
      </c>
      <c r="C139" s="28" t="s">
        <v>42</v>
      </c>
      <c r="D139" s="36" t="e">
        <f>SUM(D128:D138)</f>
        <v>#REF!</v>
      </c>
      <c r="F139" s="34"/>
      <c r="G139" s="28"/>
    </row>
    <row r="140" spans="2:7" x14ac:dyDescent="0.2">
      <c r="B140" s="46" t="e">
        <f>NPV(0.81955,#REF!)+#REF!</f>
        <v>#REF!</v>
      </c>
      <c r="C140" t="s">
        <v>43</v>
      </c>
    </row>
    <row r="142" spans="2:7" x14ac:dyDescent="0.2">
      <c r="B142" s="22">
        <v>6</v>
      </c>
      <c r="C142" s="47">
        <v>7</v>
      </c>
    </row>
    <row r="143" spans="2:7" x14ac:dyDescent="0.2">
      <c r="B143" s="21" t="e">
        <f>#REF!*#REF!</f>
        <v>#REF!</v>
      </c>
      <c r="C143" s="21" t="e">
        <f>#REF!*#REF!</f>
        <v>#REF!</v>
      </c>
    </row>
    <row r="144" spans="2:7" x14ac:dyDescent="0.2">
      <c r="B144" s="48" t="e">
        <f>#REF!+B143</f>
        <v>#REF!</v>
      </c>
      <c r="C144" s="48" t="e">
        <f>B144+C143</f>
        <v>#REF!</v>
      </c>
    </row>
  </sheetData>
  <mergeCells count="7">
    <mergeCell ref="I15:L15"/>
    <mergeCell ref="B94:G94"/>
    <mergeCell ref="B2:G2"/>
    <mergeCell ref="B3:G3"/>
    <mergeCell ref="B52:G52"/>
    <mergeCell ref="B66:G66"/>
    <mergeCell ref="B80:G80"/>
  </mergeCells>
  <phoneticPr fontId="0" type="noConversion"/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78ED-C89C-4A18-AA75-34AC1B0EEA27}">
  <dimension ref="B1:L35"/>
  <sheetViews>
    <sheetView topLeftCell="A13" workbookViewId="0">
      <selection activeCell="G30" sqref="G30"/>
    </sheetView>
  </sheetViews>
  <sheetFormatPr baseColWidth="10" defaultRowHeight="12.75" x14ac:dyDescent="0.2"/>
  <cols>
    <col min="2" max="2" width="15.140625" customWidth="1"/>
    <col min="3" max="3" width="20.42578125" bestFit="1" customWidth="1"/>
    <col min="7" max="7" width="12.140625" customWidth="1"/>
  </cols>
  <sheetData>
    <row r="1" spans="2:12" ht="13.5" thickBot="1" x14ac:dyDescent="0.25">
      <c r="B1" s="368" t="s">
        <v>294</v>
      </c>
      <c r="C1" s="369"/>
      <c r="D1" s="369"/>
      <c r="E1" s="370"/>
    </row>
    <row r="2" spans="2:12" ht="14.25" x14ac:dyDescent="0.2">
      <c r="I2" s="304" t="s">
        <v>276</v>
      </c>
      <c r="J2" s="305"/>
      <c r="K2" s="305"/>
      <c r="L2" s="305"/>
    </row>
    <row r="3" spans="2:12" ht="18.75" x14ac:dyDescent="0.2">
      <c r="B3" s="278" t="s">
        <v>236</v>
      </c>
      <c r="I3" s="304" t="s">
        <v>275</v>
      </c>
      <c r="J3" s="305"/>
      <c r="K3" s="305"/>
      <c r="L3" s="305"/>
    </row>
    <row r="4" spans="2:12" ht="14.25" x14ac:dyDescent="0.2">
      <c r="I4" s="305"/>
      <c r="J4" s="305"/>
      <c r="K4" s="305"/>
      <c r="L4" s="305"/>
    </row>
    <row r="5" spans="2:12" ht="15.75" x14ac:dyDescent="0.25">
      <c r="B5" s="10" t="s">
        <v>237</v>
      </c>
      <c r="I5" s="306" t="s">
        <v>277</v>
      </c>
      <c r="J5" s="307"/>
      <c r="K5" s="307"/>
      <c r="L5" s="307"/>
    </row>
    <row r="6" spans="2:12" ht="15.75" x14ac:dyDescent="0.25">
      <c r="B6" s="163" t="s">
        <v>238</v>
      </c>
      <c r="C6" s="279">
        <v>4.9500000000000002E-2</v>
      </c>
      <c r="D6" s="163" t="s">
        <v>239</v>
      </c>
      <c r="G6" s="163" t="s">
        <v>272</v>
      </c>
      <c r="H6" s="286">
        <f>0.02</f>
        <v>0.02</v>
      </c>
      <c r="I6" s="306" t="s">
        <v>278</v>
      </c>
      <c r="J6" s="307"/>
      <c r="K6" s="307"/>
      <c r="L6" s="307"/>
    </row>
    <row r="7" spans="2:12" x14ac:dyDescent="0.2">
      <c r="B7" s="280" t="s">
        <v>240</v>
      </c>
      <c r="C7">
        <v>3.28</v>
      </c>
      <c r="D7" s="163" t="s">
        <v>271</v>
      </c>
      <c r="G7" s="163" t="s">
        <v>273</v>
      </c>
      <c r="H7" s="286">
        <f>Servicio_Deuda!C9</f>
        <v>2.9000000000000001E-2</v>
      </c>
    </row>
    <row r="8" spans="2:12" x14ac:dyDescent="0.2">
      <c r="B8" s="163" t="s">
        <v>241</v>
      </c>
      <c r="C8" s="279">
        <v>4.6399999999999997E-2</v>
      </c>
      <c r="D8" s="163" t="s">
        <v>239</v>
      </c>
    </row>
    <row r="9" spans="2:12" x14ac:dyDescent="0.2">
      <c r="B9" s="163" t="s">
        <v>242</v>
      </c>
      <c r="C9" s="279">
        <v>1.7399999999999999E-2</v>
      </c>
      <c r="D9" s="163" t="s">
        <v>243</v>
      </c>
    </row>
    <row r="11" spans="2:12" x14ac:dyDescent="0.2">
      <c r="B11" s="303" t="s">
        <v>274</v>
      </c>
      <c r="C11" s="281">
        <f>C6+C7*C8+C9</f>
        <v>0.21909199999999998</v>
      </c>
      <c r="D11" s="163" t="s">
        <v>244</v>
      </c>
    </row>
    <row r="12" spans="2:12" x14ac:dyDescent="0.2">
      <c r="B12" s="163" t="s">
        <v>279</v>
      </c>
      <c r="C12" s="286">
        <f>C11*(1+H7)/(1+H6)</f>
        <v>0.22102516470588232</v>
      </c>
    </row>
    <row r="13" spans="2:12" x14ac:dyDescent="0.2">
      <c r="B13" s="163" t="s">
        <v>280</v>
      </c>
      <c r="C13" s="286">
        <f>((1+C12)/(1+H6))-1</f>
        <v>0.19708349480968845</v>
      </c>
    </row>
    <row r="14" spans="2:12" ht="13.5" thickBot="1" x14ac:dyDescent="0.25"/>
    <row r="15" spans="2:12" ht="13.5" thickBot="1" x14ac:dyDescent="0.25">
      <c r="B15" s="368" t="s">
        <v>245</v>
      </c>
      <c r="C15" s="369"/>
      <c r="D15" s="369"/>
      <c r="E15" s="370"/>
      <c r="G15" s="371" t="s">
        <v>246</v>
      </c>
      <c r="H15" s="372"/>
      <c r="I15" s="372"/>
      <c r="J15" s="372"/>
      <c r="K15" s="373"/>
    </row>
    <row r="17" spans="2:8" ht="15.75" x14ac:dyDescent="0.25">
      <c r="B17" s="282" t="s">
        <v>247</v>
      </c>
      <c r="G17" s="283" t="s">
        <v>266</v>
      </c>
    </row>
    <row r="19" spans="2:8" ht="15.75" x14ac:dyDescent="0.2">
      <c r="B19" s="278" t="s">
        <v>100</v>
      </c>
      <c r="G19" s="278" t="s">
        <v>248</v>
      </c>
    </row>
    <row r="20" spans="2:8" ht="15.75" x14ac:dyDescent="0.2">
      <c r="B20" s="278" t="s">
        <v>249</v>
      </c>
      <c r="C20" s="279">
        <v>4.9500000000000002E-2</v>
      </c>
      <c r="G20" s="283" t="s">
        <v>250</v>
      </c>
      <c r="H20">
        <f>Inversion!D25/Inversion!C25</f>
        <v>0.53265932422538287</v>
      </c>
    </row>
    <row r="21" spans="2:8" ht="15.75" x14ac:dyDescent="0.2">
      <c r="B21" s="284" t="s">
        <v>251</v>
      </c>
      <c r="C21" s="285">
        <f>C35</f>
        <v>3.5416929944140612</v>
      </c>
      <c r="G21" s="283" t="s">
        <v>252</v>
      </c>
      <c r="H21" s="286">
        <f>C25</f>
        <v>0.21383455494081244</v>
      </c>
    </row>
    <row r="22" spans="2:8" ht="15.75" x14ac:dyDescent="0.2">
      <c r="B22" s="278" t="s">
        <v>253</v>
      </c>
      <c r="C22" s="279">
        <v>4.6399999999999997E-2</v>
      </c>
      <c r="G22" s="283" t="s">
        <v>254</v>
      </c>
      <c r="H22">
        <f>1-H20</f>
        <v>0.46734067577461713</v>
      </c>
    </row>
    <row r="23" spans="2:8" ht="15.75" x14ac:dyDescent="0.2">
      <c r="B23" s="278" t="s">
        <v>255</v>
      </c>
      <c r="C23" s="286">
        <f>[1]Ku!C23</f>
        <v>0</v>
      </c>
      <c r="G23" s="283" t="s">
        <v>256</v>
      </c>
      <c r="H23" s="286">
        <f>Servicio_Deuda!C7</f>
        <v>0.19561817146153326</v>
      </c>
    </row>
    <row r="24" spans="2:8" ht="15.75" x14ac:dyDescent="0.2">
      <c r="B24" s="278"/>
      <c r="C24" s="286"/>
      <c r="G24" s="283"/>
      <c r="H24" s="286"/>
    </row>
    <row r="25" spans="2:8" ht="15.75" x14ac:dyDescent="0.2">
      <c r="B25" s="287" t="s">
        <v>252</v>
      </c>
      <c r="C25" s="288">
        <f>C20+C21*(C22)+C23</f>
        <v>0.21383455494081244</v>
      </c>
      <c r="G25" s="287" t="s">
        <v>267</v>
      </c>
      <c r="H25" s="281">
        <f>H20*H21+H22*H23</f>
        <v>0.20532129797543652</v>
      </c>
    </row>
    <row r="26" spans="2:8" ht="16.5" thickBot="1" x14ac:dyDescent="0.25">
      <c r="B26" s="278"/>
      <c r="C26" s="286"/>
    </row>
    <row r="27" spans="2:8" ht="16.5" thickBot="1" x14ac:dyDescent="0.25">
      <c r="B27" s="374" t="s">
        <v>257</v>
      </c>
      <c r="C27" s="375"/>
      <c r="D27" s="375"/>
      <c r="E27" s="376"/>
      <c r="G27" s="289"/>
    </row>
    <row r="28" spans="2:8" ht="18.75" x14ac:dyDescent="0.2">
      <c r="B28" s="289" t="s">
        <v>258</v>
      </c>
    </row>
    <row r="29" spans="2:8" ht="15.75" x14ac:dyDescent="0.2">
      <c r="B29" s="278" t="s">
        <v>259</v>
      </c>
    </row>
    <row r="30" spans="2:8" ht="15.75" x14ac:dyDescent="0.2">
      <c r="B30" s="284"/>
    </row>
    <row r="31" spans="2:8" ht="19.5" x14ac:dyDescent="0.2">
      <c r="B31" s="284" t="s">
        <v>260</v>
      </c>
      <c r="C31">
        <v>3.54</v>
      </c>
    </row>
    <row r="32" spans="2:8" ht="18.75" x14ac:dyDescent="0.2">
      <c r="B32" s="278" t="s">
        <v>261</v>
      </c>
      <c r="C32" s="296">
        <f>Inversion!E25/Inversion!D25</f>
        <v>0.87737256163542232</v>
      </c>
    </row>
    <row r="33" spans="2:3" ht="15.75" x14ac:dyDescent="0.2">
      <c r="B33" s="278" t="s">
        <v>262</v>
      </c>
      <c r="C33" s="163">
        <f>0.39/100</f>
        <v>3.9000000000000003E-3</v>
      </c>
    </row>
    <row r="35" spans="2:3" ht="15.75" x14ac:dyDescent="0.2">
      <c r="B35" s="278" t="s">
        <v>263</v>
      </c>
      <c r="C35" s="285">
        <f>C31*(1+ C33*(1-C32))</f>
        <v>3.5416929944140612</v>
      </c>
    </row>
  </sheetData>
  <mergeCells count="4">
    <mergeCell ref="B15:E15"/>
    <mergeCell ref="G15:K15"/>
    <mergeCell ref="B27:E27"/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51"/>
  <sheetViews>
    <sheetView tabSelected="1" topLeftCell="A10" workbookViewId="0">
      <selection activeCell="H49" sqref="H49"/>
    </sheetView>
  </sheetViews>
  <sheetFormatPr baseColWidth="10" defaultColWidth="11.42578125" defaultRowHeight="12.75" x14ac:dyDescent="0.2"/>
  <cols>
    <col min="1" max="1" width="5.5703125" style="17" customWidth="1"/>
    <col min="2" max="2" width="34.140625" style="17" customWidth="1"/>
    <col min="3" max="6" width="7.7109375" style="17" customWidth="1"/>
    <col min="7" max="7" width="7.140625" style="17" customWidth="1"/>
    <col min="8" max="8" width="7.28515625" style="17" customWidth="1"/>
    <col min="9" max="11" width="6.5703125" style="17" bestFit="1" customWidth="1"/>
    <col min="12" max="13" width="5.5703125" style="17" bestFit="1" customWidth="1"/>
    <col min="14" max="14" width="6.5703125" style="17" bestFit="1" customWidth="1"/>
    <col min="15" max="17" width="7.5703125" style="17" bestFit="1" customWidth="1"/>
    <col min="18" max="16384" width="11.42578125" style="17"/>
  </cols>
  <sheetData>
    <row r="1" spans="2:14" x14ac:dyDescent="0.2">
      <c r="B1" s="17" t="s">
        <v>6</v>
      </c>
    </row>
    <row r="2" spans="2:14" x14ac:dyDescent="0.2">
      <c r="B2" s="328"/>
      <c r="C2" s="328"/>
      <c r="D2" s="328"/>
      <c r="E2" s="328"/>
      <c r="F2" s="328"/>
      <c r="G2" s="328"/>
      <c r="H2" s="328"/>
    </row>
    <row r="3" spans="2:14" x14ac:dyDescent="0.2">
      <c r="B3" s="343" t="s">
        <v>172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</row>
    <row r="4" spans="2:14" ht="13.5" thickBot="1" x14ac:dyDescent="0.25">
      <c r="B4" s="167"/>
      <c r="C4" s="167"/>
      <c r="D4" s="167"/>
      <c r="E4" s="167"/>
      <c r="F4" s="167"/>
      <c r="G4" s="167"/>
      <c r="H4" s="167"/>
    </row>
    <row r="5" spans="2:14" ht="15.75" customHeight="1" x14ac:dyDescent="0.2">
      <c r="B5" s="340" t="s">
        <v>3</v>
      </c>
      <c r="C5" s="362" t="s">
        <v>102</v>
      </c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3"/>
    </row>
    <row r="6" spans="2:14" ht="15.75" customHeight="1" x14ac:dyDescent="0.2">
      <c r="B6" s="341"/>
      <c r="C6" s="323" t="s">
        <v>105</v>
      </c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65"/>
    </row>
    <row r="7" spans="2:14" ht="16.5" customHeight="1" thickBot="1" x14ac:dyDescent="0.25">
      <c r="B7" s="361"/>
      <c r="C7" s="137">
        <v>1</v>
      </c>
      <c r="D7" s="137">
        <v>2</v>
      </c>
      <c r="E7" s="137">
        <v>3</v>
      </c>
      <c r="F7" s="137">
        <v>4</v>
      </c>
      <c r="G7" s="137">
        <v>5</v>
      </c>
      <c r="H7" s="137">
        <v>6</v>
      </c>
      <c r="I7" s="137">
        <v>7</v>
      </c>
      <c r="J7" s="137">
        <v>8</v>
      </c>
      <c r="K7" s="137">
        <v>9</v>
      </c>
      <c r="L7" s="137">
        <v>10</v>
      </c>
      <c r="M7" s="137">
        <v>11</v>
      </c>
      <c r="N7" s="201">
        <v>12</v>
      </c>
    </row>
    <row r="8" spans="2:14" ht="19.5" customHeight="1" x14ac:dyDescent="0.2">
      <c r="B8" s="198" t="s">
        <v>1</v>
      </c>
      <c r="C8" s="199">
        <f>SUM(C9:C11)</f>
        <v>5000</v>
      </c>
      <c r="D8" s="199">
        <f t="shared" ref="D8:N8" si="0">SUM(D9:D11)</f>
        <v>6000</v>
      </c>
      <c r="E8" s="199">
        <f t="shared" si="0"/>
        <v>6500</v>
      </c>
      <c r="F8" s="199">
        <f t="shared" si="0"/>
        <v>6700</v>
      </c>
      <c r="G8" s="199">
        <f t="shared" si="0"/>
        <v>6700</v>
      </c>
      <c r="H8" s="199">
        <f t="shared" si="0"/>
        <v>6700</v>
      </c>
      <c r="I8" s="199">
        <f t="shared" si="0"/>
        <v>6700</v>
      </c>
      <c r="J8" s="199">
        <f t="shared" si="0"/>
        <v>6700</v>
      </c>
      <c r="K8" s="199">
        <f t="shared" si="0"/>
        <v>6700</v>
      </c>
      <c r="L8" s="199">
        <f t="shared" si="0"/>
        <v>6700</v>
      </c>
      <c r="M8" s="199">
        <f t="shared" si="0"/>
        <v>6700</v>
      </c>
      <c r="N8" s="200">
        <f t="shared" si="0"/>
        <v>6700</v>
      </c>
    </row>
    <row r="9" spans="2:14" ht="12.75" customHeight="1" x14ac:dyDescent="0.2">
      <c r="B9" s="188" t="s">
        <v>63</v>
      </c>
      <c r="C9" s="124">
        <f>+Estado_Resultados!C12</f>
        <v>5000</v>
      </c>
      <c r="D9" s="124">
        <f>+Estado_Resultados!D12</f>
        <v>6000</v>
      </c>
      <c r="E9" s="124">
        <f>+Estado_Resultados!E12</f>
        <v>6500</v>
      </c>
      <c r="F9" s="124">
        <f>+Estado_Resultados!F12</f>
        <v>6700</v>
      </c>
      <c r="G9" s="124">
        <f>+Estado_Resultados!G12</f>
        <v>6700</v>
      </c>
      <c r="H9" s="124">
        <f>+Estado_Resultados!H12</f>
        <v>6700</v>
      </c>
      <c r="I9" s="124">
        <f>+Estado_Resultados!I12</f>
        <v>6700</v>
      </c>
      <c r="J9" s="124">
        <f>+Estado_Resultados!J12</f>
        <v>6700</v>
      </c>
      <c r="K9" s="124">
        <f>+Estado_Resultados!K12</f>
        <v>6700</v>
      </c>
      <c r="L9" s="124">
        <f>+Estado_Resultados!L12</f>
        <v>6700</v>
      </c>
      <c r="M9" s="124">
        <f>+Estado_Resultados!M12</f>
        <v>6700</v>
      </c>
      <c r="N9" s="189">
        <f>+Estado_Resultados!N12</f>
        <v>6700</v>
      </c>
    </row>
    <row r="10" spans="2:14" ht="12.75" customHeight="1" x14ac:dyDescent="0.2">
      <c r="B10" s="188" t="s">
        <v>65</v>
      </c>
      <c r="C10" s="124"/>
      <c r="D10" s="124"/>
      <c r="E10" s="124"/>
      <c r="F10" s="124"/>
      <c r="G10" s="124"/>
      <c r="H10" s="124"/>
      <c r="I10" s="125"/>
      <c r="J10" s="125"/>
      <c r="K10" s="125"/>
      <c r="L10" s="123"/>
      <c r="M10" s="123"/>
      <c r="N10" s="190"/>
    </row>
    <row r="11" spans="2:14" ht="12.75" customHeight="1" x14ac:dyDescent="0.2">
      <c r="B11" s="188" t="s">
        <v>87</v>
      </c>
      <c r="C11" s="124"/>
      <c r="D11" s="124"/>
      <c r="E11" s="124"/>
      <c r="F11" s="124"/>
      <c r="G11" s="124"/>
      <c r="H11" s="124"/>
      <c r="I11" s="125"/>
      <c r="J11" s="125"/>
      <c r="K11" s="125"/>
      <c r="L11" s="123"/>
      <c r="M11" s="123"/>
      <c r="N11" s="190"/>
    </row>
    <row r="12" spans="2:14" ht="12.75" customHeight="1" x14ac:dyDescent="0.2">
      <c r="B12" s="186" t="s">
        <v>5</v>
      </c>
      <c r="C12" s="122">
        <f t="shared" ref="C12:N12" si="1">SUM(C13:C17)</f>
        <v>5310.0000000000009</v>
      </c>
      <c r="D12" s="122">
        <f t="shared" si="1"/>
        <v>5408.3333333333339</v>
      </c>
      <c r="E12" s="122">
        <f t="shared" si="1"/>
        <v>5447.6666666666679</v>
      </c>
      <c r="F12" s="122">
        <f t="shared" si="1"/>
        <v>5447.666666666667</v>
      </c>
      <c r="G12" s="122">
        <f t="shared" si="1"/>
        <v>5447.666666666667</v>
      </c>
      <c r="H12" s="122">
        <f t="shared" si="1"/>
        <v>5447.666666666667</v>
      </c>
      <c r="I12" s="122">
        <f t="shared" si="1"/>
        <v>5447.666666666667</v>
      </c>
      <c r="J12" s="122">
        <f t="shared" si="1"/>
        <v>5447.666666666667</v>
      </c>
      <c r="K12" s="122">
        <f t="shared" si="1"/>
        <v>5447.666666666667</v>
      </c>
      <c r="L12" s="122">
        <f t="shared" si="1"/>
        <v>5447.666666666667</v>
      </c>
      <c r="M12" s="122">
        <f t="shared" si="1"/>
        <v>5447.666666666667</v>
      </c>
      <c r="N12" s="187">
        <f t="shared" si="1"/>
        <v>5447.666666666667</v>
      </c>
    </row>
    <row r="13" spans="2:14" ht="12.75" customHeight="1" x14ac:dyDescent="0.2">
      <c r="B13" s="188" t="s">
        <v>88</v>
      </c>
      <c r="C13" s="124"/>
      <c r="D13" s="124"/>
      <c r="E13" s="124"/>
      <c r="F13" s="124"/>
      <c r="G13" s="124"/>
      <c r="H13" s="124"/>
      <c r="I13" s="125"/>
      <c r="J13" s="125"/>
      <c r="K13" s="125"/>
      <c r="L13" s="123"/>
      <c r="M13" s="123"/>
      <c r="N13" s="190"/>
    </row>
    <row r="14" spans="2:14" ht="12.75" customHeight="1" x14ac:dyDescent="0.2">
      <c r="B14" s="188" t="s">
        <v>89</v>
      </c>
      <c r="C14" s="124">
        <f>Capital_Trabajo!E12</f>
        <v>196.66666666666697</v>
      </c>
      <c r="D14" s="124">
        <f>Capital_Trabajo!F12</f>
        <v>98.33333333333303</v>
      </c>
      <c r="E14" s="124">
        <f>Capital_Trabajo!G12</f>
        <v>39.33333333333394</v>
      </c>
      <c r="F14" s="124">
        <f>Capital_Trabajo!H12</f>
        <v>0</v>
      </c>
      <c r="G14" s="124">
        <f>Capital_Trabajo!I12</f>
        <v>0</v>
      </c>
      <c r="H14" s="124">
        <f>Capital_Trabajo!J12</f>
        <v>0</v>
      </c>
      <c r="I14" s="124">
        <f>Capital_Trabajo!K12</f>
        <v>0</v>
      </c>
      <c r="J14" s="124">
        <f>Capital_Trabajo!L12</f>
        <v>0</v>
      </c>
      <c r="K14" s="124">
        <f>Capital_Trabajo!M12</f>
        <v>0</v>
      </c>
      <c r="L14" s="124">
        <f>Capital_Trabajo!N12</f>
        <v>0</v>
      </c>
      <c r="M14" s="124">
        <f>Capital_Trabajo!O12</f>
        <v>0</v>
      </c>
      <c r="N14" s="189">
        <f>Capital_Trabajo!P12</f>
        <v>0</v>
      </c>
    </row>
    <row r="15" spans="2:14" ht="12.75" customHeight="1" x14ac:dyDescent="0.2">
      <c r="B15" s="188" t="s">
        <v>90</v>
      </c>
      <c r="C15" s="124">
        <f>+Estado_Resultados!C13-Estado_Resultados!C15</f>
        <v>983.33333333333348</v>
      </c>
      <c r="D15" s="124">
        <f>+Estado_Resultados!D13-Estado_Resultados!D15</f>
        <v>1180</v>
      </c>
      <c r="E15" s="124">
        <f>+Estado_Resultados!E13-Estado_Resultados!E15</f>
        <v>1278.3333333333333</v>
      </c>
      <c r="F15" s="124">
        <f>+Estado_Resultados!F13-Estado_Resultados!F15</f>
        <v>1317.6666666666667</v>
      </c>
      <c r="G15" s="124">
        <f>+Estado_Resultados!G13-Estado_Resultados!G15</f>
        <v>1317.6666666666667</v>
      </c>
      <c r="H15" s="124">
        <f>+Estado_Resultados!H13-Estado_Resultados!H15</f>
        <v>1317.6666666666667</v>
      </c>
      <c r="I15" s="124">
        <f>+Estado_Resultados!I13-Estado_Resultados!I15</f>
        <v>1317.6666666666667</v>
      </c>
      <c r="J15" s="124">
        <f>+Estado_Resultados!J13-Estado_Resultados!J15</f>
        <v>1317.6666666666667</v>
      </c>
      <c r="K15" s="124">
        <f>+Estado_Resultados!K13-Estado_Resultados!K15</f>
        <v>1317.6666666666667</v>
      </c>
      <c r="L15" s="124">
        <f>+Estado_Resultados!L13-Estado_Resultados!L15</f>
        <v>1317.6666666666667</v>
      </c>
      <c r="M15" s="124">
        <f>+Estado_Resultados!M13-Estado_Resultados!M15</f>
        <v>1317.6666666666667</v>
      </c>
      <c r="N15" s="189">
        <f>+Estado_Resultados!N13-Estado_Resultados!N15</f>
        <v>1317.6666666666667</v>
      </c>
    </row>
    <row r="16" spans="2:14" ht="12.75" customHeight="1" x14ac:dyDescent="0.2">
      <c r="B16" s="188" t="s">
        <v>157</v>
      </c>
      <c r="C16" s="124">
        <f>+Estado_Resultados!C17-Estado_Resultados!C19</f>
        <v>4080.0000000000005</v>
      </c>
      <c r="D16" s="124">
        <f>+Estado_Resultados!D17-Estado_Resultados!D19</f>
        <v>4080.0000000000005</v>
      </c>
      <c r="E16" s="124">
        <f>+Estado_Resultados!E17-Estado_Resultados!E19</f>
        <v>4080.0000000000005</v>
      </c>
      <c r="F16" s="124">
        <f>+Estado_Resultados!F17-Estado_Resultados!F19</f>
        <v>4080.0000000000005</v>
      </c>
      <c r="G16" s="124">
        <f>+Estado_Resultados!G17-Estado_Resultados!G19</f>
        <v>4080.0000000000005</v>
      </c>
      <c r="H16" s="124">
        <f>+Estado_Resultados!H17-Estado_Resultados!H19</f>
        <v>4080.0000000000005</v>
      </c>
      <c r="I16" s="124">
        <f>+Estado_Resultados!I17-Estado_Resultados!I19</f>
        <v>4080.0000000000005</v>
      </c>
      <c r="J16" s="124">
        <f>+Estado_Resultados!J17-Estado_Resultados!J19</f>
        <v>4080.0000000000005</v>
      </c>
      <c r="K16" s="124">
        <f>+Estado_Resultados!K17-Estado_Resultados!K19</f>
        <v>4080.0000000000005</v>
      </c>
      <c r="L16" s="124">
        <f>+Estado_Resultados!L17-Estado_Resultados!L19</f>
        <v>4080.0000000000005</v>
      </c>
      <c r="M16" s="124">
        <f>+Estado_Resultados!M17-Estado_Resultados!M19</f>
        <v>4080.0000000000005</v>
      </c>
      <c r="N16" s="189">
        <f>+Estado_Resultados!N17-Estado_Resultados!N19</f>
        <v>4080.0000000000005</v>
      </c>
    </row>
    <row r="17" spans="2:14" ht="12.75" customHeight="1" x14ac:dyDescent="0.2">
      <c r="B17" s="188" t="s">
        <v>16</v>
      </c>
      <c r="C17" s="124">
        <f>+Estado_Resultados!C21</f>
        <v>50</v>
      </c>
      <c r="D17" s="124">
        <f>+Estado_Resultados!D21</f>
        <v>50</v>
      </c>
      <c r="E17" s="124">
        <f>+Estado_Resultados!E21</f>
        <v>50</v>
      </c>
      <c r="F17" s="124">
        <f>+Estado_Resultados!F21</f>
        <v>50</v>
      </c>
      <c r="G17" s="124">
        <f>+Estado_Resultados!G21</f>
        <v>50</v>
      </c>
      <c r="H17" s="124">
        <f>+Estado_Resultados!H21</f>
        <v>50</v>
      </c>
      <c r="I17" s="124">
        <f>+Estado_Resultados!I21</f>
        <v>50</v>
      </c>
      <c r="J17" s="124">
        <f>+Estado_Resultados!J21</f>
        <v>50</v>
      </c>
      <c r="K17" s="124">
        <f>+Estado_Resultados!K21</f>
        <v>50</v>
      </c>
      <c r="L17" s="124">
        <f>+Estado_Resultados!L21</f>
        <v>50</v>
      </c>
      <c r="M17" s="124">
        <f>+Estado_Resultados!M21</f>
        <v>50</v>
      </c>
      <c r="N17" s="189">
        <f>+Estado_Resultados!N21</f>
        <v>50</v>
      </c>
    </row>
    <row r="18" spans="2:14" ht="18" customHeight="1" x14ac:dyDescent="0.2">
      <c r="B18" s="192" t="s">
        <v>61</v>
      </c>
      <c r="C18" s="126">
        <f t="shared" ref="C18:N18" si="2">+C8-C12</f>
        <v>-310.00000000000091</v>
      </c>
      <c r="D18" s="126">
        <f t="shared" si="2"/>
        <v>591.66666666666606</v>
      </c>
      <c r="E18" s="126">
        <f t="shared" si="2"/>
        <v>1052.3333333333321</v>
      </c>
      <c r="F18" s="126">
        <f t="shared" si="2"/>
        <v>1252.333333333333</v>
      </c>
      <c r="G18" s="126">
        <f t="shared" si="2"/>
        <v>1252.333333333333</v>
      </c>
      <c r="H18" s="126">
        <f t="shared" si="2"/>
        <v>1252.333333333333</v>
      </c>
      <c r="I18" s="126">
        <f t="shared" si="2"/>
        <v>1252.333333333333</v>
      </c>
      <c r="J18" s="126">
        <f t="shared" si="2"/>
        <v>1252.333333333333</v>
      </c>
      <c r="K18" s="126">
        <f t="shared" si="2"/>
        <v>1252.333333333333</v>
      </c>
      <c r="L18" s="126">
        <f t="shared" si="2"/>
        <v>1252.333333333333</v>
      </c>
      <c r="M18" s="126">
        <f t="shared" si="2"/>
        <v>1252.333333333333</v>
      </c>
      <c r="N18" s="193">
        <f t="shared" si="2"/>
        <v>1252.333333333333</v>
      </c>
    </row>
    <row r="19" spans="2:14" ht="12.75" customHeight="1" x14ac:dyDescent="0.2">
      <c r="B19" s="186" t="s">
        <v>9</v>
      </c>
      <c r="C19" s="124"/>
      <c r="D19" s="124"/>
      <c r="E19" s="124"/>
      <c r="F19" s="124"/>
      <c r="G19" s="124"/>
      <c r="H19" s="124"/>
      <c r="I19" s="125"/>
      <c r="J19" s="125"/>
      <c r="K19" s="125"/>
      <c r="L19" s="123"/>
      <c r="M19" s="123"/>
      <c r="N19" s="190"/>
    </row>
    <row r="20" spans="2:14" ht="12.75" customHeight="1" x14ac:dyDescent="0.2">
      <c r="B20" s="188" t="s">
        <v>91</v>
      </c>
      <c r="C20" s="124"/>
      <c r="D20" s="124"/>
      <c r="E20" s="124"/>
      <c r="F20" s="124"/>
      <c r="G20" s="124"/>
      <c r="H20" s="124"/>
      <c r="I20" s="125"/>
      <c r="J20" s="125"/>
      <c r="K20" s="125"/>
      <c r="L20" s="123"/>
      <c r="M20" s="123"/>
      <c r="N20" s="190"/>
    </row>
    <row r="21" spans="2:14" ht="12.75" customHeight="1" x14ac:dyDescent="0.2">
      <c r="B21" s="188" t="s">
        <v>92</v>
      </c>
      <c r="C21" s="124">
        <f>+Servicio_Deuda!E15</f>
        <v>221.30358670886579</v>
      </c>
      <c r="D21" s="124">
        <f>+Servicio_Deuda!E16</f>
        <v>224.08866037699374</v>
      </c>
      <c r="E21" s="124">
        <f>+Servicio_Deuda!E17</f>
        <v>226.90878379488967</v>
      </c>
      <c r="F21" s="124">
        <f t="shared" ref="F21:N21" si="3">+$E$21</f>
        <v>226.90878379488967</v>
      </c>
      <c r="G21" s="124">
        <f t="shared" si="3"/>
        <v>226.90878379488967</v>
      </c>
      <c r="H21" s="124">
        <f t="shared" si="3"/>
        <v>226.90878379488967</v>
      </c>
      <c r="I21" s="124">
        <f t="shared" si="3"/>
        <v>226.90878379488967</v>
      </c>
      <c r="J21" s="124">
        <f t="shared" si="3"/>
        <v>226.90878379488967</v>
      </c>
      <c r="K21" s="124">
        <f t="shared" si="3"/>
        <v>226.90878379488967</v>
      </c>
      <c r="L21" s="124">
        <f t="shared" si="3"/>
        <v>226.90878379488967</v>
      </c>
      <c r="M21" s="124">
        <f t="shared" si="3"/>
        <v>226.90878379488967</v>
      </c>
      <c r="N21" s="189">
        <f t="shared" si="3"/>
        <v>226.90878379488967</v>
      </c>
    </row>
    <row r="22" spans="2:14" ht="12.75" customHeight="1" x14ac:dyDescent="0.2">
      <c r="B22" s="188" t="s">
        <v>93</v>
      </c>
      <c r="C22" s="124">
        <f>+Servicio_Deuda!D15</f>
        <v>125.84855535088258</v>
      </c>
      <c r="D22" s="124">
        <f>+Servicio_Deuda!D16</f>
        <v>123.06348168275463</v>
      </c>
      <c r="E22" s="124">
        <f>+Servicio_Deuda!D17</f>
        <v>120.2433582648587</v>
      </c>
      <c r="F22" s="124">
        <f>+Servicio_Deuda!D18</f>
        <v>117.38774400115743</v>
      </c>
      <c r="G22" s="124">
        <f>+Servicio_Deuda!D19</f>
        <v>114.49619224448355</v>
      </c>
      <c r="H22" s="124">
        <f>+Servicio_Deuda!D20</f>
        <v>111.56825072667969</v>
      </c>
      <c r="I22" s="124">
        <f>+Servicio_Deuda!D21</f>
        <v>108.60346148785909</v>
      </c>
      <c r="J22" s="124">
        <f>+Servicio_Deuda!D22</f>
        <v>105.60136080477595</v>
      </c>
      <c r="K22" s="124">
        <f>+Servicio_Deuda!D23</f>
        <v>102.56147911829441</v>
      </c>
      <c r="L22" s="124">
        <f>+Servicio_Deuda!D24</f>
        <v>99.483340959944755</v>
      </c>
      <c r="M22" s="124">
        <f>+Servicio_Deuda!D25</f>
        <v>96.366464877555217</v>
      </c>
      <c r="N22" s="189">
        <f>+Servicio_Deuda!D26</f>
        <v>93.210363359948033</v>
      </c>
    </row>
    <row r="23" spans="2:14" ht="14.25" customHeight="1" x14ac:dyDescent="0.2">
      <c r="B23" s="192" t="s">
        <v>64</v>
      </c>
      <c r="C23" s="126">
        <f t="shared" ref="C23:N23" si="4">SUM(C20:C22)</f>
        <v>347.15214205974837</v>
      </c>
      <c r="D23" s="126">
        <f t="shared" si="4"/>
        <v>347.15214205974837</v>
      </c>
      <c r="E23" s="126">
        <f t="shared" si="4"/>
        <v>347.15214205974837</v>
      </c>
      <c r="F23" s="126">
        <f t="shared" si="4"/>
        <v>344.29652779604709</v>
      </c>
      <c r="G23" s="126">
        <f t="shared" si="4"/>
        <v>341.4049760393732</v>
      </c>
      <c r="H23" s="126">
        <f t="shared" si="4"/>
        <v>338.47703452156935</v>
      </c>
      <c r="I23" s="126">
        <f t="shared" si="4"/>
        <v>335.51224528274878</v>
      </c>
      <c r="J23" s="126">
        <f t="shared" si="4"/>
        <v>332.51014459966564</v>
      </c>
      <c r="K23" s="126">
        <f t="shared" si="4"/>
        <v>329.47026291318411</v>
      </c>
      <c r="L23" s="126">
        <f t="shared" si="4"/>
        <v>326.39212475483441</v>
      </c>
      <c r="M23" s="126">
        <f t="shared" si="4"/>
        <v>323.27524867244489</v>
      </c>
      <c r="N23" s="193">
        <f t="shared" si="4"/>
        <v>320.11914715483772</v>
      </c>
    </row>
    <row r="24" spans="2:14" ht="16.5" customHeight="1" thickBot="1" x14ac:dyDescent="0.25">
      <c r="B24" s="194" t="s">
        <v>10</v>
      </c>
      <c r="C24" s="195">
        <f t="shared" ref="C24:N24" si="5">+C18-C23</f>
        <v>-657.15214205974928</v>
      </c>
      <c r="D24" s="195">
        <f t="shared" si="5"/>
        <v>244.51452460691769</v>
      </c>
      <c r="E24" s="195">
        <f t="shared" si="5"/>
        <v>705.18119127358375</v>
      </c>
      <c r="F24" s="195">
        <f t="shared" si="5"/>
        <v>908.036805537286</v>
      </c>
      <c r="G24" s="195">
        <f t="shared" si="5"/>
        <v>910.92835729395983</v>
      </c>
      <c r="H24" s="195">
        <f t="shared" si="5"/>
        <v>913.85629881176374</v>
      </c>
      <c r="I24" s="195">
        <f t="shared" si="5"/>
        <v>916.82108805058419</v>
      </c>
      <c r="J24" s="195">
        <f t="shared" si="5"/>
        <v>919.82318873366739</v>
      </c>
      <c r="K24" s="195">
        <f t="shared" si="5"/>
        <v>922.86307042014892</v>
      </c>
      <c r="L24" s="195">
        <f t="shared" si="5"/>
        <v>925.94120857849862</v>
      </c>
      <c r="M24" s="195">
        <f t="shared" si="5"/>
        <v>929.0580846608882</v>
      </c>
      <c r="N24" s="196">
        <f t="shared" si="5"/>
        <v>932.21418617849531</v>
      </c>
    </row>
    <row r="25" spans="2:14" x14ac:dyDescent="0.2">
      <c r="B25" s="197" t="s">
        <v>191</v>
      </c>
      <c r="C25" s="197"/>
      <c r="D25" s="197"/>
      <c r="E25" s="197"/>
      <c r="F25" s="197"/>
      <c r="G25" s="197"/>
      <c r="H25" s="197"/>
      <c r="I25" s="197"/>
      <c r="J25" s="197"/>
      <c r="K25" s="197"/>
      <c r="L25" s="197"/>
    </row>
    <row r="26" spans="2:14" x14ac:dyDescent="0.2">
      <c r="B26" s="197" t="s">
        <v>192</v>
      </c>
      <c r="C26" s="197"/>
      <c r="D26" s="197"/>
      <c r="E26" s="197"/>
      <c r="F26" s="197"/>
      <c r="G26" s="197"/>
      <c r="H26" s="197"/>
      <c r="I26" s="197"/>
      <c r="J26" s="197"/>
      <c r="K26" s="197"/>
      <c r="L26" s="197"/>
    </row>
    <row r="27" spans="2:14" x14ac:dyDescent="0.2">
      <c r="B27" s="367"/>
      <c r="C27" s="367"/>
      <c r="D27" s="197"/>
      <c r="E27" s="202"/>
      <c r="F27" s="197"/>
      <c r="G27" s="197"/>
      <c r="H27" s="197"/>
      <c r="I27" s="197"/>
      <c r="J27" s="197"/>
      <c r="K27" s="197"/>
      <c r="L27" s="197"/>
    </row>
    <row r="28" spans="2:14" x14ac:dyDescent="0.2">
      <c r="B28" s="343" t="s">
        <v>173</v>
      </c>
      <c r="C28" s="343"/>
      <c r="D28" s="343"/>
      <c r="E28" s="343"/>
      <c r="F28" s="343"/>
      <c r="G28" s="185"/>
      <c r="H28" s="185"/>
    </row>
    <row r="29" spans="2:14" ht="13.5" thickBot="1" x14ac:dyDescent="0.25">
      <c r="B29" s="167"/>
      <c r="C29" s="167"/>
      <c r="D29" s="167"/>
      <c r="E29" s="167"/>
      <c r="F29" s="167"/>
      <c r="G29" s="167"/>
      <c r="H29" s="167"/>
    </row>
    <row r="30" spans="2:14" x14ac:dyDescent="0.2">
      <c r="B30" s="340" t="s">
        <v>3</v>
      </c>
      <c r="C30" s="362" t="s">
        <v>156</v>
      </c>
      <c r="D30" s="362" t="s">
        <v>102</v>
      </c>
      <c r="E30" s="362" t="s">
        <v>103</v>
      </c>
      <c r="F30" s="363" t="s">
        <v>104</v>
      </c>
      <c r="G30" s="363" t="s">
        <v>268</v>
      </c>
      <c r="H30" s="363" t="s">
        <v>269</v>
      </c>
    </row>
    <row r="31" spans="2:14" ht="11.25" customHeight="1" x14ac:dyDescent="0.2">
      <c r="B31" s="341"/>
      <c r="C31" s="323"/>
      <c r="D31" s="323"/>
      <c r="E31" s="323"/>
      <c r="F31" s="365"/>
      <c r="G31" s="365"/>
      <c r="H31" s="365"/>
    </row>
    <row r="32" spans="2:14" ht="10.5" customHeight="1" thickBot="1" x14ac:dyDescent="0.25">
      <c r="B32" s="361"/>
      <c r="C32" s="364"/>
      <c r="D32" s="364"/>
      <c r="E32" s="364"/>
      <c r="F32" s="366"/>
      <c r="G32" s="366"/>
      <c r="H32" s="366"/>
    </row>
    <row r="33" spans="2:8" x14ac:dyDescent="0.2">
      <c r="B33" s="198" t="s">
        <v>1</v>
      </c>
      <c r="C33" s="224"/>
      <c r="D33" s="199">
        <f>SUM(C8:N8)</f>
        <v>77800</v>
      </c>
      <c r="E33" s="199">
        <f>SUM(E34:E36)</f>
        <v>77800</v>
      </c>
      <c r="F33" s="200">
        <f>SUM(F34:F36)</f>
        <v>77800</v>
      </c>
      <c r="G33" s="200">
        <f t="shared" ref="G33:H33" si="6">SUM(G34:G36)</f>
        <v>77800</v>
      </c>
      <c r="H33" s="200">
        <f t="shared" si="6"/>
        <v>90697.666666666672</v>
      </c>
    </row>
    <row r="34" spans="2:8" x14ac:dyDescent="0.2">
      <c r="B34" s="188" t="s">
        <v>63</v>
      </c>
      <c r="C34" s="123"/>
      <c r="D34" s="124">
        <f>SUM(C9:N9)</f>
        <v>77800</v>
      </c>
      <c r="E34" s="124">
        <f>+Estado_Resultados!P12</f>
        <v>77800</v>
      </c>
      <c r="F34" s="189">
        <f>+Estado_Resultados!Q12</f>
        <v>77800</v>
      </c>
      <c r="G34" s="189">
        <f>+Estado_Resultados!R12</f>
        <v>77800</v>
      </c>
      <c r="H34" s="189">
        <f>+Estado_Resultados!S12</f>
        <v>77800</v>
      </c>
    </row>
    <row r="35" spans="2:8" x14ac:dyDescent="0.2">
      <c r="B35" s="188" t="s">
        <v>65</v>
      </c>
      <c r="C35" s="123"/>
      <c r="D35" s="123"/>
      <c r="E35" s="123"/>
      <c r="F35" s="190"/>
      <c r="G35" s="190"/>
      <c r="H35" s="190">
        <f>Depreciacion!J9</f>
        <v>7500</v>
      </c>
    </row>
    <row r="36" spans="2:8" x14ac:dyDescent="0.2">
      <c r="B36" s="188" t="s">
        <v>87</v>
      </c>
      <c r="C36" s="123"/>
      <c r="D36" s="123"/>
      <c r="E36" s="123"/>
      <c r="F36" s="189"/>
      <c r="G36" s="189"/>
      <c r="H36" s="189">
        <f>Inversion!C24</f>
        <v>5397.666666666667</v>
      </c>
    </row>
    <row r="37" spans="2:8" x14ac:dyDescent="0.2">
      <c r="B37" s="186" t="s">
        <v>5</v>
      </c>
      <c r="C37" s="122">
        <f>SUM(C38:C42)</f>
        <v>21397.666666666668</v>
      </c>
      <c r="D37" s="122">
        <f>SUM(C12:N12)</f>
        <v>65194.999999999993</v>
      </c>
      <c r="E37" s="122">
        <f>SUM(E38:E42)</f>
        <v>66560.666666666657</v>
      </c>
      <c r="F37" s="187">
        <f>SUM(F38:F42)</f>
        <v>66560.666666666657</v>
      </c>
      <c r="G37" s="187">
        <f t="shared" ref="G37:H37" si="7">SUM(G38:G42)</f>
        <v>66560.666666666657</v>
      </c>
      <c r="H37" s="187">
        <f t="shared" si="7"/>
        <v>66560.666666666657</v>
      </c>
    </row>
    <row r="38" spans="2:8" x14ac:dyDescent="0.2">
      <c r="B38" s="188" t="s">
        <v>88</v>
      </c>
      <c r="C38" s="124">
        <f>+Inversion!C21</f>
        <v>16000</v>
      </c>
      <c r="D38" s="123"/>
      <c r="E38" s="123"/>
      <c r="F38" s="190"/>
      <c r="G38" s="190"/>
      <c r="H38" s="190"/>
    </row>
    <row r="39" spans="2:8" x14ac:dyDescent="0.2">
      <c r="B39" s="188" t="s">
        <v>89</v>
      </c>
      <c r="C39" s="124">
        <f>Inversion!C24</f>
        <v>5397.666666666667</v>
      </c>
      <c r="D39" s="124"/>
      <c r="E39" s="123"/>
      <c r="F39" s="191"/>
      <c r="G39" s="191"/>
      <c r="H39" s="191"/>
    </row>
    <row r="40" spans="2:8" x14ac:dyDescent="0.2">
      <c r="B40" s="188" t="s">
        <v>90</v>
      </c>
      <c r="C40" s="123"/>
      <c r="D40" s="124">
        <f>SUM(C15:N15)</f>
        <v>15300.666666666664</v>
      </c>
      <c r="E40" s="124">
        <f>+Estado_Resultados!P13</f>
        <v>16800.666666666664</v>
      </c>
      <c r="F40" s="189">
        <f>+Estado_Resultados!Q13</f>
        <v>16800.666666666664</v>
      </c>
      <c r="G40" s="189">
        <f>+Estado_Resultados!R13</f>
        <v>16800.666666666664</v>
      </c>
      <c r="H40" s="189">
        <f>+Estado_Resultados!S13</f>
        <v>16800.666666666664</v>
      </c>
    </row>
    <row r="41" spans="2:8" x14ac:dyDescent="0.2">
      <c r="B41" s="188" t="s">
        <v>157</v>
      </c>
      <c r="C41" s="123"/>
      <c r="D41" s="124">
        <f>SUM(C16:N16)</f>
        <v>48960.000000000007</v>
      </c>
      <c r="E41" s="124">
        <f>+Estado_Resultados!P17</f>
        <v>49160</v>
      </c>
      <c r="F41" s="189">
        <f>+Estado_Resultados!Q17</f>
        <v>49160</v>
      </c>
      <c r="G41" s="189">
        <f>+Estado_Resultados!R17</f>
        <v>49160</v>
      </c>
      <c r="H41" s="189">
        <f>+Estado_Resultados!S17</f>
        <v>49160</v>
      </c>
    </row>
    <row r="42" spans="2:8" x14ac:dyDescent="0.2">
      <c r="B42" s="188" t="s">
        <v>16</v>
      </c>
      <c r="C42" s="123"/>
      <c r="D42" s="124">
        <f>SUM(C17:N17)</f>
        <v>600</v>
      </c>
      <c r="E42" s="124">
        <f>+Estado_Resultados!P21</f>
        <v>600</v>
      </c>
      <c r="F42" s="189">
        <f>+Estado_Resultados!Q21</f>
        <v>600</v>
      </c>
      <c r="G42" s="189">
        <f>+Estado_Resultados!R21</f>
        <v>600</v>
      </c>
      <c r="H42" s="189">
        <f>+Estado_Resultados!S21</f>
        <v>600</v>
      </c>
    </row>
    <row r="43" spans="2:8" x14ac:dyDescent="0.2">
      <c r="B43" s="192" t="s">
        <v>61</v>
      </c>
      <c r="C43" s="126">
        <f>+C33-C37</f>
        <v>-21397.666666666668</v>
      </c>
      <c r="D43" s="126">
        <f>SUM(C18:N18)</f>
        <v>12604.999999999993</v>
      </c>
      <c r="E43" s="126">
        <f>+E33-E37</f>
        <v>11239.333333333343</v>
      </c>
      <c r="F43" s="193">
        <f>+F33-F37</f>
        <v>11239.333333333343</v>
      </c>
      <c r="G43" s="193">
        <f t="shared" ref="G43:H43" si="8">+G33-G37</f>
        <v>11239.333333333343</v>
      </c>
      <c r="H43" s="193">
        <f t="shared" si="8"/>
        <v>24137.000000000015</v>
      </c>
    </row>
    <row r="44" spans="2:8" x14ac:dyDescent="0.2">
      <c r="B44" s="186" t="s">
        <v>9</v>
      </c>
      <c r="C44" s="121"/>
      <c r="D44" s="123"/>
      <c r="E44" s="123"/>
      <c r="F44" s="190"/>
      <c r="G44" s="190"/>
      <c r="H44" s="190"/>
    </row>
    <row r="45" spans="2:8" x14ac:dyDescent="0.2">
      <c r="B45" s="188" t="s">
        <v>91</v>
      </c>
      <c r="C45" s="124">
        <f>+Servicio_Deuda!C5</f>
        <v>10000</v>
      </c>
      <c r="D45" s="123"/>
      <c r="E45" s="123"/>
      <c r="F45" s="190"/>
      <c r="G45" s="190"/>
      <c r="H45" s="190"/>
    </row>
    <row r="46" spans="2:8" x14ac:dyDescent="0.2">
      <c r="B46" s="188" t="s">
        <v>92</v>
      </c>
      <c r="C46" s="123"/>
      <c r="D46" s="124">
        <f>+Servicio_Deuda!J19</f>
        <v>2847.3916518377864</v>
      </c>
      <c r="E46" s="124">
        <f>+Servicio_Deuda!K19</f>
        <v>3308.4482023373512</v>
      </c>
      <c r="F46" s="189">
        <f>+Servicio_Deuda!L19</f>
        <v>3844.1601458248656</v>
      </c>
      <c r="G46" s="189">
        <f>+Servicio_Deuda!M19</f>
        <v>0</v>
      </c>
      <c r="H46" s="189">
        <f>+Servicio_Deuda!N19</f>
        <v>0</v>
      </c>
    </row>
    <row r="47" spans="2:8" x14ac:dyDescent="0.2">
      <c r="B47" s="188" t="s">
        <v>93</v>
      </c>
      <c r="C47" s="123"/>
      <c r="D47" s="124">
        <f>+Servicio_Deuda!J18</f>
        <v>1318.4340528791943</v>
      </c>
      <c r="E47" s="124">
        <f>+Servicio_Deuda!K18</f>
        <v>857.37750237962928</v>
      </c>
      <c r="F47" s="189">
        <f>+Servicio_Deuda!L18</f>
        <v>321.66555889211486</v>
      </c>
      <c r="G47" s="189">
        <f>+Servicio_Deuda!M18</f>
        <v>0</v>
      </c>
      <c r="H47" s="189">
        <f>+Servicio_Deuda!N18</f>
        <v>0</v>
      </c>
    </row>
    <row r="48" spans="2:8" x14ac:dyDescent="0.2">
      <c r="B48" s="192" t="s">
        <v>235</v>
      </c>
      <c r="C48" s="126">
        <f>C45-C46-C47</f>
        <v>10000</v>
      </c>
      <c r="D48" s="126">
        <f t="shared" ref="D48:F48" si="9">D45-D46-D47</f>
        <v>-4165.8257047169809</v>
      </c>
      <c r="E48" s="126">
        <f t="shared" si="9"/>
        <v>-4165.8257047169809</v>
      </c>
      <c r="F48" s="193">
        <f t="shared" si="9"/>
        <v>-4165.8257047169809</v>
      </c>
      <c r="G48" s="193">
        <f t="shared" ref="G48:H48" si="10">G45-G46-G47</f>
        <v>0</v>
      </c>
      <c r="H48" s="193">
        <f t="shared" si="10"/>
        <v>0</v>
      </c>
    </row>
    <row r="49" spans="2:8" ht="13.5" thickBot="1" x14ac:dyDescent="0.25">
      <c r="B49" s="194" t="s">
        <v>10</v>
      </c>
      <c r="C49" s="195">
        <f>C43+C48</f>
        <v>-11397.666666666668</v>
      </c>
      <c r="D49" s="195">
        <f t="shared" ref="D49:F49" si="11">D43+D48</f>
        <v>8439.1742952830118</v>
      </c>
      <c r="E49" s="195">
        <f t="shared" si="11"/>
        <v>7073.5076286163621</v>
      </c>
      <c r="F49" s="196">
        <f t="shared" si="11"/>
        <v>7073.5076286163621</v>
      </c>
      <c r="G49" s="196">
        <f t="shared" ref="G49:H49" si="12">G43+G48</f>
        <v>11239.333333333343</v>
      </c>
      <c r="H49" s="196">
        <f t="shared" si="12"/>
        <v>24137.000000000015</v>
      </c>
    </row>
    <row r="50" spans="2:8" x14ac:dyDescent="0.2">
      <c r="B50" s="197" t="s">
        <v>191</v>
      </c>
    </row>
    <row r="51" spans="2:8" x14ac:dyDescent="0.2">
      <c r="B51" s="197" t="s">
        <v>192</v>
      </c>
    </row>
  </sheetData>
  <mergeCells count="14">
    <mergeCell ref="B2:H2"/>
    <mergeCell ref="B5:B7"/>
    <mergeCell ref="C5:N5"/>
    <mergeCell ref="D30:D32"/>
    <mergeCell ref="C6:N6"/>
    <mergeCell ref="C30:C32"/>
    <mergeCell ref="B30:B32"/>
    <mergeCell ref="E30:E32"/>
    <mergeCell ref="F30:F32"/>
    <mergeCell ref="B27:C27"/>
    <mergeCell ref="B28:F28"/>
    <mergeCell ref="B3:N3"/>
    <mergeCell ref="G30:G32"/>
    <mergeCell ref="H30:H32"/>
  </mergeCells>
  <phoneticPr fontId="0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5"/>
  <sheetViews>
    <sheetView workbookViewId="0">
      <selection activeCell="F15" sqref="F15"/>
    </sheetView>
  </sheetViews>
  <sheetFormatPr baseColWidth="10" defaultColWidth="11.42578125" defaultRowHeight="12.75" x14ac:dyDescent="0.2"/>
  <cols>
    <col min="1" max="1" width="8.140625" style="5" customWidth="1"/>
    <col min="2" max="2" width="16.140625" style="5" customWidth="1"/>
    <col min="3" max="14" width="6.5703125" style="5" bestFit="1" customWidth="1"/>
    <col min="15" max="17" width="7.7109375" style="5" customWidth="1"/>
    <col min="18" max="18" width="9.28515625" style="5" customWidth="1"/>
    <col min="19" max="19" width="8.28515625" style="5" customWidth="1"/>
    <col min="20" max="16384" width="11.42578125" style="5"/>
  </cols>
  <sheetData>
    <row r="2" spans="2:19" x14ac:dyDescent="0.2">
      <c r="B2" s="321"/>
      <c r="C2" s="321"/>
      <c r="D2" s="321"/>
      <c r="E2" s="321"/>
      <c r="F2" s="321"/>
      <c r="G2" s="321"/>
      <c r="H2" s="248"/>
      <c r="I2" s="120"/>
      <c r="J2" s="120"/>
      <c r="K2" s="120"/>
      <c r="L2" s="120"/>
      <c r="M2" s="120"/>
      <c r="N2" s="120"/>
      <c r="O2" s="120"/>
      <c r="P2" s="120"/>
      <c r="Q2" s="120"/>
    </row>
    <row r="3" spans="2:19" x14ac:dyDescent="0.2">
      <c r="B3" s="321" t="s">
        <v>94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</row>
    <row r="4" spans="2:19" x14ac:dyDescent="0.2"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</row>
    <row r="5" spans="2:19" x14ac:dyDescent="0.2">
      <c r="B5" s="322" t="s">
        <v>159</v>
      </c>
      <c r="C5" s="323" t="s">
        <v>174</v>
      </c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 t="s">
        <v>102</v>
      </c>
      <c r="P5" s="323" t="s">
        <v>103</v>
      </c>
      <c r="Q5" s="323" t="s">
        <v>104</v>
      </c>
      <c r="R5" s="323" t="s">
        <v>268</v>
      </c>
      <c r="S5" s="323" t="s">
        <v>269</v>
      </c>
    </row>
    <row r="6" spans="2:19" ht="26.25" customHeight="1" x14ac:dyDescent="0.2">
      <c r="B6" s="322"/>
      <c r="C6" s="112">
        <v>1</v>
      </c>
      <c r="D6" s="112">
        <v>2</v>
      </c>
      <c r="E6" s="112">
        <v>3</v>
      </c>
      <c r="F6" s="112">
        <v>4</v>
      </c>
      <c r="G6" s="112">
        <v>5</v>
      </c>
      <c r="H6" s="112">
        <v>6</v>
      </c>
      <c r="I6" s="112">
        <v>7</v>
      </c>
      <c r="J6" s="112">
        <v>8</v>
      </c>
      <c r="K6" s="112">
        <v>9</v>
      </c>
      <c r="L6" s="112">
        <v>10</v>
      </c>
      <c r="M6" s="112">
        <v>11</v>
      </c>
      <c r="N6" s="112">
        <v>12</v>
      </c>
      <c r="O6" s="323"/>
      <c r="P6" s="323"/>
      <c r="Q6" s="323"/>
      <c r="R6" s="323"/>
      <c r="S6" s="323"/>
    </row>
    <row r="7" spans="2:19" x14ac:dyDescent="0.2">
      <c r="B7" s="103" t="s">
        <v>106</v>
      </c>
      <c r="C7" s="102">
        <f>+C9/C8</f>
        <v>333.33333333333331</v>
      </c>
      <c r="D7" s="102">
        <f t="shared" ref="D7:Q7" si="0">+D9/D8</f>
        <v>400</v>
      </c>
      <c r="E7" s="102">
        <f t="shared" si="0"/>
        <v>433.33333333333331</v>
      </c>
      <c r="F7" s="102">
        <f t="shared" si="0"/>
        <v>446.66666666666669</v>
      </c>
      <c r="G7" s="102">
        <f t="shared" si="0"/>
        <v>446.66666666666669</v>
      </c>
      <c r="H7" s="102">
        <f t="shared" si="0"/>
        <v>446.66666666666669</v>
      </c>
      <c r="I7" s="102">
        <f t="shared" si="0"/>
        <v>446.66666666666669</v>
      </c>
      <c r="J7" s="102">
        <f t="shared" si="0"/>
        <v>446.66666666666669</v>
      </c>
      <c r="K7" s="102">
        <f t="shared" si="0"/>
        <v>446.66666666666669</v>
      </c>
      <c r="L7" s="102">
        <f t="shared" si="0"/>
        <v>446.66666666666669</v>
      </c>
      <c r="M7" s="102">
        <f t="shared" si="0"/>
        <v>446.66666666666669</v>
      </c>
      <c r="N7" s="102">
        <f t="shared" si="0"/>
        <v>446.66666666666669</v>
      </c>
      <c r="O7" s="102">
        <f t="shared" si="0"/>
        <v>5186.666666666667</v>
      </c>
      <c r="P7" s="102">
        <f t="shared" si="0"/>
        <v>5186.666666666667</v>
      </c>
      <c r="Q7" s="102">
        <f t="shared" si="0"/>
        <v>5186.666666666667</v>
      </c>
      <c r="R7" s="102">
        <f t="shared" ref="R7:S7" si="1">+R9/R8</f>
        <v>5186.666666666667</v>
      </c>
      <c r="S7" s="102">
        <f t="shared" si="1"/>
        <v>5186.666666666667</v>
      </c>
    </row>
    <row r="8" spans="2:19" x14ac:dyDescent="0.2">
      <c r="B8" s="2" t="s">
        <v>7</v>
      </c>
      <c r="C8" s="12">
        <f>+Resumen!$H$6</f>
        <v>15</v>
      </c>
      <c r="D8" s="12">
        <f>+Resumen!$H$6</f>
        <v>15</v>
      </c>
      <c r="E8" s="12">
        <f>+Resumen!$H$6</f>
        <v>15</v>
      </c>
      <c r="F8" s="12">
        <f>+Resumen!$H$6</f>
        <v>15</v>
      </c>
      <c r="G8" s="12">
        <f>+Resumen!$H$6</f>
        <v>15</v>
      </c>
      <c r="H8" s="12">
        <f>+Resumen!$H$6</f>
        <v>15</v>
      </c>
      <c r="I8" s="12">
        <f>+Resumen!$H$6</f>
        <v>15</v>
      </c>
      <c r="J8" s="12">
        <f>+Resumen!$H$6</f>
        <v>15</v>
      </c>
      <c r="K8" s="12">
        <f>+Resumen!$H$6</f>
        <v>15</v>
      </c>
      <c r="L8" s="12">
        <f>+Resumen!$H$6</f>
        <v>15</v>
      </c>
      <c r="M8" s="12">
        <f>+Resumen!$H$6</f>
        <v>15</v>
      </c>
      <c r="N8" s="12">
        <f>+Resumen!$H$6</f>
        <v>15</v>
      </c>
      <c r="O8" s="12">
        <f>+Resumen!$H$6</f>
        <v>15</v>
      </c>
      <c r="P8" s="12">
        <f>+Resumen!$H$6</f>
        <v>15</v>
      </c>
      <c r="Q8" s="12">
        <f>+Resumen!$H$6</f>
        <v>15</v>
      </c>
      <c r="R8" s="12">
        <f>+Resumen!$H$6</f>
        <v>15</v>
      </c>
      <c r="S8" s="12">
        <f>+Resumen!$H$6</f>
        <v>15</v>
      </c>
    </row>
    <row r="9" spans="2:19" x14ac:dyDescent="0.2">
      <c r="B9" s="266" t="s">
        <v>214</v>
      </c>
      <c r="C9" s="266">
        <v>5000</v>
      </c>
      <c r="D9" s="266">
        <v>6000</v>
      </c>
      <c r="E9" s="266">
        <v>6500</v>
      </c>
      <c r="F9" s="266">
        <v>6700</v>
      </c>
      <c r="G9" s="266">
        <v>6700</v>
      </c>
      <c r="H9" s="266">
        <v>6700</v>
      </c>
      <c r="I9" s="266">
        <v>6700</v>
      </c>
      <c r="J9" s="266">
        <v>6700</v>
      </c>
      <c r="K9" s="266">
        <v>6700</v>
      </c>
      <c r="L9" s="266">
        <v>6700</v>
      </c>
      <c r="M9" s="266">
        <v>6700</v>
      </c>
      <c r="N9" s="266">
        <v>6700</v>
      </c>
      <c r="O9" s="266">
        <f>SUM(C9:N9)</f>
        <v>77800</v>
      </c>
      <c r="P9" s="266">
        <f>+$O$9</f>
        <v>77800</v>
      </c>
      <c r="Q9" s="266">
        <f>+$O$9</f>
        <v>77800</v>
      </c>
      <c r="R9" s="266">
        <f>+$O$9</f>
        <v>77800</v>
      </c>
      <c r="S9" s="266">
        <f>+$O$9</f>
        <v>77800</v>
      </c>
    </row>
    <row r="10" spans="2:19" x14ac:dyDescent="0.2">
      <c r="B10" s="267" t="s">
        <v>213</v>
      </c>
      <c r="C10" s="268">
        <f>C9*1.18</f>
        <v>5900</v>
      </c>
      <c r="D10" s="268">
        <f t="shared" ref="D10:E10" si="2">D9*1.18</f>
        <v>7080</v>
      </c>
      <c r="E10" s="268">
        <f t="shared" si="2"/>
        <v>7670</v>
      </c>
      <c r="F10" s="268">
        <f t="shared" ref="F10" si="3">F9*1.18</f>
        <v>7906</v>
      </c>
      <c r="G10" s="268">
        <f t="shared" ref="G10" si="4">G9*1.18</f>
        <v>7906</v>
      </c>
      <c r="H10" s="268">
        <f t="shared" ref="H10" si="5">H9*1.18</f>
        <v>7906</v>
      </c>
      <c r="I10" s="268">
        <f t="shared" ref="I10" si="6">I9*1.18</f>
        <v>7906</v>
      </c>
      <c r="J10" s="268">
        <f t="shared" ref="J10" si="7">J9*1.18</f>
        <v>7906</v>
      </c>
      <c r="K10" s="268">
        <f t="shared" ref="K10" si="8">K9*1.18</f>
        <v>7906</v>
      </c>
      <c r="L10" s="268">
        <f t="shared" ref="L10" si="9">L9*1.18</f>
        <v>7906</v>
      </c>
      <c r="M10" s="268">
        <f t="shared" ref="M10" si="10">M9*1.18</f>
        <v>7906</v>
      </c>
      <c r="N10" s="268">
        <f t="shared" ref="N10" si="11">N9*1.18</f>
        <v>7906</v>
      </c>
      <c r="O10" s="266">
        <f>SUM(C10:N10)</f>
        <v>91804</v>
      </c>
      <c r="P10" s="266">
        <f>O10</f>
        <v>91804</v>
      </c>
      <c r="Q10" s="266">
        <f>P10</f>
        <v>91804</v>
      </c>
      <c r="R10" s="266">
        <f>Q10</f>
        <v>91804</v>
      </c>
      <c r="S10" s="266">
        <f>R10</f>
        <v>91804</v>
      </c>
    </row>
    <row r="11" spans="2:19" x14ac:dyDescent="0.2">
      <c r="C11" s="14"/>
      <c r="D11" s="13"/>
      <c r="E11" s="13"/>
      <c r="F11" s="13"/>
      <c r="G11" s="13"/>
      <c r="P11" s="14"/>
    </row>
    <row r="12" spans="2:19" x14ac:dyDescent="0.2">
      <c r="B12" s="5">
        <f>8000*12</f>
        <v>96000</v>
      </c>
    </row>
    <row r="13" spans="2:19" x14ac:dyDescent="0.2">
      <c r="N13" s="249"/>
    </row>
    <row r="15" spans="2:19" x14ac:dyDescent="0.2">
      <c r="C15" s="249"/>
    </row>
  </sheetData>
  <mergeCells count="9">
    <mergeCell ref="B2:G2"/>
    <mergeCell ref="B5:B6"/>
    <mergeCell ref="P5:P6"/>
    <mergeCell ref="R5:R6"/>
    <mergeCell ref="S5:S6"/>
    <mergeCell ref="Q5:Q6"/>
    <mergeCell ref="C5:N5"/>
    <mergeCell ref="O5:O6"/>
    <mergeCell ref="B3:Q3"/>
  </mergeCells>
  <phoneticPr fontId="0" type="noConversion"/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9"/>
  <sheetViews>
    <sheetView topLeftCell="A4" workbookViewId="0">
      <selection activeCell="C14" sqref="C14"/>
    </sheetView>
  </sheetViews>
  <sheetFormatPr baseColWidth="10" defaultColWidth="11.42578125" defaultRowHeight="12.75" x14ac:dyDescent="0.2"/>
  <cols>
    <col min="1" max="1" width="4.28515625" style="5" customWidth="1"/>
    <col min="2" max="2" width="34.42578125" style="5" customWidth="1"/>
    <col min="3" max="3" width="12" style="5" customWidth="1"/>
    <col min="4" max="4" width="9.85546875" style="5" customWidth="1"/>
    <col min="5" max="5" width="9.28515625" style="5" customWidth="1"/>
    <col min="6" max="16384" width="11.42578125" style="5"/>
  </cols>
  <sheetData>
    <row r="2" spans="2:5" x14ac:dyDescent="0.2">
      <c r="B2" s="328"/>
      <c r="C2" s="328"/>
      <c r="D2" s="86"/>
    </row>
    <row r="3" spans="2:5" x14ac:dyDescent="0.2">
      <c r="B3" s="329" t="s">
        <v>167</v>
      </c>
      <c r="C3" s="329"/>
      <c r="D3" s="68"/>
    </row>
    <row r="4" spans="2:5" ht="13.5" thickBot="1" x14ac:dyDescent="0.25"/>
    <row r="5" spans="2:5" ht="13.5" customHeight="1" x14ac:dyDescent="0.2">
      <c r="B5" s="326" t="s">
        <v>11</v>
      </c>
      <c r="C5" s="330" t="s">
        <v>166</v>
      </c>
      <c r="D5" s="332" t="s">
        <v>264</v>
      </c>
      <c r="E5" s="324" t="s">
        <v>265</v>
      </c>
    </row>
    <row r="6" spans="2:5" ht="13.5" thickBot="1" x14ac:dyDescent="0.25">
      <c r="B6" s="327"/>
      <c r="C6" s="331"/>
      <c r="D6" s="333"/>
      <c r="E6" s="325"/>
    </row>
    <row r="7" spans="2:5" x14ac:dyDescent="0.2">
      <c r="B7" s="290" t="s">
        <v>12</v>
      </c>
      <c r="C7" s="291"/>
      <c r="D7" s="291"/>
      <c r="E7" s="291"/>
    </row>
    <row r="8" spans="2:5" x14ac:dyDescent="0.2">
      <c r="B8" s="69" t="s">
        <v>13</v>
      </c>
      <c r="C8" s="106">
        <f>SUM(C9:C13)</f>
        <v>15000</v>
      </c>
      <c r="D8" s="2"/>
      <c r="E8" s="2"/>
    </row>
    <row r="9" spans="2:5" x14ac:dyDescent="0.2">
      <c r="B9" s="127" t="s">
        <v>72</v>
      </c>
      <c r="C9" s="91"/>
      <c r="D9" s="2"/>
      <c r="E9" s="2"/>
    </row>
    <row r="10" spans="2:5" x14ac:dyDescent="0.2">
      <c r="B10" s="63" t="s">
        <v>73</v>
      </c>
      <c r="C10" s="92"/>
      <c r="D10" s="2"/>
      <c r="E10" s="2"/>
    </row>
    <row r="11" spans="2:5" x14ac:dyDescent="0.2">
      <c r="B11" s="7" t="s">
        <v>44</v>
      </c>
      <c r="C11" s="105">
        <v>15000</v>
      </c>
      <c r="D11" s="59">
        <f>5000</f>
        <v>5000</v>
      </c>
      <c r="E11" s="59">
        <f>C11-D11</f>
        <v>10000</v>
      </c>
    </row>
    <row r="12" spans="2:5" x14ac:dyDescent="0.2">
      <c r="B12" s="7" t="s">
        <v>74</v>
      </c>
      <c r="C12" s="105"/>
      <c r="D12" s="2"/>
      <c r="E12" s="2"/>
    </row>
    <row r="13" spans="2:5" x14ac:dyDescent="0.2">
      <c r="B13" s="93" t="s">
        <v>75</v>
      </c>
      <c r="C13" s="105"/>
      <c r="D13" s="2"/>
      <c r="E13" s="2"/>
    </row>
    <row r="14" spans="2:5" x14ac:dyDescent="0.2">
      <c r="B14" s="69" t="s">
        <v>66</v>
      </c>
      <c r="C14" s="106">
        <f>SUM(C15:C20)</f>
        <v>1000</v>
      </c>
      <c r="D14" s="2"/>
      <c r="E14" s="2"/>
    </row>
    <row r="15" spans="2:5" x14ac:dyDescent="0.2">
      <c r="B15" s="7" t="s">
        <v>76</v>
      </c>
      <c r="C15" s="105">
        <v>1000</v>
      </c>
      <c r="D15" s="59">
        <f>C15</f>
        <v>1000</v>
      </c>
      <c r="E15" s="59"/>
    </row>
    <row r="16" spans="2:5" x14ac:dyDescent="0.2">
      <c r="B16" s="7" t="s">
        <v>77</v>
      </c>
      <c r="C16" s="105"/>
      <c r="D16" s="2"/>
      <c r="E16" s="2"/>
    </row>
    <row r="17" spans="2:7" x14ac:dyDescent="0.2">
      <c r="B17" s="7" t="s">
        <v>78</v>
      </c>
      <c r="C17" s="105"/>
      <c r="D17" s="2"/>
      <c r="E17" s="2"/>
    </row>
    <row r="18" spans="2:7" x14ac:dyDescent="0.2">
      <c r="B18" s="7" t="s">
        <v>79</v>
      </c>
      <c r="C18" s="105"/>
      <c r="D18" s="2"/>
      <c r="E18" s="2"/>
    </row>
    <row r="19" spans="2:7" x14ac:dyDescent="0.2">
      <c r="B19" s="63" t="s">
        <v>71</v>
      </c>
      <c r="C19" s="105"/>
      <c r="D19" s="2"/>
      <c r="E19" s="2"/>
    </row>
    <row r="20" spans="2:7" ht="12" customHeight="1" x14ac:dyDescent="0.2">
      <c r="B20" s="93" t="s">
        <v>14</v>
      </c>
      <c r="C20" s="105"/>
      <c r="D20" s="2"/>
      <c r="E20" s="2"/>
    </row>
    <row r="21" spans="2:7" x14ac:dyDescent="0.2">
      <c r="B21" s="94" t="s">
        <v>15</v>
      </c>
      <c r="C21" s="106">
        <f>SUM(C8,C14)</f>
        <v>16000</v>
      </c>
      <c r="D21" s="2"/>
      <c r="E21" s="2"/>
    </row>
    <row r="22" spans="2:7" x14ac:dyDescent="0.2">
      <c r="B22" s="69" t="s">
        <v>234</v>
      </c>
      <c r="C22" s="59"/>
      <c r="D22" s="2"/>
      <c r="E22" s="2"/>
    </row>
    <row r="23" spans="2:7" x14ac:dyDescent="0.2">
      <c r="B23" s="277" t="s">
        <v>233</v>
      </c>
      <c r="C23" s="87">
        <f>Capital_Trabajo!Q12</f>
        <v>5397.666666666667</v>
      </c>
      <c r="D23" s="59">
        <f>C23</f>
        <v>5397.666666666667</v>
      </c>
      <c r="E23" s="2"/>
    </row>
    <row r="24" spans="2:7" ht="13.5" thickBot="1" x14ac:dyDescent="0.25">
      <c r="B24" s="95" t="s">
        <v>111</v>
      </c>
      <c r="C24" s="107">
        <f>C23</f>
        <v>5397.666666666667</v>
      </c>
      <c r="D24" s="292"/>
      <c r="E24" s="292"/>
    </row>
    <row r="25" spans="2:7" ht="13.5" thickBot="1" x14ac:dyDescent="0.25">
      <c r="B25" s="293" t="s">
        <v>67</v>
      </c>
      <c r="C25" s="294">
        <f>+C21+C24</f>
        <v>21397.666666666668</v>
      </c>
      <c r="D25" s="294">
        <f>SUM(D8:D24)</f>
        <v>11397.666666666668</v>
      </c>
      <c r="E25" s="295">
        <f>SUM(E8:E24)</f>
        <v>10000</v>
      </c>
    </row>
    <row r="26" spans="2:7" ht="13.5" customHeight="1" x14ac:dyDescent="0.2">
      <c r="B26" s="104" t="s">
        <v>291</v>
      </c>
      <c r="C26" s="51"/>
      <c r="D26" s="49"/>
    </row>
    <row r="29" spans="2:7" x14ac:dyDescent="0.2">
      <c r="G29" s="5" t="s">
        <v>101</v>
      </c>
    </row>
  </sheetData>
  <mergeCells count="6">
    <mergeCell ref="E5:E6"/>
    <mergeCell ref="B5:B6"/>
    <mergeCell ref="B2:C2"/>
    <mergeCell ref="B3:C3"/>
    <mergeCell ref="C5:C6"/>
    <mergeCell ref="D5:D6"/>
  </mergeCells>
  <phoneticPr fontId="0" type="noConversion"/>
  <printOptions horizontalCentered="1"/>
  <pageMargins left="0.75" right="0.75" top="0.44" bottom="1" header="0.46" footer="0"/>
  <pageSetup paperSize="9" orientation="portrait" horizontalDpi="4294967295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J15"/>
  <sheetViews>
    <sheetView topLeftCell="B1" workbookViewId="0">
      <selection activeCell="G19" sqref="G19"/>
    </sheetView>
  </sheetViews>
  <sheetFormatPr baseColWidth="10" defaultColWidth="11.42578125" defaultRowHeight="12.75" x14ac:dyDescent="0.2"/>
  <cols>
    <col min="1" max="1" width="9.5703125" style="5" customWidth="1"/>
    <col min="2" max="2" width="14.5703125" style="5" customWidth="1"/>
    <col min="3" max="3" width="33.140625" style="5" customWidth="1"/>
    <col min="4" max="4" width="11.85546875" style="5" customWidth="1"/>
    <col min="5" max="5" width="10.7109375" style="5" customWidth="1"/>
    <col min="6" max="6" width="11" style="5" customWidth="1"/>
    <col min="7" max="8" width="10.140625" style="5" customWidth="1"/>
    <col min="9" max="9" width="11.85546875" style="5" customWidth="1"/>
    <col min="10" max="10" width="10.28515625" style="5" customWidth="1"/>
    <col min="11" max="16384" width="11.42578125" style="5"/>
  </cols>
  <sheetData>
    <row r="2" spans="3:10" ht="15" x14ac:dyDescent="0.25">
      <c r="C2" s="334"/>
      <c r="D2" s="334"/>
      <c r="E2" s="334"/>
      <c r="F2" s="334"/>
      <c r="G2" s="334"/>
      <c r="H2" s="334"/>
      <c r="I2" s="334"/>
      <c r="J2" s="334"/>
    </row>
    <row r="3" spans="3:10" x14ac:dyDescent="0.2">
      <c r="C3" s="328" t="s">
        <v>286</v>
      </c>
      <c r="D3" s="328"/>
      <c r="E3" s="328"/>
      <c r="F3" s="328"/>
      <c r="G3" s="328"/>
      <c r="H3" s="328"/>
      <c r="I3" s="328"/>
      <c r="J3" s="328"/>
    </row>
    <row r="5" spans="3:10" ht="4.5" customHeight="1" thickBot="1" x14ac:dyDescent="0.25">
      <c r="C5" s="335"/>
      <c r="D5" s="335"/>
      <c r="E5" s="335"/>
      <c r="F5" s="335"/>
      <c r="G5" s="335"/>
      <c r="H5" s="335"/>
      <c r="I5" s="335"/>
      <c r="J5" s="335"/>
    </row>
    <row r="6" spans="3:10" ht="14.25" customHeight="1" x14ac:dyDescent="0.2">
      <c r="C6" s="340" t="s">
        <v>2</v>
      </c>
      <c r="D6" s="336" t="s">
        <v>68</v>
      </c>
      <c r="E6" s="336" t="s">
        <v>82</v>
      </c>
      <c r="F6" s="336" t="s">
        <v>70</v>
      </c>
      <c r="G6" s="336" t="s">
        <v>69</v>
      </c>
      <c r="H6" s="336" t="s">
        <v>112</v>
      </c>
      <c r="I6" s="336" t="s">
        <v>81</v>
      </c>
      <c r="J6" s="338" t="s">
        <v>270</v>
      </c>
    </row>
    <row r="7" spans="3:10" x14ac:dyDescent="0.2">
      <c r="C7" s="341"/>
      <c r="D7" s="337"/>
      <c r="E7" s="337"/>
      <c r="F7" s="337"/>
      <c r="G7" s="337"/>
      <c r="H7" s="337"/>
      <c r="I7" s="337"/>
      <c r="J7" s="339"/>
    </row>
    <row r="8" spans="3:10" x14ac:dyDescent="0.2">
      <c r="C8" s="131" t="s">
        <v>175</v>
      </c>
      <c r="D8" s="59">
        <f>Inversion!C11</f>
        <v>15000</v>
      </c>
      <c r="E8" s="2">
        <v>10</v>
      </c>
      <c r="F8" s="103">
        <f>1/E8</f>
        <v>0.1</v>
      </c>
      <c r="G8" s="1">
        <f>+D8*F8</f>
        <v>1500</v>
      </c>
      <c r="H8" s="1">
        <f>+G8/12</f>
        <v>125</v>
      </c>
      <c r="I8" s="1">
        <f>+G8*Resumen!H8</f>
        <v>7500</v>
      </c>
      <c r="J8" s="301">
        <f>+D8-I8</f>
        <v>7500</v>
      </c>
    </row>
    <row r="9" spans="3:10" ht="13.5" thickBot="1" x14ac:dyDescent="0.25">
      <c r="C9" s="109" t="s">
        <v>0</v>
      </c>
      <c r="D9" s="110"/>
      <c r="E9" s="111"/>
      <c r="F9" s="111"/>
      <c r="G9" s="111">
        <f>SUM(G8:G8)</f>
        <v>1500</v>
      </c>
      <c r="H9" s="111">
        <f t="shared" ref="H9:I9" si="0">SUM(H8:H8)</f>
        <v>125</v>
      </c>
      <c r="I9" s="111">
        <f t="shared" si="0"/>
        <v>7500</v>
      </c>
      <c r="J9" s="302">
        <f>SUM(J8:J8)</f>
        <v>7500</v>
      </c>
    </row>
    <row r="10" spans="3:10" ht="12" customHeight="1" x14ac:dyDescent="0.2">
      <c r="C10" s="70"/>
    </row>
    <row r="11" spans="3:10" x14ac:dyDescent="0.2">
      <c r="C11" s="328" t="s">
        <v>287</v>
      </c>
      <c r="D11" s="328"/>
      <c r="E11" s="328"/>
      <c r="F11" s="328"/>
      <c r="G11" s="328"/>
      <c r="H11" s="328"/>
    </row>
    <row r="12" spans="3:10" ht="13.5" thickBot="1" x14ac:dyDescent="0.25">
      <c r="C12" s="17"/>
      <c r="J12" s="8"/>
    </row>
    <row r="13" spans="3:10" x14ac:dyDescent="0.2">
      <c r="C13" s="129" t="s">
        <v>176</v>
      </c>
      <c r="D13" s="132" t="s">
        <v>102</v>
      </c>
      <c r="E13" s="132" t="s">
        <v>103</v>
      </c>
      <c r="F13" s="133" t="s">
        <v>104</v>
      </c>
      <c r="G13" s="251" t="s">
        <v>268</v>
      </c>
      <c r="H13" s="251" t="s">
        <v>269</v>
      </c>
    </row>
    <row r="14" spans="3:10" x14ac:dyDescent="0.2">
      <c r="C14" s="134" t="s">
        <v>160</v>
      </c>
      <c r="D14" s="12">
        <f>$G$9</f>
        <v>1500</v>
      </c>
      <c r="E14" s="12">
        <f t="shared" ref="E14:H14" si="1">$G$9</f>
        <v>1500</v>
      </c>
      <c r="F14" s="135">
        <f t="shared" si="1"/>
        <v>1500</v>
      </c>
      <c r="G14" s="135">
        <f t="shared" si="1"/>
        <v>1500</v>
      </c>
      <c r="H14" s="135">
        <f t="shared" si="1"/>
        <v>1500</v>
      </c>
    </row>
    <row r="15" spans="3:10" ht="13.5" thickBot="1" x14ac:dyDescent="0.25">
      <c r="C15" s="168" t="s">
        <v>129</v>
      </c>
      <c r="D15" s="136">
        <f>Inversion!$C$14/Resumen!$H$8</f>
        <v>200</v>
      </c>
      <c r="E15" s="136">
        <f>Inversion!$C$14/Resumen!$H$8</f>
        <v>200</v>
      </c>
      <c r="F15" s="136">
        <f>Inversion!$C$14/Resumen!$H$8</f>
        <v>200</v>
      </c>
      <c r="G15" s="136">
        <f>Inversion!$C$14/Resumen!$H$8</f>
        <v>200</v>
      </c>
      <c r="H15" s="136">
        <f>Inversion!$C$14/Resumen!$H$8</f>
        <v>200</v>
      </c>
    </row>
  </sheetData>
  <mergeCells count="12">
    <mergeCell ref="C11:H11"/>
    <mergeCell ref="C2:J2"/>
    <mergeCell ref="C5:J5"/>
    <mergeCell ref="G6:G7"/>
    <mergeCell ref="I6:I7"/>
    <mergeCell ref="J6:J7"/>
    <mergeCell ref="C3:J3"/>
    <mergeCell ref="H6:H7"/>
    <mergeCell ref="C6:C7"/>
    <mergeCell ref="F6:F7"/>
    <mergeCell ref="D6:D7"/>
    <mergeCell ref="E6:E7"/>
  </mergeCells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D1CB-F809-4934-9D39-AA86D9977C02}">
  <dimension ref="B2:L12"/>
  <sheetViews>
    <sheetView workbookViewId="0">
      <selection activeCell="G11" sqref="G11"/>
    </sheetView>
  </sheetViews>
  <sheetFormatPr baseColWidth="10" defaultRowHeight="12.75" x14ac:dyDescent="0.2"/>
  <cols>
    <col min="2" max="2" width="18.7109375" customWidth="1"/>
    <col min="4" max="4" width="7.85546875" customWidth="1"/>
    <col min="5" max="5" width="13.85546875" customWidth="1"/>
    <col min="6" max="6" width="8.42578125" customWidth="1"/>
    <col min="8" max="8" width="11.5703125" customWidth="1"/>
    <col min="258" max="258" width="13" customWidth="1"/>
    <col min="260" max="260" width="7.85546875" customWidth="1"/>
    <col min="261" max="261" width="13.85546875" customWidth="1"/>
    <col min="262" max="262" width="8.42578125" customWidth="1"/>
    <col min="264" max="264" width="11.5703125" customWidth="1"/>
    <col min="514" max="514" width="13" customWidth="1"/>
    <col min="516" max="516" width="7.85546875" customWidth="1"/>
    <col min="517" max="517" width="13.85546875" customWidth="1"/>
    <col min="518" max="518" width="8.42578125" customWidth="1"/>
    <col min="520" max="520" width="11.5703125" customWidth="1"/>
    <col min="770" max="770" width="13" customWidth="1"/>
    <col min="772" max="772" width="7.85546875" customWidth="1"/>
    <col min="773" max="773" width="13.85546875" customWidth="1"/>
    <col min="774" max="774" width="8.42578125" customWidth="1"/>
    <col min="776" max="776" width="11.5703125" customWidth="1"/>
    <col min="1026" max="1026" width="13" customWidth="1"/>
    <col min="1028" max="1028" width="7.85546875" customWidth="1"/>
    <col min="1029" max="1029" width="13.85546875" customWidth="1"/>
    <col min="1030" max="1030" width="8.42578125" customWidth="1"/>
    <col min="1032" max="1032" width="11.5703125" customWidth="1"/>
    <col min="1282" max="1282" width="13" customWidth="1"/>
    <col min="1284" max="1284" width="7.85546875" customWidth="1"/>
    <col min="1285" max="1285" width="13.85546875" customWidth="1"/>
    <col min="1286" max="1286" width="8.42578125" customWidth="1"/>
    <col min="1288" max="1288" width="11.5703125" customWidth="1"/>
    <col min="1538" max="1538" width="13" customWidth="1"/>
    <col min="1540" max="1540" width="7.85546875" customWidth="1"/>
    <col min="1541" max="1541" width="13.85546875" customWidth="1"/>
    <col min="1542" max="1542" width="8.42578125" customWidth="1"/>
    <col min="1544" max="1544" width="11.5703125" customWidth="1"/>
    <col min="1794" max="1794" width="13" customWidth="1"/>
    <col min="1796" max="1796" width="7.85546875" customWidth="1"/>
    <col min="1797" max="1797" width="13.85546875" customWidth="1"/>
    <col min="1798" max="1798" width="8.42578125" customWidth="1"/>
    <col min="1800" max="1800" width="11.5703125" customWidth="1"/>
    <col min="2050" max="2050" width="13" customWidth="1"/>
    <col min="2052" max="2052" width="7.85546875" customWidth="1"/>
    <col min="2053" max="2053" width="13.85546875" customWidth="1"/>
    <col min="2054" max="2054" width="8.42578125" customWidth="1"/>
    <col min="2056" max="2056" width="11.5703125" customWidth="1"/>
    <col min="2306" max="2306" width="13" customWidth="1"/>
    <col min="2308" max="2308" width="7.85546875" customWidth="1"/>
    <col min="2309" max="2309" width="13.85546875" customWidth="1"/>
    <col min="2310" max="2310" width="8.42578125" customWidth="1"/>
    <col min="2312" max="2312" width="11.5703125" customWidth="1"/>
    <col min="2562" max="2562" width="13" customWidth="1"/>
    <col min="2564" max="2564" width="7.85546875" customWidth="1"/>
    <col min="2565" max="2565" width="13.85546875" customWidth="1"/>
    <col min="2566" max="2566" width="8.42578125" customWidth="1"/>
    <col min="2568" max="2568" width="11.5703125" customWidth="1"/>
    <col min="2818" max="2818" width="13" customWidth="1"/>
    <col min="2820" max="2820" width="7.85546875" customWidth="1"/>
    <col min="2821" max="2821" width="13.85546875" customWidth="1"/>
    <col min="2822" max="2822" width="8.42578125" customWidth="1"/>
    <col min="2824" max="2824" width="11.5703125" customWidth="1"/>
    <col min="3074" max="3074" width="13" customWidth="1"/>
    <col min="3076" max="3076" width="7.85546875" customWidth="1"/>
    <col min="3077" max="3077" width="13.85546875" customWidth="1"/>
    <col min="3078" max="3078" width="8.42578125" customWidth="1"/>
    <col min="3080" max="3080" width="11.5703125" customWidth="1"/>
    <col min="3330" max="3330" width="13" customWidth="1"/>
    <col min="3332" max="3332" width="7.85546875" customWidth="1"/>
    <col min="3333" max="3333" width="13.85546875" customWidth="1"/>
    <col min="3334" max="3334" width="8.42578125" customWidth="1"/>
    <col min="3336" max="3336" width="11.5703125" customWidth="1"/>
    <col min="3586" max="3586" width="13" customWidth="1"/>
    <col min="3588" max="3588" width="7.85546875" customWidth="1"/>
    <col min="3589" max="3589" width="13.85546875" customWidth="1"/>
    <col min="3590" max="3590" width="8.42578125" customWidth="1"/>
    <col min="3592" max="3592" width="11.5703125" customWidth="1"/>
    <col min="3842" max="3842" width="13" customWidth="1"/>
    <col min="3844" max="3844" width="7.85546875" customWidth="1"/>
    <col min="3845" max="3845" width="13.85546875" customWidth="1"/>
    <col min="3846" max="3846" width="8.42578125" customWidth="1"/>
    <col min="3848" max="3848" width="11.5703125" customWidth="1"/>
    <col min="4098" max="4098" width="13" customWidth="1"/>
    <col min="4100" max="4100" width="7.85546875" customWidth="1"/>
    <col min="4101" max="4101" width="13.85546875" customWidth="1"/>
    <col min="4102" max="4102" width="8.42578125" customWidth="1"/>
    <col min="4104" max="4104" width="11.5703125" customWidth="1"/>
    <col min="4354" max="4354" width="13" customWidth="1"/>
    <col min="4356" max="4356" width="7.85546875" customWidth="1"/>
    <col min="4357" max="4357" width="13.85546875" customWidth="1"/>
    <col min="4358" max="4358" width="8.42578125" customWidth="1"/>
    <col min="4360" max="4360" width="11.5703125" customWidth="1"/>
    <col min="4610" max="4610" width="13" customWidth="1"/>
    <col min="4612" max="4612" width="7.85546875" customWidth="1"/>
    <col min="4613" max="4613" width="13.85546875" customWidth="1"/>
    <col min="4614" max="4614" width="8.42578125" customWidth="1"/>
    <col min="4616" max="4616" width="11.5703125" customWidth="1"/>
    <col min="4866" max="4866" width="13" customWidth="1"/>
    <col min="4868" max="4868" width="7.85546875" customWidth="1"/>
    <col min="4869" max="4869" width="13.85546875" customWidth="1"/>
    <col min="4870" max="4870" width="8.42578125" customWidth="1"/>
    <col min="4872" max="4872" width="11.5703125" customWidth="1"/>
    <col min="5122" max="5122" width="13" customWidth="1"/>
    <col min="5124" max="5124" width="7.85546875" customWidth="1"/>
    <col min="5125" max="5125" width="13.85546875" customWidth="1"/>
    <col min="5126" max="5126" width="8.42578125" customWidth="1"/>
    <col min="5128" max="5128" width="11.5703125" customWidth="1"/>
    <col min="5378" max="5378" width="13" customWidth="1"/>
    <col min="5380" max="5380" width="7.85546875" customWidth="1"/>
    <col min="5381" max="5381" width="13.85546875" customWidth="1"/>
    <col min="5382" max="5382" width="8.42578125" customWidth="1"/>
    <col min="5384" max="5384" width="11.5703125" customWidth="1"/>
    <col min="5634" max="5634" width="13" customWidth="1"/>
    <col min="5636" max="5636" width="7.85546875" customWidth="1"/>
    <col min="5637" max="5637" width="13.85546875" customWidth="1"/>
    <col min="5638" max="5638" width="8.42578125" customWidth="1"/>
    <col min="5640" max="5640" width="11.5703125" customWidth="1"/>
    <col min="5890" max="5890" width="13" customWidth="1"/>
    <col min="5892" max="5892" width="7.85546875" customWidth="1"/>
    <col min="5893" max="5893" width="13.85546875" customWidth="1"/>
    <col min="5894" max="5894" width="8.42578125" customWidth="1"/>
    <col min="5896" max="5896" width="11.5703125" customWidth="1"/>
    <col min="6146" max="6146" width="13" customWidth="1"/>
    <col min="6148" max="6148" width="7.85546875" customWidth="1"/>
    <col min="6149" max="6149" width="13.85546875" customWidth="1"/>
    <col min="6150" max="6150" width="8.42578125" customWidth="1"/>
    <col min="6152" max="6152" width="11.5703125" customWidth="1"/>
    <col min="6402" max="6402" width="13" customWidth="1"/>
    <col min="6404" max="6404" width="7.85546875" customWidth="1"/>
    <col min="6405" max="6405" width="13.85546875" customWidth="1"/>
    <col min="6406" max="6406" width="8.42578125" customWidth="1"/>
    <col min="6408" max="6408" width="11.5703125" customWidth="1"/>
    <col min="6658" max="6658" width="13" customWidth="1"/>
    <col min="6660" max="6660" width="7.85546875" customWidth="1"/>
    <col min="6661" max="6661" width="13.85546875" customWidth="1"/>
    <col min="6662" max="6662" width="8.42578125" customWidth="1"/>
    <col min="6664" max="6664" width="11.5703125" customWidth="1"/>
    <col min="6914" max="6914" width="13" customWidth="1"/>
    <col min="6916" max="6916" width="7.85546875" customWidth="1"/>
    <col min="6917" max="6917" width="13.85546875" customWidth="1"/>
    <col min="6918" max="6918" width="8.42578125" customWidth="1"/>
    <col min="6920" max="6920" width="11.5703125" customWidth="1"/>
    <col min="7170" max="7170" width="13" customWidth="1"/>
    <col min="7172" max="7172" width="7.85546875" customWidth="1"/>
    <col min="7173" max="7173" width="13.85546875" customWidth="1"/>
    <col min="7174" max="7174" width="8.42578125" customWidth="1"/>
    <col min="7176" max="7176" width="11.5703125" customWidth="1"/>
    <col min="7426" max="7426" width="13" customWidth="1"/>
    <col min="7428" max="7428" width="7.85546875" customWidth="1"/>
    <col min="7429" max="7429" width="13.85546875" customWidth="1"/>
    <col min="7430" max="7430" width="8.42578125" customWidth="1"/>
    <col min="7432" max="7432" width="11.5703125" customWidth="1"/>
    <col min="7682" max="7682" width="13" customWidth="1"/>
    <col min="7684" max="7684" width="7.85546875" customWidth="1"/>
    <col min="7685" max="7685" width="13.85546875" customWidth="1"/>
    <col min="7686" max="7686" width="8.42578125" customWidth="1"/>
    <col min="7688" max="7688" width="11.5703125" customWidth="1"/>
    <col min="7938" max="7938" width="13" customWidth="1"/>
    <col min="7940" max="7940" width="7.85546875" customWidth="1"/>
    <col min="7941" max="7941" width="13.85546875" customWidth="1"/>
    <col min="7942" max="7942" width="8.42578125" customWidth="1"/>
    <col min="7944" max="7944" width="11.5703125" customWidth="1"/>
    <col min="8194" max="8194" width="13" customWidth="1"/>
    <col min="8196" max="8196" width="7.85546875" customWidth="1"/>
    <col min="8197" max="8197" width="13.85546875" customWidth="1"/>
    <col min="8198" max="8198" width="8.42578125" customWidth="1"/>
    <col min="8200" max="8200" width="11.5703125" customWidth="1"/>
    <col min="8450" max="8450" width="13" customWidth="1"/>
    <col min="8452" max="8452" width="7.85546875" customWidth="1"/>
    <col min="8453" max="8453" width="13.85546875" customWidth="1"/>
    <col min="8454" max="8454" width="8.42578125" customWidth="1"/>
    <col min="8456" max="8456" width="11.5703125" customWidth="1"/>
    <col min="8706" max="8706" width="13" customWidth="1"/>
    <col min="8708" max="8708" width="7.85546875" customWidth="1"/>
    <col min="8709" max="8709" width="13.85546875" customWidth="1"/>
    <col min="8710" max="8710" width="8.42578125" customWidth="1"/>
    <col min="8712" max="8712" width="11.5703125" customWidth="1"/>
    <col min="8962" max="8962" width="13" customWidth="1"/>
    <col min="8964" max="8964" width="7.85546875" customWidth="1"/>
    <col min="8965" max="8965" width="13.85546875" customWidth="1"/>
    <col min="8966" max="8966" width="8.42578125" customWidth="1"/>
    <col min="8968" max="8968" width="11.5703125" customWidth="1"/>
    <col min="9218" max="9218" width="13" customWidth="1"/>
    <col min="9220" max="9220" width="7.85546875" customWidth="1"/>
    <col min="9221" max="9221" width="13.85546875" customWidth="1"/>
    <col min="9222" max="9222" width="8.42578125" customWidth="1"/>
    <col min="9224" max="9224" width="11.5703125" customWidth="1"/>
    <col min="9474" max="9474" width="13" customWidth="1"/>
    <col min="9476" max="9476" width="7.85546875" customWidth="1"/>
    <col min="9477" max="9477" width="13.85546875" customWidth="1"/>
    <col min="9478" max="9478" width="8.42578125" customWidth="1"/>
    <col min="9480" max="9480" width="11.5703125" customWidth="1"/>
    <col min="9730" max="9730" width="13" customWidth="1"/>
    <col min="9732" max="9732" width="7.85546875" customWidth="1"/>
    <col min="9733" max="9733" width="13.85546875" customWidth="1"/>
    <col min="9734" max="9734" width="8.42578125" customWidth="1"/>
    <col min="9736" max="9736" width="11.5703125" customWidth="1"/>
    <col min="9986" max="9986" width="13" customWidth="1"/>
    <col min="9988" max="9988" width="7.85546875" customWidth="1"/>
    <col min="9989" max="9989" width="13.85546875" customWidth="1"/>
    <col min="9990" max="9990" width="8.42578125" customWidth="1"/>
    <col min="9992" max="9992" width="11.5703125" customWidth="1"/>
    <col min="10242" max="10242" width="13" customWidth="1"/>
    <col min="10244" max="10244" width="7.85546875" customWidth="1"/>
    <col min="10245" max="10245" width="13.85546875" customWidth="1"/>
    <col min="10246" max="10246" width="8.42578125" customWidth="1"/>
    <col min="10248" max="10248" width="11.5703125" customWidth="1"/>
    <col min="10498" max="10498" width="13" customWidth="1"/>
    <col min="10500" max="10500" width="7.85546875" customWidth="1"/>
    <col min="10501" max="10501" width="13.85546875" customWidth="1"/>
    <col min="10502" max="10502" width="8.42578125" customWidth="1"/>
    <col min="10504" max="10504" width="11.5703125" customWidth="1"/>
    <col min="10754" max="10754" width="13" customWidth="1"/>
    <col min="10756" max="10756" width="7.85546875" customWidth="1"/>
    <col min="10757" max="10757" width="13.85546875" customWidth="1"/>
    <col min="10758" max="10758" width="8.42578125" customWidth="1"/>
    <col min="10760" max="10760" width="11.5703125" customWidth="1"/>
    <col min="11010" max="11010" width="13" customWidth="1"/>
    <col min="11012" max="11012" width="7.85546875" customWidth="1"/>
    <col min="11013" max="11013" width="13.85546875" customWidth="1"/>
    <col min="11014" max="11014" width="8.42578125" customWidth="1"/>
    <col min="11016" max="11016" width="11.5703125" customWidth="1"/>
    <col min="11266" max="11266" width="13" customWidth="1"/>
    <col min="11268" max="11268" width="7.85546875" customWidth="1"/>
    <col min="11269" max="11269" width="13.85546875" customWidth="1"/>
    <col min="11270" max="11270" width="8.42578125" customWidth="1"/>
    <col min="11272" max="11272" width="11.5703125" customWidth="1"/>
    <col min="11522" max="11522" width="13" customWidth="1"/>
    <col min="11524" max="11524" width="7.85546875" customWidth="1"/>
    <col min="11525" max="11525" width="13.85546875" customWidth="1"/>
    <col min="11526" max="11526" width="8.42578125" customWidth="1"/>
    <col min="11528" max="11528" width="11.5703125" customWidth="1"/>
    <col min="11778" max="11778" width="13" customWidth="1"/>
    <col min="11780" max="11780" width="7.85546875" customWidth="1"/>
    <col min="11781" max="11781" width="13.85546875" customWidth="1"/>
    <col min="11782" max="11782" width="8.42578125" customWidth="1"/>
    <col min="11784" max="11784" width="11.5703125" customWidth="1"/>
    <col min="12034" max="12034" width="13" customWidth="1"/>
    <col min="12036" max="12036" width="7.85546875" customWidth="1"/>
    <col min="12037" max="12037" width="13.85546875" customWidth="1"/>
    <col min="12038" max="12038" width="8.42578125" customWidth="1"/>
    <col min="12040" max="12040" width="11.5703125" customWidth="1"/>
    <col min="12290" max="12290" width="13" customWidth="1"/>
    <col min="12292" max="12292" width="7.85546875" customWidth="1"/>
    <col min="12293" max="12293" width="13.85546875" customWidth="1"/>
    <col min="12294" max="12294" width="8.42578125" customWidth="1"/>
    <col min="12296" max="12296" width="11.5703125" customWidth="1"/>
    <col min="12546" max="12546" width="13" customWidth="1"/>
    <col min="12548" max="12548" width="7.85546875" customWidth="1"/>
    <col min="12549" max="12549" width="13.85546875" customWidth="1"/>
    <col min="12550" max="12550" width="8.42578125" customWidth="1"/>
    <col min="12552" max="12552" width="11.5703125" customWidth="1"/>
    <col min="12802" max="12802" width="13" customWidth="1"/>
    <col min="12804" max="12804" width="7.85546875" customWidth="1"/>
    <col min="12805" max="12805" width="13.85546875" customWidth="1"/>
    <col min="12806" max="12806" width="8.42578125" customWidth="1"/>
    <col min="12808" max="12808" width="11.5703125" customWidth="1"/>
    <col min="13058" max="13058" width="13" customWidth="1"/>
    <col min="13060" max="13060" width="7.85546875" customWidth="1"/>
    <col min="13061" max="13061" width="13.85546875" customWidth="1"/>
    <col min="13062" max="13062" width="8.42578125" customWidth="1"/>
    <col min="13064" max="13064" width="11.5703125" customWidth="1"/>
    <col min="13314" max="13314" width="13" customWidth="1"/>
    <col min="13316" max="13316" width="7.85546875" customWidth="1"/>
    <col min="13317" max="13317" width="13.85546875" customWidth="1"/>
    <col min="13318" max="13318" width="8.42578125" customWidth="1"/>
    <col min="13320" max="13320" width="11.5703125" customWidth="1"/>
    <col min="13570" max="13570" width="13" customWidth="1"/>
    <col min="13572" max="13572" width="7.85546875" customWidth="1"/>
    <col min="13573" max="13573" width="13.85546875" customWidth="1"/>
    <col min="13574" max="13574" width="8.42578125" customWidth="1"/>
    <col min="13576" max="13576" width="11.5703125" customWidth="1"/>
    <col min="13826" max="13826" width="13" customWidth="1"/>
    <col min="13828" max="13828" width="7.85546875" customWidth="1"/>
    <col min="13829" max="13829" width="13.85546875" customWidth="1"/>
    <col min="13830" max="13830" width="8.42578125" customWidth="1"/>
    <col min="13832" max="13832" width="11.5703125" customWidth="1"/>
    <col min="14082" max="14082" width="13" customWidth="1"/>
    <col min="14084" max="14084" width="7.85546875" customWidth="1"/>
    <col min="14085" max="14085" width="13.85546875" customWidth="1"/>
    <col min="14086" max="14086" width="8.42578125" customWidth="1"/>
    <col min="14088" max="14088" width="11.5703125" customWidth="1"/>
    <col min="14338" max="14338" width="13" customWidth="1"/>
    <col min="14340" max="14340" width="7.85546875" customWidth="1"/>
    <col min="14341" max="14341" width="13.85546875" customWidth="1"/>
    <col min="14342" max="14342" width="8.42578125" customWidth="1"/>
    <col min="14344" max="14344" width="11.5703125" customWidth="1"/>
    <col min="14594" max="14594" width="13" customWidth="1"/>
    <col min="14596" max="14596" width="7.85546875" customWidth="1"/>
    <col min="14597" max="14597" width="13.85546875" customWidth="1"/>
    <col min="14598" max="14598" width="8.42578125" customWidth="1"/>
    <col min="14600" max="14600" width="11.5703125" customWidth="1"/>
    <col min="14850" max="14850" width="13" customWidth="1"/>
    <col min="14852" max="14852" width="7.85546875" customWidth="1"/>
    <col min="14853" max="14853" width="13.85546875" customWidth="1"/>
    <col min="14854" max="14854" width="8.42578125" customWidth="1"/>
    <col min="14856" max="14856" width="11.5703125" customWidth="1"/>
    <col min="15106" max="15106" width="13" customWidth="1"/>
    <col min="15108" max="15108" width="7.85546875" customWidth="1"/>
    <col min="15109" max="15109" width="13.85546875" customWidth="1"/>
    <col min="15110" max="15110" width="8.42578125" customWidth="1"/>
    <col min="15112" max="15112" width="11.5703125" customWidth="1"/>
    <col min="15362" max="15362" width="13" customWidth="1"/>
    <col min="15364" max="15364" width="7.85546875" customWidth="1"/>
    <col min="15365" max="15365" width="13.85546875" customWidth="1"/>
    <col min="15366" max="15366" width="8.42578125" customWidth="1"/>
    <col min="15368" max="15368" width="11.5703125" customWidth="1"/>
    <col min="15618" max="15618" width="13" customWidth="1"/>
    <col min="15620" max="15620" width="7.85546875" customWidth="1"/>
    <col min="15621" max="15621" width="13.85546875" customWidth="1"/>
    <col min="15622" max="15622" width="8.42578125" customWidth="1"/>
    <col min="15624" max="15624" width="11.5703125" customWidth="1"/>
    <col min="15874" max="15874" width="13" customWidth="1"/>
    <col min="15876" max="15876" width="7.85546875" customWidth="1"/>
    <col min="15877" max="15877" width="13.85546875" customWidth="1"/>
    <col min="15878" max="15878" width="8.42578125" customWidth="1"/>
    <col min="15880" max="15880" width="11.5703125" customWidth="1"/>
    <col min="16130" max="16130" width="13" customWidth="1"/>
    <col min="16132" max="16132" width="7.85546875" customWidth="1"/>
    <col min="16133" max="16133" width="13.85546875" customWidth="1"/>
    <col min="16134" max="16134" width="8.42578125" customWidth="1"/>
    <col min="16136" max="16136" width="11.5703125" customWidth="1"/>
  </cols>
  <sheetData>
    <row r="2" spans="2:12" x14ac:dyDescent="0.2">
      <c r="B2" s="342" t="s">
        <v>218</v>
      </c>
      <c r="C2" s="342"/>
      <c r="D2" s="342"/>
      <c r="E2" s="342"/>
      <c r="F2" s="342"/>
      <c r="G2" s="342"/>
      <c r="H2" s="342"/>
      <c r="I2" s="342"/>
    </row>
    <row r="4" spans="2:12" x14ac:dyDescent="0.2">
      <c r="B4" s="270" t="s">
        <v>219</v>
      </c>
      <c r="C4" s="270" t="s">
        <v>220</v>
      </c>
      <c r="D4" s="270" t="s">
        <v>221</v>
      </c>
      <c r="E4" s="270" t="s">
        <v>222</v>
      </c>
      <c r="F4" s="270" t="s">
        <v>223</v>
      </c>
      <c r="G4" s="270" t="s">
        <v>224</v>
      </c>
      <c r="H4" s="270" t="s">
        <v>225</v>
      </c>
      <c r="I4" s="271" t="s">
        <v>0</v>
      </c>
    </row>
    <row r="5" spans="2:12" x14ac:dyDescent="0.2">
      <c r="B5" s="265" t="s">
        <v>282</v>
      </c>
      <c r="C5" s="272">
        <v>930</v>
      </c>
      <c r="D5" s="272">
        <f>C5*12</f>
        <v>11160</v>
      </c>
      <c r="E5" s="272">
        <v>0</v>
      </c>
      <c r="F5" s="272">
        <v>0</v>
      </c>
      <c r="G5" s="272">
        <f>D5+E5+F5</f>
        <v>11160</v>
      </c>
      <c r="H5" s="272">
        <f>15*12</f>
        <v>180</v>
      </c>
      <c r="I5" s="273">
        <f>G5+H5</f>
        <v>11340</v>
      </c>
    </row>
    <row r="6" spans="2:12" x14ac:dyDescent="0.2">
      <c r="B6" s="265" t="s">
        <v>281</v>
      </c>
      <c r="C6" s="272">
        <v>930</v>
      </c>
      <c r="D6" s="272">
        <f>C6*12</f>
        <v>11160</v>
      </c>
      <c r="E6" s="272">
        <v>0</v>
      </c>
      <c r="F6" s="272">
        <v>0</v>
      </c>
      <c r="G6" s="272">
        <f>D6+E6+F6</f>
        <v>11160</v>
      </c>
      <c r="H6" s="272">
        <f>15*12</f>
        <v>180</v>
      </c>
      <c r="I6" s="273">
        <f>G6+H6</f>
        <v>11340</v>
      </c>
    </row>
    <row r="7" spans="2:12" x14ac:dyDescent="0.2">
      <c r="B7" s="274" t="s">
        <v>0</v>
      </c>
      <c r="C7" s="276">
        <f>SUM(C5:C6)</f>
        <v>1860</v>
      </c>
      <c r="D7" s="274"/>
      <c r="E7" s="274"/>
      <c r="F7" s="274"/>
      <c r="G7" s="274"/>
      <c r="H7" s="275">
        <f>SUM(H5:H6)</f>
        <v>360</v>
      </c>
      <c r="I7" s="275">
        <f>SUM(I5:I6)</f>
        <v>22680</v>
      </c>
    </row>
    <row r="8" spans="2:12" x14ac:dyDescent="0.2">
      <c r="B8" t="s">
        <v>226</v>
      </c>
    </row>
    <row r="9" spans="2:12" x14ac:dyDescent="0.2">
      <c r="B9" t="s">
        <v>227</v>
      </c>
    </row>
    <row r="10" spans="2:12" x14ac:dyDescent="0.2">
      <c r="B10" t="s">
        <v>228</v>
      </c>
      <c r="K10">
        <v>150</v>
      </c>
      <c r="L10" s="163" t="s">
        <v>229</v>
      </c>
    </row>
    <row r="11" spans="2:12" x14ac:dyDescent="0.2">
      <c r="K11">
        <v>4400</v>
      </c>
    </row>
    <row r="12" spans="2:12" x14ac:dyDescent="0.2">
      <c r="K12">
        <f>K10*K11</f>
        <v>660000</v>
      </c>
      <c r="L12" s="163" t="s">
        <v>230</v>
      </c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0"/>
  <sheetViews>
    <sheetView topLeftCell="A10" workbookViewId="0">
      <selection activeCell="G23" sqref="G23"/>
    </sheetView>
  </sheetViews>
  <sheetFormatPr baseColWidth="10" defaultColWidth="11.42578125" defaultRowHeight="12.75" x14ac:dyDescent="0.2"/>
  <cols>
    <col min="2" max="2" width="21.5703125" customWidth="1"/>
    <col min="3" max="3" width="11" customWidth="1"/>
    <col min="4" max="4" width="9.42578125" customWidth="1"/>
    <col min="5" max="5" width="10.7109375" customWidth="1"/>
    <col min="6" max="6" width="8.7109375" customWidth="1"/>
  </cols>
  <sheetData>
    <row r="2" spans="2:6" x14ac:dyDescent="0.2">
      <c r="B2" s="342" t="s">
        <v>98</v>
      </c>
      <c r="C2" s="342"/>
    </row>
    <row r="3" spans="2:6" ht="13.5" thickBot="1" x14ac:dyDescent="0.25"/>
    <row r="4" spans="2:6" ht="13.5" thickBot="1" x14ac:dyDescent="0.25">
      <c r="B4" s="101" t="s">
        <v>99</v>
      </c>
    </row>
    <row r="6" spans="2:6" ht="13.5" thickBot="1" x14ac:dyDescent="0.25"/>
    <row r="7" spans="2:6" ht="13.5" thickBot="1" x14ac:dyDescent="0.25">
      <c r="B7" s="101" t="s">
        <v>288</v>
      </c>
    </row>
    <row r="9" spans="2:6" x14ac:dyDescent="0.2">
      <c r="B9" s="88"/>
    </row>
    <row r="10" spans="2:6" x14ac:dyDescent="0.2">
      <c r="B10" s="342" t="s">
        <v>177</v>
      </c>
      <c r="C10" s="342"/>
      <c r="D10" s="342"/>
      <c r="E10" s="342"/>
      <c r="F10" s="342"/>
    </row>
    <row r="11" spans="2:6" ht="13.5" thickBot="1" x14ac:dyDescent="0.25"/>
    <row r="12" spans="2:6" ht="26.25" thickBot="1" x14ac:dyDescent="0.25">
      <c r="B12" s="164" t="s">
        <v>80</v>
      </c>
      <c r="C12" s="165" t="s">
        <v>124</v>
      </c>
      <c r="D12" s="165" t="s">
        <v>125</v>
      </c>
      <c r="E12" s="165" t="s">
        <v>126</v>
      </c>
      <c r="F12" s="166" t="s">
        <v>127</v>
      </c>
    </row>
    <row r="13" spans="2:6" x14ac:dyDescent="0.2">
      <c r="B13" s="203" t="s">
        <v>116</v>
      </c>
      <c r="C13" s="89" t="s">
        <v>123</v>
      </c>
      <c r="D13" s="4">
        <v>2.5</v>
      </c>
      <c r="E13" s="4">
        <v>0.15</v>
      </c>
      <c r="F13" s="204">
        <f>+D13*E13</f>
        <v>0.375</v>
      </c>
    </row>
    <row r="14" spans="2:6" x14ac:dyDescent="0.2">
      <c r="B14" s="63" t="s">
        <v>117</v>
      </c>
      <c r="C14" s="89" t="s">
        <v>123</v>
      </c>
      <c r="D14" s="4">
        <f>Resumen!H7</f>
        <v>15</v>
      </c>
      <c r="E14" s="4">
        <v>0.15</v>
      </c>
      <c r="F14" s="204">
        <f>+D14*E14</f>
        <v>2.25</v>
      </c>
    </row>
    <row r="15" spans="2:6" x14ac:dyDescent="0.2">
      <c r="B15" s="63" t="s">
        <v>118</v>
      </c>
      <c r="C15" s="89" t="s">
        <v>123</v>
      </c>
      <c r="D15" s="4">
        <v>2.5</v>
      </c>
      <c r="E15" s="4">
        <v>0.05</v>
      </c>
      <c r="F15" s="204">
        <f>+D15*E15</f>
        <v>0.125</v>
      </c>
    </row>
    <row r="16" spans="2:6" x14ac:dyDescent="0.2">
      <c r="B16" s="63" t="s">
        <v>119</v>
      </c>
      <c r="C16" s="4"/>
      <c r="D16" s="4"/>
      <c r="E16" s="4"/>
      <c r="F16" s="204">
        <v>0.1</v>
      </c>
    </row>
    <row r="17" spans="2:6" x14ac:dyDescent="0.2">
      <c r="B17" s="63" t="s">
        <v>120</v>
      </c>
      <c r="C17" s="4"/>
      <c r="D17" s="4"/>
      <c r="E17" s="4"/>
      <c r="F17" s="204">
        <v>0.1</v>
      </c>
    </row>
    <row r="18" spans="2:6" ht="13.5" thickBot="1" x14ac:dyDescent="0.25">
      <c r="B18" s="205" t="s">
        <v>289</v>
      </c>
      <c r="C18" s="206"/>
      <c r="D18" s="206"/>
      <c r="E18" s="206"/>
      <c r="F18" s="207">
        <f>SUM(F13:F17)</f>
        <v>2.95</v>
      </c>
    </row>
    <row r="20" spans="2:6" x14ac:dyDescent="0.2">
      <c r="B20" s="343" t="s">
        <v>178</v>
      </c>
      <c r="C20" s="343"/>
    </row>
    <row r="21" spans="2:6" ht="13.5" thickBot="1" x14ac:dyDescent="0.25"/>
    <row r="22" spans="2:6" x14ac:dyDescent="0.2">
      <c r="B22" s="208" t="s">
        <v>113</v>
      </c>
      <c r="C22" s="209" t="s">
        <v>114</v>
      </c>
    </row>
    <row r="23" spans="2:6" x14ac:dyDescent="0.2">
      <c r="B23" s="203" t="s">
        <v>107</v>
      </c>
      <c r="C23" s="90">
        <v>800</v>
      </c>
    </row>
    <row r="24" spans="2:6" x14ac:dyDescent="0.2">
      <c r="B24" s="203" t="s">
        <v>108</v>
      </c>
      <c r="C24" s="90">
        <v>250</v>
      </c>
    </row>
    <row r="25" spans="2:6" x14ac:dyDescent="0.2">
      <c r="B25" s="63" t="s">
        <v>109</v>
      </c>
      <c r="C25" s="90">
        <v>450</v>
      </c>
    </row>
    <row r="26" spans="2:6" x14ac:dyDescent="0.2">
      <c r="B26" s="131" t="s">
        <v>283</v>
      </c>
      <c r="C26" s="90">
        <f>15*26</f>
        <v>390</v>
      </c>
    </row>
    <row r="27" spans="2:6" x14ac:dyDescent="0.2">
      <c r="B27" s="63" t="s">
        <v>115</v>
      </c>
      <c r="C27" s="90">
        <f>Planilla!C7</f>
        <v>1860</v>
      </c>
      <c r="E27" s="163"/>
    </row>
    <row r="28" spans="2:6" x14ac:dyDescent="0.2">
      <c r="B28" s="131" t="s">
        <v>231</v>
      </c>
      <c r="C28" s="90">
        <f>Planilla!H7/12</f>
        <v>30</v>
      </c>
      <c r="E28" s="163"/>
    </row>
    <row r="29" spans="2:6" x14ac:dyDescent="0.2">
      <c r="B29" s="63" t="s">
        <v>110</v>
      </c>
      <c r="C29" s="90">
        <v>300</v>
      </c>
    </row>
    <row r="30" spans="2:6" ht="13.5" thickBot="1" x14ac:dyDescent="0.25">
      <c r="B30" s="205" t="s">
        <v>122</v>
      </c>
      <c r="C30" s="207">
        <f>SUM(C23:C29)</f>
        <v>4080</v>
      </c>
    </row>
  </sheetData>
  <mergeCells count="3">
    <mergeCell ref="B2:C2"/>
    <mergeCell ref="B10:F10"/>
    <mergeCell ref="B20:C20"/>
  </mergeCells>
  <phoneticPr fontId="0" type="noConversion"/>
  <pageMargins left="0.75" right="0.75" top="1" bottom="1" header="0" footer="0"/>
  <pageSetup paperSize="9" orientation="portrait" horizont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4:Q16"/>
  <sheetViews>
    <sheetView topLeftCell="B1" workbookViewId="0">
      <selection activeCell="E11" sqref="E11"/>
    </sheetView>
  </sheetViews>
  <sheetFormatPr baseColWidth="10" defaultRowHeight="12.75" x14ac:dyDescent="0.2"/>
  <cols>
    <col min="3" max="3" width="24.140625" customWidth="1"/>
    <col min="4" max="4" width="6.85546875" customWidth="1"/>
    <col min="5" max="11" width="5" bestFit="1" customWidth="1"/>
    <col min="12" max="12" width="5.5703125" bestFit="1" customWidth="1"/>
    <col min="13" max="16" width="5" bestFit="1" customWidth="1"/>
    <col min="17" max="17" width="7.28515625" customWidth="1"/>
  </cols>
  <sheetData>
    <row r="4" spans="3:17" x14ac:dyDescent="0.2">
      <c r="C4" s="342" t="s">
        <v>179</v>
      </c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</row>
    <row r="5" spans="3:17" ht="13.5" thickBot="1" x14ac:dyDescent="0.25"/>
    <row r="6" spans="3:17" ht="13.5" thickBot="1" x14ac:dyDescent="0.25">
      <c r="C6" s="141" t="s">
        <v>176</v>
      </c>
      <c r="D6" s="142">
        <v>0</v>
      </c>
      <c r="E6" s="142">
        <v>1</v>
      </c>
      <c r="F6" s="142">
        <v>2</v>
      </c>
      <c r="G6" s="142">
        <v>3</v>
      </c>
      <c r="H6" s="142">
        <v>4</v>
      </c>
      <c r="I6" s="142">
        <v>5</v>
      </c>
      <c r="J6" s="142">
        <v>6</v>
      </c>
      <c r="K6" s="142">
        <v>7</v>
      </c>
      <c r="L6" s="142">
        <v>8</v>
      </c>
      <c r="M6" s="142">
        <v>9</v>
      </c>
      <c r="N6" s="142">
        <v>10</v>
      </c>
      <c r="O6" s="142">
        <v>11</v>
      </c>
      <c r="P6" s="142">
        <v>12</v>
      </c>
      <c r="Q6" s="143" t="s">
        <v>0</v>
      </c>
    </row>
    <row r="7" spans="3:17" x14ac:dyDescent="0.2">
      <c r="C7" s="144" t="s">
        <v>170</v>
      </c>
      <c r="D7" s="145"/>
      <c r="E7" s="146">
        <f>+Ingresos!C7</f>
        <v>333.33333333333331</v>
      </c>
      <c r="F7" s="146">
        <f>+Ingresos!D7</f>
        <v>400</v>
      </c>
      <c r="G7" s="146">
        <f>+Ingresos!E7</f>
        <v>433.33333333333331</v>
      </c>
      <c r="H7" s="146">
        <f>+Ingresos!F7</f>
        <v>446.66666666666669</v>
      </c>
      <c r="I7" s="146">
        <f>+Ingresos!G7</f>
        <v>446.66666666666669</v>
      </c>
      <c r="J7" s="146">
        <f>+Ingresos!H7</f>
        <v>446.66666666666669</v>
      </c>
      <c r="K7" s="146">
        <f>+Ingresos!I7</f>
        <v>446.66666666666669</v>
      </c>
      <c r="L7" s="146">
        <f>+Ingresos!J7</f>
        <v>446.66666666666669</v>
      </c>
      <c r="M7" s="146">
        <f>+Ingresos!K7</f>
        <v>446.66666666666669</v>
      </c>
      <c r="N7" s="146">
        <f>+Ingresos!L7</f>
        <v>446.66666666666669</v>
      </c>
      <c r="O7" s="146">
        <f>+Ingresos!M7</f>
        <v>446.66666666666669</v>
      </c>
      <c r="P7" s="146">
        <f>+Ingresos!N7</f>
        <v>446.66666666666669</v>
      </c>
      <c r="Q7" s="147"/>
    </row>
    <row r="8" spans="3:17" x14ac:dyDescent="0.2">
      <c r="C8" s="148" t="s">
        <v>169</v>
      </c>
      <c r="D8" s="149"/>
      <c r="E8" s="150">
        <f>Costos_Gastos!$F$18</f>
        <v>2.95</v>
      </c>
      <c r="F8" s="150">
        <f>Costos_Gastos!$F$18</f>
        <v>2.95</v>
      </c>
      <c r="G8" s="150">
        <f>Costos_Gastos!$F$18</f>
        <v>2.95</v>
      </c>
      <c r="H8" s="150">
        <f>Costos_Gastos!$F$18</f>
        <v>2.95</v>
      </c>
      <c r="I8" s="150">
        <f>Costos_Gastos!$F$18</f>
        <v>2.95</v>
      </c>
      <c r="J8" s="150">
        <f>Costos_Gastos!$F$18</f>
        <v>2.95</v>
      </c>
      <c r="K8" s="150">
        <f>Costos_Gastos!$F$18</f>
        <v>2.95</v>
      </c>
      <c r="L8" s="150">
        <f>Costos_Gastos!$F$18</f>
        <v>2.95</v>
      </c>
      <c r="M8" s="150">
        <f>Costos_Gastos!$F$18</f>
        <v>2.95</v>
      </c>
      <c r="N8" s="150">
        <f>Costos_Gastos!$F$18</f>
        <v>2.95</v>
      </c>
      <c r="O8" s="150">
        <f>Costos_Gastos!$F$18</f>
        <v>2.95</v>
      </c>
      <c r="P8" s="150">
        <f>Costos_Gastos!$F$18</f>
        <v>2.95</v>
      </c>
      <c r="Q8" s="151"/>
    </row>
    <row r="9" spans="3:17" x14ac:dyDescent="0.2">
      <c r="C9" s="172" t="s">
        <v>121</v>
      </c>
      <c r="D9" s="152"/>
      <c r="E9" s="153">
        <f>E7*E8</f>
        <v>983.33333333333337</v>
      </c>
      <c r="F9" s="153">
        <f t="shared" ref="F9:P9" si="0">F7*F8</f>
        <v>1180</v>
      </c>
      <c r="G9" s="153">
        <f t="shared" si="0"/>
        <v>1278.3333333333333</v>
      </c>
      <c r="H9" s="153">
        <f t="shared" si="0"/>
        <v>1317.6666666666667</v>
      </c>
      <c r="I9" s="153">
        <f t="shared" si="0"/>
        <v>1317.6666666666667</v>
      </c>
      <c r="J9" s="153">
        <f t="shared" si="0"/>
        <v>1317.6666666666667</v>
      </c>
      <c r="K9" s="153">
        <f t="shared" si="0"/>
        <v>1317.6666666666667</v>
      </c>
      <c r="L9" s="153">
        <f t="shared" si="0"/>
        <v>1317.6666666666667</v>
      </c>
      <c r="M9" s="153">
        <f t="shared" si="0"/>
        <v>1317.6666666666667</v>
      </c>
      <c r="N9" s="153">
        <f t="shared" si="0"/>
        <v>1317.6666666666667</v>
      </c>
      <c r="O9" s="153">
        <f t="shared" si="0"/>
        <v>1317.6666666666667</v>
      </c>
      <c r="P9" s="153">
        <f t="shared" si="0"/>
        <v>1317.6666666666667</v>
      </c>
      <c r="Q9" s="154"/>
    </row>
    <row r="10" spans="3:17" x14ac:dyDescent="0.2">
      <c r="C10" s="172" t="s">
        <v>232</v>
      </c>
      <c r="D10" s="152"/>
      <c r="E10" s="153">
        <f>Costos_Gastos!$C$30</f>
        <v>4080</v>
      </c>
      <c r="F10" s="153">
        <f>Costos_Gastos!$C$30</f>
        <v>4080</v>
      </c>
      <c r="G10" s="153">
        <f>Costos_Gastos!$C$30</f>
        <v>4080</v>
      </c>
      <c r="H10" s="153">
        <f>Costos_Gastos!$C$30</f>
        <v>4080</v>
      </c>
      <c r="I10" s="153">
        <f>Costos_Gastos!$C$30</f>
        <v>4080</v>
      </c>
      <c r="J10" s="153">
        <f>Costos_Gastos!$C$30</f>
        <v>4080</v>
      </c>
      <c r="K10" s="153">
        <f>Costos_Gastos!$C$30</f>
        <v>4080</v>
      </c>
      <c r="L10" s="153">
        <f>Costos_Gastos!$C$30</f>
        <v>4080</v>
      </c>
      <c r="M10" s="153">
        <f>Costos_Gastos!$C$30</f>
        <v>4080</v>
      </c>
      <c r="N10" s="153">
        <f>Costos_Gastos!$C$30</f>
        <v>4080</v>
      </c>
      <c r="O10" s="153">
        <f>Costos_Gastos!$C$30</f>
        <v>4080</v>
      </c>
      <c r="P10" s="153">
        <f>Costos_Gastos!$C$30</f>
        <v>4080</v>
      </c>
      <c r="Q10" s="154"/>
    </row>
    <row r="11" spans="3:17" x14ac:dyDescent="0.2">
      <c r="C11" s="172" t="s">
        <v>190</v>
      </c>
      <c r="D11" s="158"/>
      <c r="E11" s="153">
        <f>E9+E10</f>
        <v>5063.333333333333</v>
      </c>
      <c r="F11" s="153">
        <f t="shared" ref="F11:P11" si="1">F9+F10</f>
        <v>5260</v>
      </c>
      <c r="G11" s="153">
        <f t="shared" si="1"/>
        <v>5358.333333333333</v>
      </c>
      <c r="H11" s="153">
        <f t="shared" si="1"/>
        <v>5397.666666666667</v>
      </c>
      <c r="I11" s="153">
        <f t="shared" si="1"/>
        <v>5397.666666666667</v>
      </c>
      <c r="J11" s="153">
        <f t="shared" si="1"/>
        <v>5397.666666666667</v>
      </c>
      <c r="K11" s="153">
        <f t="shared" si="1"/>
        <v>5397.666666666667</v>
      </c>
      <c r="L11" s="153">
        <f t="shared" si="1"/>
        <v>5397.666666666667</v>
      </c>
      <c r="M11" s="153">
        <f t="shared" si="1"/>
        <v>5397.666666666667</v>
      </c>
      <c r="N11" s="153">
        <f t="shared" si="1"/>
        <v>5397.666666666667</v>
      </c>
      <c r="O11" s="153">
        <f t="shared" si="1"/>
        <v>5397.666666666667</v>
      </c>
      <c r="P11" s="153">
        <f t="shared" si="1"/>
        <v>5397.666666666667</v>
      </c>
      <c r="Q11" s="154"/>
    </row>
    <row r="12" spans="3:17" ht="13.5" thickBot="1" x14ac:dyDescent="0.25">
      <c r="C12" s="155" t="s">
        <v>171</v>
      </c>
      <c r="D12" s="250">
        <f>E11</f>
        <v>5063.333333333333</v>
      </c>
      <c r="E12" s="173">
        <f>F11-D12</f>
        <v>196.66666666666697</v>
      </c>
      <c r="F12" s="173">
        <f>G11-E13</f>
        <v>98.33333333333303</v>
      </c>
      <c r="G12" s="173">
        <f>H11-F13</f>
        <v>39.33333333333394</v>
      </c>
      <c r="H12" s="173">
        <f t="shared" ref="H12:O12" si="2">I11-G13</f>
        <v>0</v>
      </c>
      <c r="I12" s="173">
        <f>J11-H13</f>
        <v>0</v>
      </c>
      <c r="J12" s="173">
        <f t="shared" si="2"/>
        <v>0</v>
      </c>
      <c r="K12" s="173">
        <f t="shared" si="2"/>
        <v>0</v>
      </c>
      <c r="L12" s="173">
        <f t="shared" si="2"/>
        <v>0</v>
      </c>
      <c r="M12" s="173">
        <f t="shared" si="2"/>
        <v>0</v>
      </c>
      <c r="N12" s="173">
        <f t="shared" si="2"/>
        <v>0</v>
      </c>
      <c r="O12" s="173">
        <f t="shared" si="2"/>
        <v>0</v>
      </c>
      <c r="P12" s="173"/>
      <c r="Q12" s="159">
        <f>SUM(D12:P12)</f>
        <v>5397.666666666667</v>
      </c>
    </row>
    <row r="13" spans="3:17" ht="13.5" thickBot="1" x14ac:dyDescent="0.25">
      <c r="C13" s="141" t="s">
        <v>204</v>
      </c>
      <c r="D13" s="140"/>
      <c r="E13" s="156">
        <f>D12+E12</f>
        <v>5260</v>
      </c>
      <c r="F13" s="156">
        <f t="shared" ref="F13:P13" si="3">F11+F12</f>
        <v>5358.333333333333</v>
      </c>
      <c r="G13" s="156">
        <f t="shared" si="3"/>
        <v>5397.666666666667</v>
      </c>
      <c r="H13" s="156">
        <f t="shared" si="3"/>
        <v>5397.666666666667</v>
      </c>
      <c r="I13" s="156">
        <f t="shared" si="3"/>
        <v>5397.666666666667</v>
      </c>
      <c r="J13" s="156">
        <f t="shared" si="3"/>
        <v>5397.666666666667</v>
      </c>
      <c r="K13" s="156">
        <f t="shared" si="3"/>
        <v>5397.666666666667</v>
      </c>
      <c r="L13" s="156">
        <f t="shared" si="3"/>
        <v>5397.666666666667</v>
      </c>
      <c r="M13" s="156">
        <f t="shared" si="3"/>
        <v>5397.666666666667</v>
      </c>
      <c r="N13" s="156">
        <f t="shared" si="3"/>
        <v>5397.666666666667</v>
      </c>
      <c r="O13" s="156">
        <f t="shared" si="3"/>
        <v>5397.666666666667</v>
      </c>
      <c r="P13" s="156">
        <f t="shared" si="3"/>
        <v>5397.666666666667</v>
      </c>
      <c r="Q13" s="157"/>
    </row>
    <row r="14" spans="3:17" x14ac:dyDescent="0.2"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spans="3:17" x14ac:dyDescent="0.2">
      <c r="L15" s="118"/>
    </row>
    <row r="16" spans="3:17" x14ac:dyDescent="0.2">
      <c r="K16" s="54"/>
    </row>
  </sheetData>
  <mergeCells count="1">
    <mergeCell ref="C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5"/>
  <sheetViews>
    <sheetView zoomScale="85" workbookViewId="0">
      <selection activeCell="F24" sqref="F24"/>
    </sheetView>
  </sheetViews>
  <sheetFormatPr baseColWidth="10" defaultColWidth="11.42578125" defaultRowHeight="12.75" x14ac:dyDescent="0.2"/>
  <cols>
    <col min="1" max="1" width="13.5703125" style="5" customWidth="1"/>
    <col min="2" max="2" width="18" customWidth="1"/>
    <col min="3" max="3" width="11.28515625" customWidth="1"/>
    <col min="4" max="4" width="12.42578125" customWidth="1"/>
    <col min="5" max="5" width="11.5703125" customWidth="1"/>
    <col min="7" max="7" width="13.42578125" customWidth="1"/>
    <col min="9" max="9" width="12.42578125" bestFit="1" customWidth="1"/>
  </cols>
  <sheetData>
    <row r="2" spans="1:6" x14ac:dyDescent="0.2">
      <c r="B2" s="10"/>
    </row>
    <row r="3" spans="1:6" x14ac:dyDescent="0.2">
      <c r="B3" s="342" t="s">
        <v>95</v>
      </c>
      <c r="C3" s="342"/>
      <c r="D3" s="342"/>
      <c r="E3" s="342"/>
    </row>
    <row r="4" spans="1:6" ht="13.5" thickBot="1" x14ac:dyDescent="0.25">
      <c r="A4" s="6"/>
      <c r="F4" s="50"/>
    </row>
    <row r="5" spans="1:6" ht="13.5" thickBot="1" x14ac:dyDescent="0.25">
      <c r="A5" s="6"/>
      <c r="B5" s="72" t="s">
        <v>45</v>
      </c>
      <c r="C5" s="71" t="s">
        <v>46</v>
      </c>
      <c r="D5" s="84" t="s">
        <v>292</v>
      </c>
      <c r="E5" s="85" t="s">
        <v>47</v>
      </c>
      <c r="F5" s="65"/>
    </row>
    <row r="6" spans="1:6" ht="13.5" thickBot="1" x14ac:dyDescent="0.25">
      <c r="A6" s="6"/>
      <c r="B6" s="98" t="s">
        <v>183</v>
      </c>
      <c r="C6" s="169">
        <f>Resumen!H6*1.18</f>
        <v>17.7</v>
      </c>
      <c r="D6" s="170">
        <f>Costos_Gastos!F18</f>
        <v>2.95</v>
      </c>
      <c r="E6" s="171">
        <f>+C6-D6</f>
        <v>14.75</v>
      </c>
      <c r="F6" s="66"/>
    </row>
    <row r="7" spans="1:6" x14ac:dyDescent="0.2">
      <c r="A7" s="6"/>
      <c r="B7" s="55" t="s">
        <v>52</v>
      </c>
      <c r="C7" s="11"/>
      <c r="D7" s="56"/>
      <c r="E7" s="56"/>
      <c r="F7" s="57"/>
    </row>
    <row r="8" spans="1:6" x14ac:dyDescent="0.2">
      <c r="A8" s="6"/>
      <c r="B8" s="55" t="s">
        <v>53</v>
      </c>
      <c r="C8" s="11"/>
      <c r="D8" s="56"/>
      <c r="E8" s="56"/>
      <c r="F8" s="57"/>
    </row>
    <row r="9" spans="1:6" ht="13.5" thickBot="1" x14ac:dyDescent="0.25">
      <c r="A9" s="15"/>
    </row>
    <row r="10" spans="1:6" ht="13.5" thickBot="1" x14ac:dyDescent="0.25">
      <c r="A10" s="15"/>
      <c r="B10" s="80" t="s">
        <v>50</v>
      </c>
      <c r="C10" s="81" t="s">
        <v>49</v>
      </c>
    </row>
    <row r="11" spans="1:6" ht="13.5" thickBot="1" x14ac:dyDescent="0.25">
      <c r="A11" s="15"/>
      <c r="B11" s="82"/>
      <c r="C11" s="83" t="s">
        <v>47</v>
      </c>
    </row>
    <row r="13" spans="1:6" x14ac:dyDescent="0.2">
      <c r="A13" s="53"/>
      <c r="B13" t="s">
        <v>48</v>
      </c>
      <c r="C13" s="252">
        <f>Costos_Gastos!C30/(Punto_de_Equilibrio!C6-Punto_de_Equilibrio!D6)</f>
        <v>276.61016949152543</v>
      </c>
      <c r="D13" s="88" t="s">
        <v>158</v>
      </c>
    </row>
    <row r="14" spans="1:6" x14ac:dyDescent="0.2">
      <c r="A14" s="6"/>
    </row>
    <row r="15" spans="1:6" x14ac:dyDescent="0.2">
      <c r="B15" s="335" t="s">
        <v>54</v>
      </c>
      <c r="C15" s="335"/>
      <c r="D15" s="335"/>
      <c r="E15" s="335"/>
      <c r="F15" s="335"/>
    </row>
    <row r="16" spans="1:6" ht="13.5" thickBot="1" x14ac:dyDescent="0.25">
      <c r="B16" s="50"/>
    </row>
    <row r="17" spans="2:6" ht="26.25" thickBot="1" x14ac:dyDescent="0.25">
      <c r="B17" s="72" t="s">
        <v>45</v>
      </c>
      <c r="C17" s="73" t="s">
        <v>55</v>
      </c>
      <c r="D17" s="73" t="s">
        <v>56</v>
      </c>
      <c r="E17" s="73" t="s">
        <v>57</v>
      </c>
      <c r="F17" s="74" t="s">
        <v>58</v>
      </c>
    </row>
    <row r="18" spans="2:6" ht="17.25" customHeight="1" thickBot="1" x14ac:dyDescent="0.25">
      <c r="B18" s="75" t="s">
        <v>183</v>
      </c>
      <c r="C18" s="76" t="s">
        <v>184</v>
      </c>
      <c r="D18" s="77">
        <f>+E18*Resumen!H6</f>
        <v>4149.1525423728817</v>
      </c>
      <c r="E18" s="78">
        <f>+C13</f>
        <v>276.61016949152543</v>
      </c>
      <c r="F18" s="79">
        <f>+E18/30</f>
        <v>9.2203389830508478</v>
      </c>
    </row>
    <row r="19" spans="2:6" x14ac:dyDescent="0.2">
      <c r="B19" s="6"/>
      <c r="C19" s="5"/>
      <c r="D19" s="5"/>
      <c r="E19" s="5"/>
      <c r="F19" s="5"/>
    </row>
    <row r="20" spans="2:6" x14ac:dyDescent="0.2">
      <c r="B20" s="10"/>
    </row>
    <row r="21" spans="2:6" x14ac:dyDescent="0.2">
      <c r="B21" s="335" t="s">
        <v>59</v>
      </c>
      <c r="C21" s="335"/>
      <c r="D21" s="335"/>
      <c r="E21" s="335"/>
      <c r="F21" s="335"/>
    </row>
    <row r="22" spans="2:6" ht="13.5" thickBot="1" x14ac:dyDescent="0.25">
      <c r="B22" s="50"/>
    </row>
    <row r="23" spans="2:6" ht="39" thickBot="1" x14ac:dyDescent="0.25">
      <c r="B23" s="72" t="s">
        <v>45</v>
      </c>
      <c r="C23" s="73" t="s">
        <v>96</v>
      </c>
      <c r="D23" s="73" t="s">
        <v>60</v>
      </c>
      <c r="E23" s="254" t="s">
        <v>206</v>
      </c>
      <c r="F23" s="74" t="s">
        <v>207</v>
      </c>
    </row>
    <row r="24" spans="2:6" ht="13.5" thickBot="1" x14ac:dyDescent="0.25">
      <c r="B24" s="253" t="s">
        <v>183</v>
      </c>
      <c r="C24" s="100" t="s">
        <v>97</v>
      </c>
      <c r="D24" s="99">
        <f>+D18*$C$6</f>
        <v>73440</v>
      </c>
      <c r="E24" s="99">
        <f>+E18*$C$6</f>
        <v>4896</v>
      </c>
      <c r="F24" s="99">
        <f>+F18*$C$6</f>
        <v>163.19999999999999</v>
      </c>
    </row>
    <row r="25" spans="2:6" x14ac:dyDescent="0.2">
      <c r="B25" s="6"/>
      <c r="C25" s="5"/>
      <c r="D25" s="5"/>
      <c r="E25" s="5"/>
    </row>
  </sheetData>
  <mergeCells count="3">
    <mergeCell ref="B3:E3"/>
    <mergeCell ref="B21:F21"/>
    <mergeCell ref="B15:F15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S26"/>
  <sheetViews>
    <sheetView topLeftCell="A4" workbookViewId="0">
      <selection activeCell="N11" sqref="N11"/>
    </sheetView>
  </sheetViews>
  <sheetFormatPr baseColWidth="10" defaultColWidth="11.42578125" defaultRowHeight="12.75" x14ac:dyDescent="0.2"/>
  <cols>
    <col min="1" max="1" width="3.140625" style="5" customWidth="1"/>
    <col min="2" max="2" width="26.85546875" style="5" customWidth="1"/>
    <col min="3" max="3" width="9.28515625" style="5" customWidth="1"/>
    <col min="4" max="4" width="8.42578125" style="5" customWidth="1"/>
    <col min="5" max="5" width="9.7109375" style="5" customWidth="1"/>
    <col min="6" max="6" width="9.28515625" style="5" customWidth="1"/>
    <col min="7" max="7" width="9.5703125" style="5" customWidth="1"/>
    <col min="8" max="8" width="8.140625" style="5" customWidth="1"/>
    <col min="9" max="9" width="9" style="5" customWidth="1"/>
    <col min="10" max="10" width="7.42578125" style="5" customWidth="1"/>
    <col min="11" max="11" width="7.28515625" style="5" customWidth="1"/>
    <col min="12" max="12" width="7.140625" style="5" customWidth="1"/>
    <col min="13" max="13" width="6.85546875" style="5" customWidth="1"/>
    <col min="14" max="14" width="7" style="5" customWidth="1"/>
    <col min="15" max="17" width="8.85546875" style="5" customWidth="1"/>
    <col min="18" max="18" width="10.140625" style="5" customWidth="1"/>
    <col min="19" max="19" width="9.7109375" style="5" customWidth="1"/>
    <col min="20" max="16384" width="11.42578125" style="5"/>
  </cols>
  <sheetData>
    <row r="4" spans="2:19" x14ac:dyDescent="0.2">
      <c r="B4" s="343"/>
      <c r="C4" s="343"/>
      <c r="D4" s="343"/>
      <c r="E4" s="343"/>
      <c r="F4" s="343"/>
      <c r="G4" s="343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2:19" x14ac:dyDescent="0.2">
      <c r="B5" s="343" t="s">
        <v>205</v>
      </c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17"/>
      <c r="P5" s="17"/>
      <c r="Q5" s="17"/>
    </row>
    <row r="6" spans="2:19" x14ac:dyDescent="0.2">
      <c r="B6" s="130"/>
      <c r="C6" s="130"/>
      <c r="D6" s="130"/>
      <c r="E6" s="130"/>
      <c r="F6" s="130"/>
      <c r="G6" s="130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2:19" ht="13.5" thickBot="1" x14ac:dyDescent="0.25">
      <c r="B7" s="247"/>
      <c r="C7" s="247"/>
      <c r="D7" s="247"/>
      <c r="E7" s="247"/>
      <c r="F7" s="247"/>
      <c r="G7" s="24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2:19" ht="12.75" customHeight="1" x14ac:dyDescent="0.2">
      <c r="B8" s="348" t="s">
        <v>3</v>
      </c>
      <c r="C8" s="353" t="s">
        <v>174</v>
      </c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5"/>
      <c r="O8" s="350" t="s">
        <v>102</v>
      </c>
      <c r="P8" s="350" t="s">
        <v>103</v>
      </c>
      <c r="Q8" s="344" t="s">
        <v>104</v>
      </c>
      <c r="R8" s="344" t="s">
        <v>268</v>
      </c>
      <c r="S8" s="344" t="s">
        <v>269</v>
      </c>
    </row>
    <row r="9" spans="2:19" ht="7.5" customHeight="1" x14ac:dyDescent="0.2">
      <c r="B9" s="349"/>
      <c r="C9" s="356"/>
      <c r="D9" s="357"/>
      <c r="E9" s="357"/>
      <c r="F9" s="357"/>
      <c r="G9" s="357"/>
      <c r="H9" s="357"/>
      <c r="I9" s="357"/>
      <c r="J9" s="357"/>
      <c r="K9" s="357"/>
      <c r="L9" s="357"/>
      <c r="M9" s="357"/>
      <c r="N9" s="358"/>
      <c r="O9" s="351"/>
      <c r="P9" s="351"/>
      <c r="Q9" s="345"/>
      <c r="R9" s="345"/>
      <c r="S9" s="345"/>
    </row>
    <row r="10" spans="2:19" ht="15.75" customHeight="1" thickBot="1" x14ac:dyDescent="0.3">
      <c r="B10" s="349"/>
      <c r="C10" s="297">
        <v>1</v>
      </c>
      <c r="D10" s="297">
        <v>2</v>
      </c>
      <c r="E10" s="297">
        <v>3</v>
      </c>
      <c r="F10" s="297">
        <v>4</v>
      </c>
      <c r="G10" s="297">
        <v>5</v>
      </c>
      <c r="H10" s="297">
        <v>6</v>
      </c>
      <c r="I10" s="297">
        <v>7</v>
      </c>
      <c r="J10" s="297">
        <v>8</v>
      </c>
      <c r="K10" s="297">
        <v>9</v>
      </c>
      <c r="L10" s="297">
        <v>10</v>
      </c>
      <c r="M10" s="297">
        <v>11</v>
      </c>
      <c r="N10" s="297">
        <v>12</v>
      </c>
      <c r="O10" s="352"/>
      <c r="P10" s="352"/>
      <c r="Q10" s="346"/>
      <c r="R10" s="346"/>
      <c r="S10" s="346"/>
    </row>
    <row r="11" spans="2:19" ht="15.75" customHeight="1" x14ac:dyDescent="0.2">
      <c r="B11" s="309" t="s">
        <v>213</v>
      </c>
      <c r="C11" s="310">
        <f>C12*1.18</f>
        <v>5900</v>
      </c>
      <c r="D11" s="310">
        <f t="shared" ref="D11:N11" si="0">D12*1.18</f>
        <v>7080</v>
      </c>
      <c r="E11" s="310">
        <f t="shared" si="0"/>
        <v>7670</v>
      </c>
      <c r="F11" s="310">
        <f t="shared" si="0"/>
        <v>7906</v>
      </c>
      <c r="G11" s="310">
        <f t="shared" si="0"/>
        <v>7906</v>
      </c>
      <c r="H11" s="310">
        <f t="shared" si="0"/>
        <v>7906</v>
      </c>
      <c r="I11" s="310">
        <f t="shared" si="0"/>
        <v>7906</v>
      </c>
      <c r="J11" s="310">
        <f t="shared" si="0"/>
        <v>7906</v>
      </c>
      <c r="K11" s="310">
        <f t="shared" si="0"/>
        <v>7906</v>
      </c>
      <c r="L11" s="310">
        <f t="shared" si="0"/>
        <v>7906</v>
      </c>
      <c r="M11" s="310">
        <f t="shared" si="0"/>
        <v>7906</v>
      </c>
      <c r="N11" s="310">
        <f t="shared" si="0"/>
        <v>7906</v>
      </c>
      <c r="O11" s="310">
        <f t="shared" ref="O11" si="1">O12*1.18</f>
        <v>91804</v>
      </c>
      <c r="P11" s="310">
        <f t="shared" ref="P11" si="2">P12*1.18</f>
        <v>91804</v>
      </c>
      <c r="Q11" s="310">
        <f t="shared" ref="Q11:S11" si="3">Q12*1.18</f>
        <v>91804</v>
      </c>
      <c r="R11" s="310">
        <f t="shared" si="3"/>
        <v>91804</v>
      </c>
      <c r="S11" s="311">
        <f t="shared" si="3"/>
        <v>91804</v>
      </c>
    </row>
    <row r="12" spans="2:19" ht="15" x14ac:dyDescent="0.25">
      <c r="B12" s="175" t="s">
        <v>215</v>
      </c>
      <c r="C12" s="96">
        <f>+Ingresos!C9</f>
        <v>5000</v>
      </c>
      <c r="D12" s="96">
        <f>+Ingresos!D9</f>
        <v>6000</v>
      </c>
      <c r="E12" s="96">
        <f>+Ingresos!E9</f>
        <v>6500</v>
      </c>
      <c r="F12" s="96">
        <f>+Ingresos!F9</f>
        <v>6700</v>
      </c>
      <c r="G12" s="96">
        <f>+Ingresos!G9</f>
        <v>6700</v>
      </c>
      <c r="H12" s="96">
        <f>+Ingresos!H9</f>
        <v>6700</v>
      </c>
      <c r="I12" s="96">
        <f>+Ingresos!I9</f>
        <v>6700</v>
      </c>
      <c r="J12" s="96">
        <f>+Ingresos!J9</f>
        <v>6700</v>
      </c>
      <c r="K12" s="96">
        <f>+Ingresos!K9</f>
        <v>6700</v>
      </c>
      <c r="L12" s="96">
        <f>+Ingresos!L9</f>
        <v>6700</v>
      </c>
      <c r="M12" s="96">
        <f>+Ingresos!M9</f>
        <v>6700</v>
      </c>
      <c r="N12" s="96">
        <f>+Ingresos!N9</f>
        <v>6700</v>
      </c>
      <c r="O12" s="96">
        <f>SUM(C12:N12)</f>
        <v>77800</v>
      </c>
      <c r="P12" s="96">
        <f>+Ingresos!P9</f>
        <v>77800</v>
      </c>
      <c r="Q12" s="96">
        <f>+Ingresos!Q9</f>
        <v>77800</v>
      </c>
      <c r="R12" s="96">
        <f>+Ingresos!R9</f>
        <v>77800</v>
      </c>
      <c r="S12" s="138">
        <f>+Ingresos!S9</f>
        <v>77800</v>
      </c>
    </row>
    <row r="13" spans="2:19" ht="15" x14ac:dyDescent="0.25">
      <c r="B13" s="175" t="s">
        <v>130</v>
      </c>
      <c r="C13" s="176">
        <f t="shared" ref="C13:Q13" si="4">SUM(C14:C15)</f>
        <v>1108.3333333333335</v>
      </c>
      <c r="D13" s="176">
        <f t="shared" si="4"/>
        <v>1305</v>
      </c>
      <c r="E13" s="176">
        <f t="shared" si="4"/>
        <v>1403.3333333333333</v>
      </c>
      <c r="F13" s="176">
        <f t="shared" si="4"/>
        <v>1442.6666666666667</v>
      </c>
      <c r="G13" s="176">
        <f t="shared" si="4"/>
        <v>1442.6666666666667</v>
      </c>
      <c r="H13" s="176">
        <f t="shared" si="4"/>
        <v>1442.6666666666667</v>
      </c>
      <c r="I13" s="176">
        <f t="shared" si="4"/>
        <v>1442.6666666666667</v>
      </c>
      <c r="J13" s="176">
        <f t="shared" si="4"/>
        <v>1442.6666666666667</v>
      </c>
      <c r="K13" s="176">
        <f t="shared" si="4"/>
        <v>1442.6666666666667</v>
      </c>
      <c r="L13" s="176">
        <f t="shared" si="4"/>
        <v>1442.6666666666667</v>
      </c>
      <c r="M13" s="176">
        <f t="shared" si="4"/>
        <v>1442.6666666666667</v>
      </c>
      <c r="N13" s="176">
        <f t="shared" si="4"/>
        <v>1442.6666666666667</v>
      </c>
      <c r="O13" s="176">
        <f t="shared" si="4"/>
        <v>16800.666666666664</v>
      </c>
      <c r="P13" s="176">
        <f t="shared" si="4"/>
        <v>16800.666666666664</v>
      </c>
      <c r="Q13" s="176">
        <f t="shared" si="4"/>
        <v>16800.666666666664</v>
      </c>
      <c r="R13" s="176">
        <f t="shared" ref="R13" si="5">SUM(R14:R15)</f>
        <v>16800.666666666664</v>
      </c>
      <c r="S13" s="177">
        <f t="shared" ref="S13" si="6">SUM(S14:S15)</f>
        <v>16800.666666666664</v>
      </c>
    </row>
    <row r="14" spans="2:19" ht="14.25" x14ac:dyDescent="0.2">
      <c r="B14" s="178" t="s">
        <v>217</v>
      </c>
      <c r="C14" s="96">
        <f>+Ingresos!C7*Costos_Gastos!$F$18</f>
        <v>983.33333333333337</v>
      </c>
      <c r="D14" s="96">
        <f>+Ingresos!D7*Costos_Gastos!$F$18</f>
        <v>1180</v>
      </c>
      <c r="E14" s="96">
        <f>+Ingresos!E7*Costos_Gastos!$F$18</f>
        <v>1278.3333333333333</v>
      </c>
      <c r="F14" s="96">
        <f>+Ingresos!F7*Costos_Gastos!$F$18</f>
        <v>1317.6666666666667</v>
      </c>
      <c r="G14" s="96">
        <f>+Ingresos!G7*Costos_Gastos!$F$18</f>
        <v>1317.6666666666667</v>
      </c>
      <c r="H14" s="96">
        <f>+Ingresos!H7*Costos_Gastos!$F$18</f>
        <v>1317.6666666666667</v>
      </c>
      <c r="I14" s="96">
        <f>+Ingresos!I7*Costos_Gastos!$F$18</f>
        <v>1317.6666666666667</v>
      </c>
      <c r="J14" s="96">
        <f>+Ingresos!J7*Costos_Gastos!$F$18</f>
        <v>1317.6666666666667</v>
      </c>
      <c r="K14" s="96">
        <f>+Ingresos!K7*Costos_Gastos!$F$18</f>
        <v>1317.6666666666667</v>
      </c>
      <c r="L14" s="96">
        <f>+Ingresos!L7*Costos_Gastos!$F$18</f>
        <v>1317.6666666666667</v>
      </c>
      <c r="M14" s="96">
        <f>+Ingresos!M7*Costos_Gastos!$F$18</f>
        <v>1317.6666666666667</v>
      </c>
      <c r="N14" s="96">
        <f>+Ingresos!N7*Costos_Gastos!$F$18</f>
        <v>1317.6666666666667</v>
      </c>
      <c r="O14" s="96">
        <f>SUM(C14:N14)</f>
        <v>15300.666666666664</v>
      </c>
      <c r="P14" s="96">
        <f>SUM(C14:N14)</f>
        <v>15300.666666666664</v>
      </c>
      <c r="Q14" s="96">
        <f>+P14</f>
        <v>15300.666666666664</v>
      </c>
      <c r="R14" s="96">
        <f t="shared" ref="R14:S14" si="7">+Q14</f>
        <v>15300.666666666664</v>
      </c>
      <c r="S14" s="138">
        <f t="shared" si="7"/>
        <v>15300.666666666664</v>
      </c>
    </row>
    <row r="15" spans="2:19" ht="14.25" x14ac:dyDescent="0.2">
      <c r="B15" s="179" t="s">
        <v>83</v>
      </c>
      <c r="C15" s="96">
        <f>+Depreciacion!$H$9</f>
        <v>125</v>
      </c>
      <c r="D15" s="96">
        <f>+Depreciacion!$H$9</f>
        <v>125</v>
      </c>
      <c r="E15" s="96">
        <f>+Depreciacion!$H$9</f>
        <v>125</v>
      </c>
      <c r="F15" s="96">
        <f>+Depreciacion!$H$9</f>
        <v>125</v>
      </c>
      <c r="G15" s="96">
        <f>+Depreciacion!$H$9</f>
        <v>125</v>
      </c>
      <c r="H15" s="96">
        <f>+Depreciacion!$H$9</f>
        <v>125</v>
      </c>
      <c r="I15" s="96">
        <f>+Depreciacion!$H$9</f>
        <v>125</v>
      </c>
      <c r="J15" s="96">
        <f>+Depreciacion!$H$9</f>
        <v>125</v>
      </c>
      <c r="K15" s="96">
        <f>+Depreciacion!$H$9</f>
        <v>125</v>
      </c>
      <c r="L15" s="96">
        <f>+Depreciacion!$H$9</f>
        <v>125</v>
      </c>
      <c r="M15" s="96">
        <f>+Depreciacion!$H$9</f>
        <v>125</v>
      </c>
      <c r="N15" s="96">
        <f>+Depreciacion!$H$9</f>
        <v>125</v>
      </c>
      <c r="O15" s="96">
        <f>+Depreciacion!D14</f>
        <v>1500</v>
      </c>
      <c r="P15" s="96">
        <f>+Depreciacion!E14</f>
        <v>1500</v>
      </c>
      <c r="Q15" s="96">
        <f>+Depreciacion!F14</f>
        <v>1500</v>
      </c>
      <c r="R15" s="96">
        <f>+Depreciacion!G14</f>
        <v>1500</v>
      </c>
      <c r="S15" s="138">
        <f>+Depreciacion!H14</f>
        <v>1500</v>
      </c>
    </row>
    <row r="16" spans="2:19" ht="15" x14ac:dyDescent="0.25">
      <c r="B16" s="175" t="s">
        <v>131</v>
      </c>
      <c r="C16" s="180">
        <f>+C12-C13</f>
        <v>3891.6666666666665</v>
      </c>
      <c r="D16" s="180">
        <f t="shared" ref="D16:N16" si="8">+D12-D13</f>
        <v>4695</v>
      </c>
      <c r="E16" s="180">
        <f t="shared" si="8"/>
        <v>5096.666666666667</v>
      </c>
      <c r="F16" s="180">
        <f t="shared" si="8"/>
        <v>5257.333333333333</v>
      </c>
      <c r="G16" s="180">
        <f t="shared" si="8"/>
        <v>5257.333333333333</v>
      </c>
      <c r="H16" s="180">
        <f t="shared" si="8"/>
        <v>5257.333333333333</v>
      </c>
      <c r="I16" s="180">
        <f t="shared" si="8"/>
        <v>5257.333333333333</v>
      </c>
      <c r="J16" s="180">
        <f t="shared" si="8"/>
        <v>5257.333333333333</v>
      </c>
      <c r="K16" s="180">
        <f t="shared" si="8"/>
        <v>5257.333333333333</v>
      </c>
      <c r="L16" s="180">
        <f t="shared" si="8"/>
        <v>5257.333333333333</v>
      </c>
      <c r="M16" s="180">
        <f t="shared" si="8"/>
        <v>5257.333333333333</v>
      </c>
      <c r="N16" s="180">
        <f t="shared" si="8"/>
        <v>5257.333333333333</v>
      </c>
      <c r="O16" s="96">
        <f t="shared" ref="O16:O20" si="9">SUM(C16:N16)</f>
        <v>60999.333333333343</v>
      </c>
      <c r="P16" s="180">
        <f>+P12-P13</f>
        <v>60999.333333333336</v>
      </c>
      <c r="Q16" s="180">
        <f>+Q12-Q13</f>
        <v>60999.333333333336</v>
      </c>
      <c r="R16" s="180">
        <f t="shared" ref="R16:S16" si="10">+R12-R13</f>
        <v>60999.333333333336</v>
      </c>
      <c r="S16" s="181">
        <f t="shared" si="10"/>
        <v>60999.333333333336</v>
      </c>
    </row>
    <row r="17" spans="2:19" ht="15" x14ac:dyDescent="0.25">
      <c r="B17" s="175" t="s">
        <v>168</v>
      </c>
      <c r="C17" s="176">
        <f>SUM(C18:C19)</f>
        <v>4096.666666666667</v>
      </c>
      <c r="D17" s="176">
        <f t="shared" ref="D17:N17" si="11">SUM(D18:D19)</f>
        <v>4096.666666666667</v>
      </c>
      <c r="E17" s="176">
        <f t="shared" si="11"/>
        <v>4096.666666666667</v>
      </c>
      <c r="F17" s="176">
        <f t="shared" si="11"/>
        <v>4096.666666666667</v>
      </c>
      <c r="G17" s="176">
        <f t="shared" si="11"/>
        <v>4096.666666666667</v>
      </c>
      <c r="H17" s="176">
        <f t="shared" si="11"/>
        <v>4096.666666666667</v>
      </c>
      <c r="I17" s="176">
        <f t="shared" si="11"/>
        <v>4096.666666666667</v>
      </c>
      <c r="J17" s="176">
        <f t="shared" si="11"/>
        <v>4096.666666666667</v>
      </c>
      <c r="K17" s="176">
        <f t="shared" si="11"/>
        <v>4096.666666666667</v>
      </c>
      <c r="L17" s="176">
        <f t="shared" si="11"/>
        <v>4096.666666666667</v>
      </c>
      <c r="M17" s="176">
        <f t="shared" si="11"/>
        <v>4096.666666666667</v>
      </c>
      <c r="N17" s="176">
        <f t="shared" si="11"/>
        <v>4096.666666666667</v>
      </c>
      <c r="O17" s="176">
        <f>O18+O19</f>
        <v>49160</v>
      </c>
      <c r="P17" s="176">
        <f t="shared" ref="P17:Q17" si="12">P18+P19</f>
        <v>49160</v>
      </c>
      <c r="Q17" s="176">
        <f t="shared" si="12"/>
        <v>49160</v>
      </c>
      <c r="R17" s="176">
        <f t="shared" ref="R17:S17" si="13">R18+R19</f>
        <v>49160</v>
      </c>
      <c r="S17" s="177">
        <f t="shared" si="13"/>
        <v>49160</v>
      </c>
    </row>
    <row r="18" spans="2:19" ht="14.25" x14ac:dyDescent="0.2">
      <c r="B18" s="179" t="s">
        <v>216</v>
      </c>
      <c r="C18" s="269">
        <f>Costos_Gastos!$C$30</f>
        <v>4080</v>
      </c>
      <c r="D18" s="269">
        <f>Costos_Gastos!$C$30</f>
        <v>4080</v>
      </c>
      <c r="E18" s="269">
        <f>Costos_Gastos!$C$30</f>
        <v>4080</v>
      </c>
      <c r="F18" s="269">
        <f>Costos_Gastos!$C$30</f>
        <v>4080</v>
      </c>
      <c r="G18" s="269">
        <f>Costos_Gastos!$C$30</f>
        <v>4080</v>
      </c>
      <c r="H18" s="269">
        <f>Costos_Gastos!$C$30</f>
        <v>4080</v>
      </c>
      <c r="I18" s="269">
        <f>Costos_Gastos!$C$30</f>
        <v>4080</v>
      </c>
      <c r="J18" s="269">
        <f>Costos_Gastos!$C$30</f>
        <v>4080</v>
      </c>
      <c r="K18" s="269">
        <f>Costos_Gastos!$C$30</f>
        <v>4080</v>
      </c>
      <c r="L18" s="269">
        <f>Costos_Gastos!$C$30</f>
        <v>4080</v>
      </c>
      <c r="M18" s="269">
        <f>Costos_Gastos!$C$30</f>
        <v>4080</v>
      </c>
      <c r="N18" s="269">
        <f>Costos_Gastos!$C$30</f>
        <v>4080</v>
      </c>
      <c r="O18" s="180">
        <f>SUM(C18:N18)</f>
        <v>48960</v>
      </c>
      <c r="P18" s="180">
        <f>O18</f>
        <v>48960</v>
      </c>
      <c r="Q18" s="180">
        <f>P18</f>
        <v>48960</v>
      </c>
      <c r="R18" s="180">
        <f t="shared" ref="R18:S18" si="14">Q18</f>
        <v>48960</v>
      </c>
      <c r="S18" s="181">
        <f t="shared" si="14"/>
        <v>48960</v>
      </c>
    </row>
    <row r="19" spans="2:19" ht="14.25" x14ac:dyDescent="0.2">
      <c r="B19" s="179" t="s">
        <v>129</v>
      </c>
      <c r="C19" s="96">
        <f>$O$19/12</f>
        <v>16.666666666666668</v>
      </c>
      <c r="D19" s="96">
        <f t="shared" ref="D19:N19" si="15">$O$19/12</f>
        <v>16.666666666666668</v>
      </c>
      <c r="E19" s="96">
        <f t="shared" si="15"/>
        <v>16.666666666666668</v>
      </c>
      <c r="F19" s="96">
        <f t="shared" si="15"/>
        <v>16.666666666666668</v>
      </c>
      <c r="G19" s="96">
        <f t="shared" si="15"/>
        <v>16.666666666666668</v>
      </c>
      <c r="H19" s="96">
        <f t="shared" si="15"/>
        <v>16.666666666666668</v>
      </c>
      <c r="I19" s="96">
        <f t="shared" si="15"/>
        <v>16.666666666666668</v>
      </c>
      <c r="J19" s="96">
        <f t="shared" si="15"/>
        <v>16.666666666666668</v>
      </c>
      <c r="K19" s="96">
        <f t="shared" si="15"/>
        <v>16.666666666666668</v>
      </c>
      <c r="L19" s="96">
        <f t="shared" si="15"/>
        <v>16.666666666666668</v>
      </c>
      <c r="M19" s="96">
        <f t="shared" si="15"/>
        <v>16.666666666666668</v>
      </c>
      <c r="N19" s="96">
        <f t="shared" si="15"/>
        <v>16.666666666666668</v>
      </c>
      <c r="O19" s="96">
        <f>+Depreciacion!D15</f>
        <v>200</v>
      </c>
      <c r="P19" s="96">
        <f>+Depreciacion!E15</f>
        <v>200</v>
      </c>
      <c r="Q19" s="96">
        <f>+Depreciacion!F15</f>
        <v>200</v>
      </c>
      <c r="R19" s="96">
        <f>+Depreciacion!G15</f>
        <v>200</v>
      </c>
      <c r="S19" s="138">
        <f>+Depreciacion!H15</f>
        <v>200</v>
      </c>
    </row>
    <row r="20" spans="2:19" ht="15" x14ac:dyDescent="0.25">
      <c r="B20" s="182" t="s">
        <v>62</v>
      </c>
      <c r="C20" s="180">
        <f t="shared" ref="C20:N20" si="16">+C16-C17</f>
        <v>-205.00000000000045</v>
      </c>
      <c r="D20" s="180">
        <f t="shared" si="16"/>
        <v>598.33333333333303</v>
      </c>
      <c r="E20" s="180">
        <f t="shared" si="16"/>
        <v>1000</v>
      </c>
      <c r="F20" s="180">
        <f t="shared" si="16"/>
        <v>1160.6666666666661</v>
      </c>
      <c r="G20" s="180">
        <f t="shared" si="16"/>
        <v>1160.6666666666661</v>
      </c>
      <c r="H20" s="180">
        <f t="shared" si="16"/>
        <v>1160.6666666666661</v>
      </c>
      <c r="I20" s="180">
        <f t="shared" si="16"/>
        <v>1160.6666666666661</v>
      </c>
      <c r="J20" s="180">
        <f t="shared" si="16"/>
        <v>1160.6666666666661</v>
      </c>
      <c r="K20" s="180">
        <f t="shared" si="16"/>
        <v>1160.6666666666661</v>
      </c>
      <c r="L20" s="180">
        <f t="shared" si="16"/>
        <v>1160.6666666666661</v>
      </c>
      <c r="M20" s="180">
        <f t="shared" si="16"/>
        <v>1160.6666666666661</v>
      </c>
      <c r="N20" s="180">
        <f t="shared" si="16"/>
        <v>1160.6666666666661</v>
      </c>
      <c r="O20" s="96">
        <f t="shared" si="9"/>
        <v>11839.333333333327</v>
      </c>
      <c r="P20" s="180">
        <f>+P16-P17</f>
        <v>11839.333333333336</v>
      </c>
      <c r="Q20" s="180">
        <f>+Q16-Q17</f>
        <v>11839.333333333336</v>
      </c>
      <c r="R20" s="180">
        <f t="shared" ref="R20:S20" si="17">+R16-R17</f>
        <v>11839.333333333336</v>
      </c>
      <c r="S20" s="181">
        <f t="shared" si="17"/>
        <v>11839.333333333336</v>
      </c>
    </row>
    <row r="21" spans="2:19" ht="15" thickBot="1" x14ac:dyDescent="0.25">
      <c r="B21" s="255" t="s">
        <v>128</v>
      </c>
      <c r="C21" s="256">
        <v>50</v>
      </c>
      <c r="D21" s="256">
        <v>50</v>
      </c>
      <c r="E21" s="256">
        <v>50</v>
      </c>
      <c r="F21" s="256">
        <v>50</v>
      </c>
      <c r="G21" s="256">
        <v>50</v>
      </c>
      <c r="H21" s="256">
        <v>50</v>
      </c>
      <c r="I21" s="256">
        <v>50</v>
      </c>
      <c r="J21" s="256">
        <v>50</v>
      </c>
      <c r="K21" s="256">
        <v>50</v>
      </c>
      <c r="L21" s="256">
        <v>50</v>
      </c>
      <c r="M21" s="256">
        <v>50</v>
      </c>
      <c r="N21" s="256">
        <v>50</v>
      </c>
      <c r="O21" s="183">
        <f>SUM(C21:N21)</f>
        <v>600</v>
      </c>
      <c r="P21" s="183">
        <f>+$O$21</f>
        <v>600</v>
      </c>
      <c r="Q21" s="183">
        <f>+$O$21</f>
        <v>600</v>
      </c>
      <c r="R21" s="183">
        <f t="shared" ref="R21:S21" si="18">+$O$21</f>
        <v>600</v>
      </c>
      <c r="S21" s="184">
        <f t="shared" si="18"/>
        <v>600</v>
      </c>
    </row>
    <row r="22" spans="2:19" s="16" customFormat="1" ht="15.75" thickBot="1" x14ac:dyDescent="0.3">
      <c r="B22" s="298" t="s">
        <v>4</v>
      </c>
      <c r="C22" s="299">
        <f>+C20-C21</f>
        <v>-255.00000000000045</v>
      </c>
      <c r="D22" s="299">
        <f t="shared" ref="D22:Q22" si="19">+D20-D21</f>
        <v>548.33333333333303</v>
      </c>
      <c r="E22" s="299">
        <f t="shared" si="19"/>
        <v>950</v>
      </c>
      <c r="F22" s="299">
        <f t="shared" si="19"/>
        <v>1110.6666666666661</v>
      </c>
      <c r="G22" s="299">
        <f t="shared" si="19"/>
        <v>1110.6666666666661</v>
      </c>
      <c r="H22" s="299">
        <f t="shared" si="19"/>
        <v>1110.6666666666661</v>
      </c>
      <c r="I22" s="299">
        <f t="shared" si="19"/>
        <v>1110.6666666666661</v>
      </c>
      <c r="J22" s="299">
        <f t="shared" si="19"/>
        <v>1110.6666666666661</v>
      </c>
      <c r="K22" s="299">
        <f t="shared" si="19"/>
        <v>1110.6666666666661</v>
      </c>
      <c r="L22" s="299">
        <f t="shared" si="19"/>
        <v>1110.6666666666661</v>
      </c>
      <c r="M22" s="299">
        <f t="shared" si="19"/>
        <v>1110.6666666666661</v>
      </c>
      <c r="N22" s="299">
        <f t="shared" si="19"/>
        <v>1110.6666666666661</v>
      </c>
      <c r="O22" s="299">
        <f>SUM(C22:N22)</f>
        <v>11239.333333333327</v>
      </c>
      <c r="P22" s="299">
        <f t="shared" si="19"/>
        <v>11239.333333333336</v>
      </c>
      <c r="Q22" s="300">
        <f t="shared" si="19"/>
        <v>11239.333333333336</v>
      </c>
      <c r="R22" s="300">
        <f t="shared" ref="R22:S22" si="20">+R20-R21</f>
        <v>11239.333333333336</v>
      </c>
      <c r="S22" s="300">
        <f t="shared" si="20"/>
        <v>11239.333333333336</v>
      </c>
    </row>
    <row r="23" spans="2:19" x14ac:dyDescent="0.2">
      <c r="B23" s="347"/>
      <c r="C23" s="347"/>
      <c r="D23" s="58"/>
      <c r="E23" s="58"/>
      <c r="F23" s="58"/>
      <c r="G23" s="58"/>
      <c r="H23" s="58"/>
      <c r="I23" s="58"/>
      <c r="J23" s="58"/>
      <c r="K23" s="17"/>
      <c r="L23" s="17"/>
      <c r="M23" s="17"/>
      <c r="N23" s="17"/>
      <c r="O23" s="17"/>
      <c r="P23" s="17"/>
      <c r="Q23" s="17"/>
    </row>
    <row r="24" spans="2:19" x14ac:dyDescent="0.2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2:19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2:19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</sheetData>
  <mergeCells count="10">
    <mergeCell ref="R8:R10"/>
    <mergeCell ref="S8:S10"/>
    <mergeCell ref="B23:C23"/>
    <mergeCell ref="B4:G4"/>
    <mergeCell ref="B8:B10"/>
    <mergeCell ref="P8:P10"/>
    <mergeCell ref="Q8:Q10"/>
    <mergeCell ref="O8:O10"/>
    <mergeCell ref="C8:N9"/>
    <mergeCell ref="B5:N5"/>
  </mergeCells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Resumen</vt:lpstr>
      <vt:lpstr>Ingresos</vt:lpstr>
      <vt:lpstr>Inversion</vt:lpstr>
      <vt:lpstr>Depreciacion</vt:lpstr>
      <vt:lpstr>Planilla</vt:lpstr>
      <vt:lpstr>Costos_Gastos</vt:lpstr>
      <vt:lpstr>Capital_Trabajo</vt:lpstr>
      <vt:lpstr>Punto_de_Equilibrio</vt:lpstr>
      <vt:lpstr>Estado_Resultados</vt:lpstr>
      <vt:lpstr>Servicio_Deuda</vt:lpstr>
      <vt:lpstr>Costos-Capital</vt:lpstr>
      <vt:lpstr>Flujos_de_Caja</vt:lpstr>
      <vt:lpstr>Estado_Resultados!Área_de_impresión</vt:lpstr>
    </vt:vector>
  </TitlesOfParts>
  <Company>BCEOM / OIST ASOCIADOS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BCEOM / OIST</dc:creator>
  <cp:lastModifiedBy>Usuario</cp:lastModifiedBy>
  <cp:lastPrinted>2002-11-18T13:16:30Z</cp:lastPrinted>
  <dcterms:created xsi:type="dcterms:W3CDTF">2000-08-18T13:31:59Z</dcterms:created>
  <dcterms:modified xsi:type="dcterms:W3CDTF">2021-06-14T21:23:43Z</dcterms:modified>
</cp:coreProperties>
</file>