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S APLICATIVOS POSGRADO\CENTRO DE FORMACIÓN\"/>
    </mc:Choice>
  </mc:AlternateContent>
  <xr:revisionPtr revIDLastSave="0" documentId="13_ncr:1_{2E788707-AADD-45C9-BDE8-A5E4E44B453D}" xr6:coauthVersionLast="46" xr6:coauthVersionMax="46" xr10:uidLastSave="{00000000-0000-0000-0000-000000000000}"/>
  <bookViews>
    <workbookView xWindow="-120" yWindow="-120" windowWidth="20730" windowHeight="11160" tabRatio="876" firstSheet="10" activeTab="18" xr2:uid="{00000000-000D-0000-FFFF-FFFF00000000}"/>
  </bookViews>
  <sheets>
    <sheet name="Resumen" sheetId="1" r:id="rId1"/>
    <sheet name="Sensibilidad" sheetId="20" r:id="rId2"/>
    <sheet name="Resumen del escenario" sheetId="19" r:id="rId3"/>
    <sheet name="Ventas_Unidades" sheetId="2" r:id="rId4"/>
    <sheet name="Proyeccion_Ventas" sheetId="3" r:id="rId5"/>
    <sheet name="Inversión_Inicial" sheetId="4" r:id="rId6"/>
    <sheet name="Depreciación_VR" sheetId="5" r:id="rId7"/>
    <sheet name="Costos_Producción" sheetId="7" r:id="rId8"/>
    <sheet name="KW_Año 1" sheetId="6" r:id="rId9"/>
    <sheet name="Sueldos" sheetId="8" r:id="rId10"/>
    <sheet name="Gastos_Operativos" sheetId="12" r:id="rId11"/>
    <sheet name="Costos_Unitarios" sheetId="9" r:id="rId12"/>
    <sheet name="Punto de equilibrio" sheetId="10" r:id="rId13"/>
    <sheet name="Flujo_Deuda" sheetId="11" r:id="rId14"/>
    <sheet name="Estado de Resultados" sheetId="13" r:id="rId15"/>
    <sheet name="Ku" sheetId="14" r:id="rId16"/>
    <sheet name="Ke y Kwacc" sheetId="15" r:id="rId17"/>
    <sheet name="Flujos de Caja" sheetId="17" r:id="rId18"/>
    <sheet name="Rentabilidad" sheetId="18" r:id="rId19"/>
  </sheets>
  <externalReferences>
    <externalReference r:id="rId20"/>
    <externalReference r:id="rId21"/>
  </externalReferences>
  <definedNames>
    <definedName name="_Hlk37002392" localSheetId="16">'Ke y Kwacc'!$B$15</definedName>
    <definedName name="_Hlk38462990" localSheetId="16">'Ke y Kwacc'!$G$14</definedName>
    <definedName name="MANO_DE_OBRA_M">[1]Resumen!$H$13</definedName>
    <definedName name="PRECIO_DE_VENTA_M">[1]Resumen!$H$12</definedName>
  </definedNames>
  <calcPr calcId="191029"/>
</workbook>
</file>

<file path=xl/calcChain.xml><?xml version="1.0" encoding="utf-8"?>
<calcChain xmlns="http://schemas.openxmlformats.org/spreadsheetml/2006/main">
  <c r="D18" i="18" l="1"/>
  <c r="D17" i="18"/>
  <c r="D16" i="18"/>
  <c r="H13" i="15"/>
  <c r="H9" i="15"/>
  <c r="H7" i="15"/>
  <c r="E47" i="4"/>
  <c r="D46" i="4"/>
  <c r="D45" i="4"/>
  <c r="C12" i="15"/>
  <c r="C22" i="15"/>
  <c r="C20" i="15"/>
  <c r="E46" i="4"/>
  <c r="E45" i="4"/>
  <c r="C18" i="15"/>
  <c r="D4" i="11"/>
  <c r="D5" i="11" s="1"/>
  <c r="D7" i="11"/>
  <c r="F48" i="4" l="1"/>
  <c r="D3" i="11"/>
  <c r="D18" i="17" s="1"/>
  <c r="E18" i="17" s="1"/>
  <c r="F18" i="17" s="1"/>
  <c r="C19" i="15"/>
  <c r="D8" i="11"/>
  <c r="C13" i="11" l="1"/>
  <c r="D10" i="11"/>
  <c r="F17" i="11" s="1"/>
  <c r="D28" i="11"/>
  <c r="F18" i="11" l="1"/>
  <c r="F22" i="11"/>
  <c r="F15" i="11"/>
  <c r="F23" i="11"/>
  <c r="F19" i="11"/>
  <c r="F24" i="11"/>
  <c r="F16" i="11"/>
  <c r="F25" i="11"/>
  <c r="F14" i="11"/>
  <c r="F21" i="11"/>
  <c r="F20" i="11"/>
  <c r="D2" i="18"/>
  <c r="E14" i="11"/>
  <c r="E14" i="13"/>
  <c r="F14" i="13"/>
  <c r="D14" i="13"/>
  <c r="E13" i="13"/>
  <c r="F13" i="13"/>
  <c r="D13" i="13"/>
  <c r="E12" i="13"/>
  <c r="F12" i="13"/>
  <c r="D12" i="13"/>
  <c r="D21" i="12"/>
  <c r="E21" i="12"/>
  <c r="C21" i="12"/>
  <c r="D20" i="12"/>
  <c r="E20" i="12"/>
  <c r="C20" i="12"/>
  <c r="D19" i="12"/>
  <c r="E19" i="12"/>
  <c r="C19" i="12"/>
  <c r="D18" i="12"/>
  <c r="E18" i="12"/>
  <c r="C18" i="12"/>
  <c r="E9" i="13"/>
  <c r="F9" i="13"/>
  <c r="D9" i="13"/>
  <c r="E8" i="13"/>
  <c r="F8" i="13"/>
  <c r="D8" i="13"/>
  <c r="F6" i="13"/>
  <c r="E6" i="13"/>
  <c r="D6" i="13"/>
  <c r="G10" i="17"/>
  <c r="E14" i="9"/>
  <c r="C7" i="9"/>
  <c r="C5" i="12"/>
  <c r="F6" i="12"/>
  <c r="C13" i="9"/>
  <c r="C12" i="9"/>
  <c r="C11" i="9"/>
  <c r="D29" i="7"/>
  <c r="E29" i="7"/>
  <c r="C29" i="7"/>
  <c r="C28" i="7"/>
  <c r="D28" i="7"/>
  <c r="E28" i="7"/>
  <c r="D27" i="7"/>
  <c r="E27" i="7"/>
  <c r="C27" i="7"/>
  <c r="D26" i="7"/>
  <c r="E26" i="7"/>
  <c r="C26" i="7"/>
  <c r="D25" i="7"/>
  <c r="E25" i="7"/>
  <c r="C25" i="7"/>
  <c r="C35" i="4"/>
  <c r="D15" i="7"/>
  <c r="E15" i="17"/>
  <c r="E17" i="13"/>
  <c r="F15" i="17" s="1"/>
  <c r="F17" i="13"/>
  <c r="G15" i="17" s="1"/>
  <c r="D17" i="13"/>
  <c r="E9" i="6"/>
  <c r="F9" i="6"/>
  <c r="G9" i="6"/>
  <c r="H9" i="6"/>
  <c r="I9" i="6"/>
  <c r="J9" i="6"/>
  <c r="K9" i="6"/>
  <c r="L9" i="6"/>
  <c r="M9" i="6"/>
  <c r="N9" i="6"/>
  <c r="O9" i="6"/>
  <c r="D9" i="6"/>
  <c r="E21" i="3"/>
  <c r="F21" i="3"/>
  <c r="G21" i="3"/>
  <c r="H21" i="3"/>
  <c r="I21" i="3"/>
  <c r="J21" i="3"/>
  <c r="K21" i="3"/>
  <c r="L21" i="3"/>
  <c r="M21" i="3"/>
  <c r="N21" i="3"/>
  <c r="O21" i="3"/>
  <c r="E22" i="3"/>
  <c r="F22" i="3"/>
  <c r="G22" i="3"/>
  <c r="H22" i="3"/>
  <c r="I22" i="3"/>
  <c r="J22" i="3"/>
  <c r="K22" i="3"/>
  <c r="L22" i="3"/>
  <c r="M22" i="3"/>
  <c r="N22" i="3"/>
  <c r="O22" i="3"/>
  <c r="E23" i="3"/>
  <c r="F23" i="3"/>
  <c r="G23" i="3"/>
  <c r="H23" i="3"/>
  <c r="I23" i="3"/>
  <c r="J23" i="3"/>
  <c r="K23" i="3"/>
  <c r="L23" i="3"/>
  <c r="M23" i="3"/>
  <c r="N23" i="3"/>
  <c r="O23" i="3"/>
  <c r="D22" i="3"/>
  <c r="P22" i="3" s="1"/>
  <c r="D23" i="3"/>
  <c r="P23" i="3" s="1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C17" i="2"/>
  <c r="C18" i="2"/>
  <c r="C16" i="2"/>
  <c r="D21" i="3"/>
  <c r="C22" i="3"/>
  <c r="C23" i="3"/>
  <c r="C21" i="3"/>
  <c r="D14" i="7"/>
  <c r="F14" i="7" s="1"/>
  <c r="C36" i="4"/>
  <c r="F36" i="4" s="1"/>
  <c r="F15" i="7"/>
  <c r="C17" i="3"/>
  <c r="C16" i="3"/>
  <c r="C15" i="3"/>
  <c r="G6" i="8"/>
  <c r="F29" i="11" l="1"/>
  <c r="F30" i="11" s="1"/>
  <c r="F31" i="11" s="1"/>
  <c r="D14" i="11"/>
  <c r="O17" i="2"/>
  <c r="O18" i="2"/>
  <c r="O16" i="2"/>
  <c r="P21" i="3"/>
  <c r="F13" i="7"/>
  <c r="C14" i="11" l="1"/>
  <c r="E15" i="11" s="1"/>
  <c r="D20" i="7"/>
  <c r="E11" i="17"/>
  <c r="F11" i="17"/>
  <c r="D15" i="3"/>
  <c r="H5" i="8" l="1"/>
  <c r="H7" i="8" s="1"/>
  <c r="D15" i="11" l="1"/>
  <c r="H10" i="15"/>
  <c r="C12" i="14"/>
  <c r="C10" i="15"/>
  <c r="C15" i="11" l="1"/>
  <c r="E16" i="11" s="1"/>
  <c r="D4" i="18"/>
  <c r="D16" i="11" l="1"/>
  <c r="D3" i="18"/>
  <c r="D6" i="18" s="1"/>
  <c r="C22" i="13"/>
  <c r="C16" i="11" l="1"/>
  <c r="E17" i="11" s="1"/>
  <c r="H11" i="15"/>
  <c r="F13" i="12"/>
  <c r="F12" i="12"/>
  <c r="F10" i="12"/>
  <c r="F9" i="12"/>
  <c r="F8" i="12"/>
  <c r="F7" i="12"/>
  <c r="F5" i="12"/>
  <c r="K12" i="8"/>
  <c r="D5" i="8"/>
  <c r="G5" i="8" s="1"/>
  <c r="I5" i="8" s="1"/>
  <c r="I7" i="8" s="1"/>
  <c r="F20" i="7"/>
  <c r="F19" i="7"/>
  <c r="F18" i="7"/>
  <c r="F17" i="7"/>
  <c r="F12" i="7"/>
  <c r="F11" i="7"/>
  <c r="F10" i="7"/>
  <c r="F9" i="7"/>
  <c r="F8" i="7"/>
  <c r="F7" i="7"/>
  <c r="E6" i="5"/>
  <c r="E5" i="5"/>
  <c r="F41" i="4"/>
  <c r="F40" i="4"/>
  <c r="F39" i="4"/>
  <c r="F38" i="4"/>
  <c r="F35" i="4"/>
  <c r="F33" i="4"/>
  <c r="F32" i="4"/>
  <c r="F31" i="4"/>
  <c r="F30" i="4"/>
  <c r="F29" i="4"/>
  <c r="F28" i="4"/>
  <c r="F24" i="4"/>
  <c r="F23" i="4"/>
  <c r="F22" i="4"/>
  <c r="F21" i="4"/>
  <c r="F20" i="4"/>
  <c r="F17" i="4"/>
  <c r="F16" i="4"/>
  <c r="F15" i="4"/>
  <c r="F14" i="4"/>
  <c r="F13" i="4"/>
  <c r="F11" i="4"/>
  <c r="F10" i="4"/>
  <c r="F9" i="4"/>
  <c r="F8" i="4"/>
  <c r="F7" i="4"/>
  <c r="O17" i="3"/>
  <c r="N17" i="3"/>
  <c r="M17" i="3"/>
  <c r="L17" i="3"/>
  <c r="K17" i="3"/>
  <c r="J17" i="3"/>
  <c r="I17" i="3"/>
  <c r="H17" i="3"/>
  <c r="G17" i="3"/>
  <c r="F17" i="3"/>
  <c r="E17" i="3"/>
  <c r="D17" i="3"/>
  <c r="O16" i="3"/>
  <c r="N16" i="3"/>
  <c r="M16" i="3"/>
  <c r="L16" i="3"/>
  <c r="K16" i="3"/>
  <c r="J16" i="3"/>
  <c r="I16" i="3"/>
  <c r="H16" i="3"/>
  <c r="G16" i="3"/>
  <c r="F16" i="3"/>
  <c r="E16" i="3"/>
  <c r="D16" i="3"/>
  <c r="O15" i="3"/>
  <c r="N15" i="3"/>
  <c r="M15" i="3"/>
  <c r="L15" i="3"/>
  <c r="K15" i="3"/>
  <c r="J15" i="3"/>
  <c r="I15" i="3"/>
  <c r="H15" i="3"/>
  <c r="G15" i="3"/>
  <c r="F15" i="3"/>
  <c r="E15" i="3"/>
  <c r="O9" i="2"/>
  <c r="O8" i="2"/>
  <c r="O7" i="2"/>
  <c r="D17" i="11" l="1"/>
  <c r="F11" i="12"/>
  <c r="C8" i="15"/>
  <c r="H8" i="15" s="1"/>
  <c r="F6" i="7"/>
  <c r="F16" i="7"/>
  <c r="F21" i="7" s="1"/>
  <c r="F34" i="4"/>
  <c r="F27" i="4"/>
  <c r="F37" i="4"/>
  <c r="F25" i="4"/>
  <c r="F6" i="4"/>
  <c r="F12" i="4"/>
  <c r="C6" i="5" s="1"/>
  <c r="F6" i="5" s="1"/>
  <c r="G6" i="5" s="1"/>
  <c r="H6" i="5" s="1"/>
  <c r="F4" i="12"/>
  <c r="D21" i="17"/>
  <c r="P17" i="3"/>
  <c r="G12" i="17" s="1"/>
  <c r="P16" i="3"/>
  <c r="F12" i="17" s="1"/>
  <c r="P15" i="3"/>
  <c r="E12" i="17" s="1"/>
  <c r="C8" i="9"/>
  <c r="C17" i="11" l="1"/>
  <c r="E18" i="11" s="1"/>
  <c r="F42" i="4"/>
  <c r="D7" i="17"/>
  <c r="F18" i="4"/>
  <c r="F4" i="4" s="1"/>
  <c r="C5" i="5"/>
  <c r="F5" i="5" s="1"/>
  <c r="F7" i="5" s="1"/>
  <c r="D8" i="17"/>
  <c r="G9" i="17" s="1"/>
  <c r="G11" i="17" s="1"/>
  <c r="C14" i="9"/>
  <c r="C18" i="9" s="1"/>
  <c r="C5" i="9"/>
  <c r="F14" i="12"/>
  <c r="D12" i="6" s="1"/>
  <c r="D6" i="17" l="1"/>
  <c r="D11" i="17" s="1"/>
  <c r="D17" i="17" s="1"/>
  <c r="C7" i="5"/>
  <c r="G5" i="5"/>
  <c r="H5" i="5" s="1"/>
  <c r="H7" i="5" s="1"/>
  <c r="F43" i="4"/>
  <c r="D10" i="6"/>
  <c r="M10" i="6"/>
  <c r="M11" i="6" s="1"/>
  <c r="O10" i="6"/>
  <c r="O11" i="6" s="1"/>
  <c r="K10" i="6"/>
  <c r="K11" i="6" s="1"/>
  <c r="H10" i="6"/>
  <c r="H11" i="6" s="1"/>
  <c r="G10" i="6"/>
  <c r="G11" i="6" s="1"/>
  <c r="C5" i="10"/>
  <c r="C6" i="10" s="1"/>
  <c r="N10" i="6"/>
  <c r="N11" i="6" s="1"/>
  <c r="E10" i="6"/>
  <c r="E11" i="6" s="1"/>
  <c r="L10" i="6"/>
  <c r="L11" i="6" s="1"/>
  <c r="I10" i="6"/>
  <c r="I11" i="6" s="1"/>
  <c r="F10" i="6"/>
  <c r="F11" i="6" s="1"/>
  <c r="J10" i="6"/>
  <c r="J11" i="6" s="1"/>
  <c r="F14" i="17"/>
  <c r="G14" i="17"/>
  <c r="E14" i="17"/>
  <c r="C6" i="9"/>
  <c r="C9" i="9" s="1"/>
  <c r="N12" i="6"/>
  <c r="F12" i="6"/>
  <c r="J12" i="6"/>
  <c r="H12" i="6"/>
  <c r="M12" i="6"/>
  <c r="E12" i="6"/>
  <c r="L12" i="6"/>
  <c r="O12" i="6"/>
  <c r="K12" i="6"/>
  <c r="G12" i="6"/>
  <c r="I12" i="6"/>
  <c r="D18" i="11" l="1"/>
  <c r="C17" i="9"/>
  <c r="C19" i="9" s="1"/>
  <c r="C15" i="9"/>
  <c r="O13" i="6"/>
  <c r="O15" i="6" s="1"/>
  <c r="G13" i="6"/>
  <c r="E13" i="6"/>
  <c r="E10" i="13"/>
  <c r="D11" i="6"/>
  <c r="K13" i="6"/>
  <c r="M13" i="6"/>
  <c r="F13" i="6"/>
  <c r="N13" i="6"/>
  <c r="H13" i="6"/>
  <c r="F10" i="13"/>
  <c r="E13" i="17"/>
  <c r="G13" i="17"/>
  <c r="D10" i="13"/>
  <c r="F13" i="17"/>
  <c r="I13" i="6"/>
  <c r="L13" i="6"/>
  <c r="J13" i="6"/>
  <c r="D22" i="17"/>
  <c r="C3" i="10"/>
  <c r="C18" i="11" l="1"/>
  <c r="E19" i="11" s="1"/>
  <c r="C7" i="10"/>
  <c r="C8" i="10" s="1"/>
  <c r="D13" i="6"/>
  <c r="C14" i="6" s="1"/>
  <c r="D14" i="6" s="1"/>
  <c r="D19" i="11" l="1"/>
  <c r="C19" i="11" s="1"/>
  <c r="E20" i="11" s="1"/>
  <c r="F16" i="17"/>
  <c r="F17" i="17" s="1"/>
  <c r="D15" i="6"/>
  <c r="E14" i="6" s="1"/>
  <c r="E15" i="6" s="1"/>
  <c r="F14" i="6" s="1"/>
  <c r="F15" i="6" s="1"/>
  <c r="G14" i="6" s="1"/>
  <c r="G15" i="6" s="1"/>
  <c r="H14" i="6" s="1"/>
  <c r="H15" i="6" s="1"/>
  <c r="I14" i="6" s="1"/>
  <c r="I15" i="6" s="1"/>
  <c r="J14" i="6" s="1"/>
  <c r="J15" i="6" s="1"/>
  <c r="K14" i="6" s="1"/>
  <c r="K15" i="6" s="1"/>
  <c r="L14" i="6" s="1"/>
  <c r="L15" i="6" s="1"/>
  <c r="M14" i="6" s="1"/>
  <c r="M15" i="6" s="1"/>
  <c r="N14" i="6" s="1"/>
  <c r="N15" i="6" s="1"/>
  <c r="E16" i="17"/>
  <c r="G16" i="17"/>
  <c r="G17" i="17" s="1"/>
  <c r="D20" i="11" l="1"/>
  <c r="P14" i="6"/>
  <c r="E17" i="17"/>
  <c r="D20" i="18" s="1"/>
  <c r="C20" i="11" l="1"/>
  <c r="E21" i="11" s="1"/>
  <c r="D10" i="18"/>
  <c r="C14" i="1" s="1"/>
  <c r="D8" i="18"/>
  <c r="D21" i="11" l="1"/>
  <c r="J8" i="20"/>
  <c r="J13" i="19"/>
  <c r="C13" i="1"/>
  <c r="C21" i="11" l="1"/>
  <c r="E22" i="11" s="1"/>
  <c r="J6" i="20"/>
  <c r="J11" i="19"/>
  <c r="D22" i="11" l="1"/>
  <c r="C22" i="11" l="1"/>
  <c r="E23" i="11" s="1"/>
  <c r="D23" i="11" l="1"/>
  <c r="C23" i="11" l="1"/>
  <c r="E24" i="11" s="1"/>
  <c r="D24" i="11" l="1"/>
  <c r="C24" i="11" l="1"/>
  <c r="E25" i="11" s="1"/>
  <c r="E29" i="11" s="1"/>
  <c r="D15" i="13" s="1"/>
  <c r="E30" i="11" l="1"/>
  <c r="E20" i="17"/>
  <c r="D16" i="13"/>
  <c r="D18" i="13" s="1"/>
  <c r="D25" i="11"/>
  <c r="D29" i="11" s="1"/>
  <c r="E19" i="17" s="1"/>
  <c r="E21" i="17" l="1"/>
  <c r="E31" i="11"/>
  <c r="E15" i="13"/>
  <c r="D30" i="11"/>
  <c r="C25" i="11"/>
  <c r="F15" i="13" l="1"/>
  <c r="F16" i="13" s="1"/>
  <c r="F18" i="13" s="1"/>
  <c r="G20" i="17"/>
  <c r="D31" i="11"/>
  <c r="G19" i="17" s="1"/>
  <c r="F19" i="17"/>
  <c r="E22" i="17"/>
  <c r="G21" i="17" l="1"/>
  <c r="G22" i="17" s="1"/>
  <c r="E13" i="1"/>
  <c r="L6" i="20" l="1"/>
  <c r="L11" i="19"/>
  <c r="F20" i="17" l="1"/>
  <c r="E16" i="13" l="1"/>
  <c r="E18" i="13" s="1"/>
  <c r="F21" i="17" l="1"/>
  <c r="F22" i="17" s="1"/>
  <c r="D22" i="18" s="1"/>
  <c r="E14" i="1" s="1"/>
  <c r="L8" i="20" l="1"/>
  <c r="L13" i="19"/>
</calcChain>
</file>

<file path=xl/sharedStrings.xml><?xml version="1.0" encoding="utf-8"?>
<sst xmlns="http://schemas.openxmlformats.org/spreadsheetml/2006/main" count="466" uniqueCount="314">
  <si>
    <t>MODELO FINANCIERO</t>
  </si>
  <si>
    <t>COK</t>
  </si>
  <si>
    <t>nominal anual</t>
  </si>
  <si>
    <t>Inflacion</t>
  </si>
  <si>
    <t>anual</t>
  </si>
  <si>
    <t>EVALUACION ECONOMICA</t>
  </si>
  <si>
    <t>Horizonte Ev.</t>
  </si>
  <si>
    <t>años</t>
  </si>
  <si>
    <t>Y FINANCIERA DE INVERSIONES</t>
  </si>
  <si>
    <t>TEA</t>
  </si>
  <si>
    <t>VANE</t>
  </si>
  <si>
    <t>VANF</t>
  </si>
  <si>
    <t>por estudiante</t>
  </si>
  <si>
    <t>TIRE</t>
  </si>
  <si>
    <t>TIRF</t>
  </si>
  <si>
    <t>Proyeccion de ventas en unidades</t>
  </si>
  <si>
    <t>Año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</si>
  <si>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</si>
  <si>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</si>
  <si>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</si>
  <si>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</si>
  <si>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</si>
  <si>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</si>
  <si>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</si>
  <si>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</si>
  <si>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</si>
  <si>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</si>
  <si>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</si>
  <si>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</si>
  <si>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</si>
  <si>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CUADRO N° 02</t>
  </si>
  <si>
    <t>Proyeccion de ventas en nuevos soles</t>
  </si>
  <si>
    <t>Valor Unitario</t>
  </si>
  <si>
    <t>PRESUPUESTO DE INVERSION INICIAL EN NUEVOS SOLES - INSTITUTO DE CAPACITACION</t>
  </si>
  <si>
    <t>RUBRO</t>
  </si>
  <si>
    <t>VALOR UNITARIO</t>
  </si>
  <si>
    <t>UNIDAD REQUERIDA</t>
  </si>
  <si>
    <t>UNIDAD DE MEDIDA</t>
  </si>
  <si>
    <t>COSTO TOTAL</t>
  </si>
  <si>
    <t>I.- INVERSION FIJA</t>
  </si>
  <si>
    <t>1.1.  ACTIVO FIJO TANGIBLE</t>
  </si>
  <si>
    <t>laptop</t>
  </si>
  <si>
    <t>Unidad</t>
  </si>
  <si>
    <t xml:space="preserve">proyector </t>
  </si>
  <si>
    <t>televisor plasma</t>
  </si>
  <si>
    <t xml:space="preserve">impresora </t>
  </si>
  <si>
    <t xml:space="preserve">camaras filmadoras </t>
  </si>
  <si>
    <t>Muebles y enseres</t>
  </si>
  <si>
    <t xml:space="preserve">carpetas personales </t>
  </si>
  <si>
    <t>escritorio</t>
  </si>
  <si>
    <t xml:space="preserve">pizarra acrilica </t>
  </si>
  <si>
    <t xml:space="preserve">herramientas y utensilios </t>
  </si>
  <si>
    <t>libreros</t>
  </si>
  <si>
    <t>TOTAL ACTIVO FIJO TANGIBLE</t>
  </si>
  <si>
    <t>1.2. INVERSION INTANGIBLE</t>
  </si>
  <si>
    <t xml:space="preserve">Licencia de Funcionamiento </t>
  </si>
  <si>
    <t>Documento</t>
  </si>
  <si>
    <t>inspeccion de defensa civil</t>
  </si>
  <si>
    <t xml:space="preserve">certificacion </t>
  </si>
  <si>
    <t xml:space="preserve">capaciataciones </t>
  </si>
  <si>
    <t>Gastos de constitución y formalizacion</t>
  </si>
  <si>
    <t>TOTAL INVERSION FIJA INTANGIBLE</t>
  </si>
  <si>
    <t>Materia Prima</t>
  </si>
  <si>
    <t>papel bond</t>
  </si>
  <si>
    <t xml:space="preserve">una Caja </t>
  </si>
  <si>
    <t>lapiceros</t>
  </si>
  <si>
    <t xml:space="preserve">media docena </t>
  </si>
  <si>
    <t>pocit</t>
  </si>
  <si>
    <t>un paquete</t>
  </si>
  <si>
    <t>tinta de impresora</t>
  </si>
  <si>
    <t xml:space="preserve">unidad </t>
  </si>
  <si>
    <t>archivadores</t>
  </si>
  <si>
    <t>unidad</t>
  </si>
  <si>
    <t xml:space="preserve">plumones acrilicos </t>
  </si>
  <si>
    <t>Mano de obra</t>
  </si>
  <si>
    <t>personal</t>
  </si>
  <si>
    <t xml:space="preserve">capacitadores </t>
  </si>
  <si>
    <t>Gastos indirectos</t>
  </si>
  <si>
    <t>agua</t>
  </si>
  <si>
    <t>recibo</t>
  </si>
  <si>
    <t>internet</t>
  </si>
  <si>
    <t>luz</t>
  </si>
  <si>
    <t xml:space="preserve">alquiler de local </t>
  </si>
  <si>
    <t>TOTAL CAPITAL DE TRABAJO</t>
  </si>
  <si>
    <t>TOTAL INVERSION INICIAL</t>
  </si>
  <si>
    <t>CALCULO DE DEPRECIACION Y VALOR DE RECUPERO</t>
  </si>
  <si>
    <t>ACTIVO FIJO</t>
  </si>
  <si>
    <t>Valor de compra</t>
  </si>
  <si>
    <t>Vida útil (años)</t>
  </si>
  <si>
    <t>Tasa de Deprec.</t>
  </si>
  <si>
    <t>Depreciación anual</t>
  </si>
  <si>
    <t>Depreciación acumulada</t>
  </si>
  <si>
    <t>Valor de Recupero</t>
  </si>
  <si>
    <t>Maquinaria y Equipo</t>
  </si>
  <si>
    <t>Total</t>
  </si>
  <si>
    <t>VARIACION DE CAPITAL DE TRABAJO AÑO 1</t>
  </si>
  <si>
    <t>MES</t>
  </si>
  <si>
    <t>Unidades</t>
  </si>
  <si>
    <t>CV Unitario</t>
  </si>
  <si>
    <t>CV Total</t>
  </si>
  <si>
    <t>GF Total</t>
  </si>
  <si>
    <t>KW Total</t>
  </si>
  <si>
    <t>Variacion KW</t>
  </si>
  <si>
    <t>COSTOS DE PRODUCCIÓN (30 MATRICULADOS)</t>
  </si>
  <si>
    <t>Unidad de Medida</t>
  </si>
  <si>
    <t>Unidad Requerida</t>
  </si>
  <si>
    <t>Materia Prima Directa</t>
  </si>
  <si>
    <t>caja</t>
  </si>
  <si>
    <t>plumones acrilicos</t>
  </si>
  <si>
    <t>Mano de obra Directa</t>
  </si>
  <si>
    <t>Costos Indirectos de Fabricación</t>
  </si>
  <si>
    <t>alquiler de local</t>
  </si>
  <si>
    <t>REGIMEN LABORAL MICRO EMPRESA</t>
  </si>
  <si>
    <t>Cargo</t>
  </si>
  <si>
    <t>Básico mes</t>
  </si>
  <si>
    <t>Anual</t>
  </si>
  <si>
    <t>Gratificación(*)</t>
  </si>
  <si>
    <t>CTS (**)</t>
  </si>
  <si>
    <t>Sub Total</t>
  </si>
  <si>
    <t>CIS (***)</t>
  </si>
  <si>
    <t>administrador</t>
  </si>
  <si>
    <t xml:space="preserve">secretaria </t>
  </si>
  <si>
    <t>(*) No tiene gratificaciones</t>
  </si>
  <si>
    <t>(**) No tiene CTS</t>
  </si>
  <si>
    <t>(***) 15 soles mensuales por trabajador</t>
  </si>
  <si>
    <t>UIT</t>
  </si>
  <si>
    <t>Micro empresa</t>
  </si>
  <si>
    <t xml:space="preserve">Costo fijo </t>
  </si>
  <si>
    <t>soles</t>
  </si>
  <si>
    <t>Gastos administrativos</t>
  </si>
  <si>
    <t>Depreciación activo fijo</t>
  </si>
  <si>
    <t>Amortización de intangibles</t>
  </si>
  <si>
    <t>Gastos de ventas</t>
  </si>
  <si>
    <t>Total Costo Fijo</t>
  </si>
  <si>
    <t>Costo variable</t>
  </si>
  <si>
    <t>Materia prima e insumos</t>
  </si>
  <si>
    <t xml:space="preserve">Costos indirectos </t>
  </si>
  <si>
    <t>Total Costo Variable</t>
  </si>
  <si>
    <t>Nº de MATRICULADOS</t>
  </si>
  <si>
    <t>Costo fijo unitario (100% )</t>
  </si>
  <si>
    <t>Costo variable unitario</t>
  </si>
  <si>
    <t>Costo total unitario</t>
  </si>
  <si>
    <t>Punto de equilibrio contable</t>
  </si>
  <si>
    <t>Costo fijo total</t>
  </si>
  <si>
    <t>Precio de venta</t>
  </si>
  <si>
    <t>cantidad de equil = cf /precio de venta - CVUnit</t>
  </si>
  <si>
    <t>Margen de contribución</t>
  </si>
  <si>
    <t>Punto de equilibrio</t>
  </si>
  <si>
    <t>soles/mes</t>
  </si>
  <si>
    <t xml:space="preserve">COSTOS OPERATIVOS MENSUALES EN NUEVOS SOLES </t>
  </si>
  <si>
    <t>Gastos Administrativos</t>
  </si>
  <si>
    <t>Persona</t>
  </si>
  <si>
    <t>CIS</t>
  </si>
  <si>
    <t>Global</t>
  </si>
  <si>
    <t>Utiles de oficina</t>
  </si>
  <si>
    <t>tripticos</t>
  </si>
  <si>
    <t>Ciento</t>
  </si>
  <si>
    <t>Llaveros</t>
  </si>
  <si>
    <t>TOTAL COSTOS OPERATIVOS</t>
  </si>
  <si>
    <t>ESTADO DE RESULTADOS ECONOMICO</t>
  </si>
  <si>
    <t>Año 1</t>
  </si>
  <si>
    <t>Año 2</t>
  </si>
  <si>
    <t>Año 3</t>
  </si>
  <si>
    <t>Ventas netas</t>
  </si>
  <si>
    <t>Costo de ventas</t>
  </si>
  <si>
    <t>Costos de produccion</t>
  </si>
  <si>
    <t>Depreciacion Activo Fijo</t>
  </si>
  <si>
    <t>Utilidad Bruta</t>
  </si>
  <si>
    <t>Gastos operativos</t>
  </si>
  <si>
    <t>Amortizacion de intangibles</t>
  </si>
  <si>
    <t>Utilidad Imponible</t>
  </si>
  <si>
    <t>Impuestos (*)</t>
  </si>
  <si>
    <t>Utilidad Neta</t>
  </si>
  <si>
    <t>Utilidades &lt; a 15 UIT</t>
  </si>
  <si>
    <t>Donde</t>
  </si>
  <si>
    <t>promedio geometrico 1928-2020</t>
  </si>
  <si>
    <t>Promedio 2020</t>
  </si>
  <si>
    <t>COK desapalancado con Riesgo Total</t>
  </si>
  <si>
    <t>COK Apalancado con riesgo total</t>
  </si>
  <si>
    <t>Costo Promedio Ponderado de Capital con riesgo total</t>
  </si>
  <si>
    <t>Donde:</t>
  </si>
  <si>
    <t>Dónde:</t>
  </si>
  <si>
    <t>Kwacc</t>
  </si>
  <si>
    <t>Beta reapalancado para el proyecto</t>
  </si>
  <si>
    <t xml:space="preserve">βrl total perú </t>
  </si>
  <si>
    <t>b.) y d.) Flujo de Caja Economico y Financiero</t>
  </si>
  <si>
    <t>FLUJOS DE CAJA ECONOMICO Y FINANCIERO</t>
  </si>
  <si>
    <t>Año 0</t>
  </si>
  <si>
    <t>Ingresos por ventas</t>
  </si>
  <si>
    <t>Costos de produccion (*)</t>
  </si>
  <si>
    <t>Prestamo</t>
  </si>
  <si>
    <t>Intereses</t>
  </si>
  <si>
    <t xml:space="preserve">archivadores </t>
  </si>
  <si>
    <t>Maquinaria y/o equipos</t>
  </si>
  <si>
    <t>EVALUACIÓN ECONÓMICA</t>
  </si>
  <si>
    <t>Ku nominal en dolares</t>
  </si>
  <si>
    <r>
      <t>Ki</t>
    </r>
    <r>
      <rPr>
        <b/>
        <sz val="12"/>
        <color indexed="8"/>
        <rFont val="Times New Roman"/>
        <family val="1"/>
      </rPr>
      <t xml:space="preserve"> real</t>
    </r>
    <r>
      <rPr>
        <b/>
        <sz val="18"/>
        <color indexed="8"/>
        <rFont val="Times New Roman"/>
        <family val="1"/>
      </rPr>
      <t xml:space="preserve">  =  </t>
    </r>
    <r>
      <rPr>
        <b/>
        <u/>
        <sz val="18"/>
        <color indexed="8"/>
        <rFont val="Times New Roman"/>
        <family val="1"/>
      </rPr>
      <t xml:space="preserve">(1+ Ki </t>
    </r>
    <r>
      <rPr>
        <b/>
        <u/>
        <sz val="12"/>
        <color indexed="8"/>
        <rFont val="Times New Roman"/>
        <family val="1"/>
      </rPr>
      <t>nominal</t>
    </r>
    <r>
      <rPr>
        <b/>
        <sz val="18"/>
        <color indexed="8"/>
        <rFont val="Times New Roman"/>
        <family val="1"/>
      </rPr>
      <t xml:space="preserve">) - 1                                                                               </t>
    </r>
  </si>
  <si>
    <t>Ku nominal en soles</t>
  </si>
  <si>
    <r>
      <t xml:space="preserve">                        (1 +  </t>
    </r>
    <r>
      <rPr>
        <b/>
        <sz val="20"/>
        <color indexed="8"/>
        <rFont val="Times New Roman"/>
        <family val="1"/>
      </rPr>
      <t>π</t>
    </r>
    <r>
      <rPr>
        <b/>
        <sz val="18"/>
        <color indexed="8"/>
        <rFont val="Times New Roman"/>
        <family val="1"/>
      </rPr>
      <t>)</t>
    </r>
  </si>
  <si>
    <t>Inflacion en Perú</t>
  </si>
  <si>
    <t>(Promedio 2010-2019)</t>
  </si>
  <si>
    <t>Inflacion USA</t>
  </si>
  <si>
    <t>COK  real</t>
  </si>
  <si>
    <r>
      <t>Ki (s/.)  = Ki ($) X (</t>
    </r>
    <r>
      <rPr>
        <b/>
        <u/>
        <sz val="18"/>
        <color indexed="8"/>
        <rFont val="Times New Roman"/>
        <family val="1"/>
      </rPr>
      <t>1+</t>
    </r>
    <r>
      <rPr>
        <b/>
        <u/>
        <sz val="20"/>
        <color indexed="8"/>
        <rFont val="Times New Roman"/>
        <family val="1"/>
      </rPr>
      <t xml:space="preserve"> π</t>
    </r>
    <r>
      <rPr>
        <b/>
        <u/>
        <sz val="18"/>
        <color indexed="8"/>
        <rFont val="Times New Roman"/>
        <family val="1"/>
      </rPr>
      <t xml:space="preserve"> </t>
    </r>
    <r>
      <rPr>
        <b/>
        <u/>
        <sz val="12"/>
        <color indexed="8"/>
        <rFont val="Times New Roman"/>
        <family val="1"/>
      </rPr>
      <t>Perú</t>
    </r>
    <r>
      <rPr>
        <b/>
        <u/>
        <sz val="18"/>
        <color indexed="8"/>
        <rFont val="Times New Roman"/>
        <family val="1"/>
      </rPr>
      <t xml:space="preserve">) </t>
    </r>
  </si>
  <si>
    <r>
      <t xml:space="preserve">                                (1+</t>
    </r>
    <r>
      <rPr>
        <b/>
        <sz val="20"/>
        <color indexed="8"/>
        <rFont val="Times New Roman"/>
        <family val="1"/>
      </rPr>
      <t>π</t>
    </r>
    <r>
      <rPr>
        <b/>
        <sz val="18"/>
        <color indexed="8"/>
        <rFont val="Times New Roman"/>
        <family val="1"/>
      </rPr>
      <t xml:space="preserve"> </t>
    </r>
    <r>
      <rPr>
        <b/>
        <sz val="12"/>
        <color indexed="8"/>
        <rFont val="Times New Roman"/>
        <family val="1"/>
      </rPr>
      <t xml:space="preserve">USA </t>
    </r>
    <r>
      <rPr>
        <b/>
        <sz val="18"/>
        <color indexed="8"/>
        <rFont val="Times New Roman"/>
        <family val="1"/>
      </rPr>
      <t>)</t>
    </r>
  </si>
  <si>
    <t>EVALUACIÓN FINANCIERA</t>
  </si>
  <si>
    <t>Beta total desapalancado para educacion</t>
  </si>
  <si>
    <t>2.9%</t>
  </si>
  <si>
    <t>1/2 docena</t>
  </si>
  <si>
    <t>N°</t>
  </si>
  <si>
    <t>SALDO</t>
  </si>
  <si>
    <t>CAPITAL</t>
  </si>
  <si>
    <t>INTERESES</t>
  </si>
  <si>
    <t>CUOTA</t>
  </si>
  <si>
    <t xml:space="preserve">1/2 docena </t>
  </si>
  <si>
    <t>Luz, agua e internet</t>
  </si>
  <si>
    <t>Resumen del escenario</t>
  </si>
  <si>
    <t>PROBABLE</t>
  </si>
  <si>
    <t>OPTIMISTA</t>
  </si>
  <si>
    <t>PESIMISTA</t>
  </si>
  <si>
    <t>Creado por Usuario el 19/02/2021</t>
  </si>
  <si>
    <t>Celdas cambiantes:</t>
  </si>
  <si>
    <t>Celdas de resultado:</t>
  </si>
  <si>
    <t>Variable</t>
  </si>
  <si>
    <t>Costo de matricula</t>
  </si>
  <si>
    <t>Sensibilidad del costo de matricula</t>
  </si>
  <si>
    <t>II. CAPITAL DE TRABAJO (30 matriculados.)</t>
  </si>
  <si>
    <t>Administrador</t>
  </si>
  <si>
    <t>Capacitadores</t>
  </si>
  <si>
    <t>t*</t>
  </si>
  <si>
    <t>Rfusa</t>
  </si>
  <si>
    <t>(Rm – Rf)usa</t>
  </si>
  <si>
    <t>Rp</t>
  </si>
  <si>
    <r>
      <t>b</t>
    </r>
    <r>
      <rPr>
        <b/>
        <vertAlign val="subscript"/>
        <sz val="12"/>
        <color rgb="FF000000"/>
        <rFont val="Arial"/>
        <family val="2"/>
      </rPr>
      <t>u total ME</t>
    </r>
  </si>
  <si>
    <r>
      <t>D/E*</t>
    </r>
    <r>
      <rPr>
        <b/>
        <vertAlign val="subscript"/>
        <sz val="12"/>
        <color rgb="FF000000"/>
        <rFont val="Arial"/>
        <family val="2"/>
      </rPr>
      <t>PERU</t>
    </r>
  </si>
  <si>
    <t>E/V*</t>
  </si>
  <si>
    <t>Kert</t>
  </si>
  <si>
    <t>D/V*</t>
  </si>
  <si>
    <t>Rf usa</t>
  </si>
  <si>
    <t>(Rm-Rf)</t>
  </si>
  <si>
    <t>βu total ME</t>
  </si>
  <si>
    <t>Kurt</t>
  </si>
  <si>
    <t xml:space="preserve">Donde:                                                                               </t>
  </si>
  <si>
    <t>Kd</t>
  </si>
  <si>
    <t xml:space="preserve">VANE </t>
  </si>
  <si>
    <r>
      <t xml:space="preserve">Kert = Rfusa + brl total </t>
    </r>
    <r>
      <rPr>
        <b/>
        <vertAlign val="subscript"/>
        <sz val="11"/>
        <color rgb="FF000000"/>
        <rFont val="Arial"/>
        <family val="2"/>
      </rPr>
      <t>PERU</t>
    </r>
    <r>
      <rPr>
        <b/>
        <sz val="11"/>
        <color rgb="FF000000"/>
        <rFont val="Arial"/>
        <family val="2"/>
      </rPr>
      <t xml:space="preserve">* (Rm- Rf )usa+ Rp </t>
    </r>
    <r>
      <rPr>
        <b/>
        <vertAlign val="subscript"/>
        <sz val="11"/>
        <color rgb="FF000000"/>
        <rFont val="Arial"/>
        <family val="2"/>
      </rPr>
      <t xml:space="preserve">PERU </t>
    </r>
    <r>
      <rPr>
        <b/>
        <sz val="11"/>
        <color rgb="FF000000"/>
        <rFont val="Arial"/>
        <family val="2"/>
      </rPr>
      <t xml:space="preserve">                                                </t>
    </r>
  </si>
  <si>
    <r>
      <t>Kwacc rt= E/V * Kert + D/V * Kd * (1 – t)</t>
    </r>
    <r>
      <rPr>
        <sz val="11"/>
        <color rgb="FF000000"/>
        <rFont val="Arial"/>
        <family val="2"/>
      </rPr>
      <t xml:space="preserve">                                                             </t>
    </r>
  </si>
  <si>
    <r>
      <t>brl total</t>
    </r>
    <r>
      <rPr>
        <b/>
        <vertAlign val="subscript"/>
        <sz val="12"/>
        <color rgb="FF000000"/>
        <rFont val="Arial"/>
        <family val="2"/>
      </rPr>
      <t xml:space="preserve"> PERU</t>
    </r>
  </si>
  <si>
    <r>
      <t xml:space="preserve">             b</t>
    </r>
    <r>
      <rPr>
        <b/>
        <vertAlign val="subscript"/>
        <sz val="12"/>
        <color rgb="FF000000"/>
        <rFont val="Arial"/>
        <family val="2"/>
      </rPr>
      <t xml:space="preserve">rl total  </t>
    </r>
    <r>
      <rPr>
        <b/>
        <sz val="12"/>
        <color rgb="FF000000"/>
        <rFont val="Arial"/>
        <family val="2"/>
      </rPr>
      <t>=  b</t>
    </r>
    <r>
      <rPr>
        <b/>
        <vertAlign val="subscript"/>
        <sz val="12"/>
        <color rgb="FF000000"/>
        <rFont val="Arial"/>
        <family val="2"/>
      </rPr>
      <t>u total ME *</t>
    </r>
    <r>
      <rPr>
        <b/>
        <sz val="12"/>
        <color rgb="FF000000"/>
        <rFont val="Arial"/>
        <family val="2"/>
      </rPr>
      <t>( 1+(D/E*)*( 1-t))</t>
    </r>
    <r>
      <rPr>
        <b/>
        <vertAlign val="subscript"/>
        <sz val="12"/>
        <color rgb="FF000000"/>
        <rFont val="Arial"/>
        <family val="2"/>
      </rPr>
      <t xml:space="preserve">PERU                                                                             </t>
    </r>
    <r>
      <rPr>
        <sz val="12"/>
        <color rgb="FF000000"/>
        <rFont val="Arial"/>
        <family val="2"/>
      </rPr>
      <t xml:space="preserve"> </t>
    </r>
  </si>
  <si>
    <r>
      <t xml:space="preserve">Kurt = Rf usa+ bu total </t>
    </r>
    <r>
      <rPr>
        <vertAlign val="subscript"/>
        <sz val="12"/>
        <color rgb="FF000000"/>
        <rFont val="Arial"/>
        <family val="2"/>
      </rPr>
      <t>ME</t>
    </r>
    <r>
      <rPr>
        <sz val="12"/>
        <color rgb="FF000000"/>
        <rFont val="Arial"/>
        <family val="2"/>
      </rPr>
      <t>* (Rm- Rf)</t>
    </r>
    <r>
      <rPr>
        <vertAlign val="subscript"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 xml:space="preserve">usa+ Rp </t>
    </r>
    <r>
      <rPr>
        <vertAlign val="subscript"/>
        <sz val="12"/>
        <color rgb="FF000000"/>
        <rFont val="Arial"/>
        <family val="2"/>
      </rPr>
      <t>PERU</t>
    </r>
    <r>
      <rPr>
        <sz val="12"/>
        <color rgb="FF000000"/>
        <rFont val="Arial"/>
        <family val="2"/>
      </rPr>
      <t xml:space="preserve"> </t>
    </r>
  </si>
  <si>
    <t xml:space="preserve">COSTO UNITARIO: NUMERO DE MATRICULADOS </t>
  </si>
  <si>
    <t>Matriculados/mes</t>
  </si>
  <si>
    <t>horas</t>
  </si>
  <si>
    <t>soles/hora</t>
  </si>
  <si>
    <t>Sensibilidad del costo de los capacitadores</t>
  </si>
  <si>
    <t>2 capacitadores</t>
  </si>
  <si>
    <t>Costo de capacitadores</t>
  </si>
  <si>
    <t>Costo de los capacitadores</t>
  </si>
  <si>
    <t>Estudiantes/Aula</t>
  </si>
  <si>
    <t>Horas/mes</t>
  </si>
  <si>
    <t>posit</t>
  </si>
  <si>
    <t>Año2</t>
  </si>
  <si>
    <t>año 3</t>
  </si>
  <si>
    <t>MOD</t>
  </si>
  <si>
    <t>MPD</t>
  </si>
  <si>
    <t>CIF</t>
  </si>
  <si>
    <t>Depreciaciones</t>
  </si>
  <si>
    <t>A. Total Costos de producción</t>
  </si>
  <si>
    <t>COSTO TOTAL POR MES</t>
  </si>
  <si>
    <t>Gastos de Administracion</t>
  </si>
  <si>
    <t>Gastos de Ventas</t>
  </si>
  <si>
    <t>Amortizacion Intangibles</t>
  </si>
  <si>
    <t>B. Total Gastos Operativos</t>
  </si>
  <si>
    <t>Capital</t>
  </si>
  <si>
    <t>Interes</t>
  </si>
  <si>
    <t>Cuota</t>
  </si>
  <si>
    <t>AÑO</t>
  </si>
  <si>
    <t>Prestamo =</t>
  </si>
  <si>
    <t>TEA nominal =</t>
  </si>
  <si>
    <t>TEM nominal¨=</t>
  </si>
  <si>
    <t>Inflacion Anual =</t>
  </si>
  <si>
    <t>Inflacion mes =</t>
  </si>
  <si>
    <t>TEM real =</t>
  </si>
  <si>
    <t>n =</t>
  </si>
  <si>
    <t>cuota capital  =</t>
  </si>
  <si>
    <t>Deuda</t>
  </si>
  <si>
    <t>Patrominio</t>
  </si>
  <si>
    <t>(*) corresponde Régimen tributario Nuevo RUS</t>
  </si>
  <si>
    <t>Total Flujo  Operativo</t>
  </si>
  <si>
    <t>Impuestos (**)</t>
  </si>
  <si>
    <t>(*) Régimen labora de la micro empresa</t>
  </si>
  <si>
    <t>(**) Regimen Tributario Nuevo RUS</t>
  </si>
  <si>
    <t xml:space="preserve">Gastos operativos(*) </t>
  </si>
  <si>
    <t>Activo fijo tangible</t>
  </si>
  <si>
    <t>Activo fijo intangible</t>
  </si>
  <si>
    <t>Capital de trabajo</t>
  </si>
  <si>
    <t>Recupero de capital de trabajo</t>
  </si>
  <si>
    <t>Recupero de activo fijo tangible</t>
  </si>
  <si>
    <t>Flujo de Caja Economico, FCE</t>
  </si>
  <si>
    <t xml:space="preserve">Capital </t>
  </si>
  <si>
    <t>Interés</t>
  </si>
  <si>
    <t>Flujo de Caja Financiero, FCF</t>
  </si>
  <si>
    <t xml:space="preserve">Flujo de Caja de Deuda, FCD </t>
  </si>
  <si>
    <t>Total Flujo Inversion y Liquidación</t>
  </si>
  <si>
    <t>Tasas y Criterios</t>
  </si>
  <si>
    <t>Valor</t>
  </si>
  <si>
    <t>TIRF =</t>
  </si>
  <si>
    <t>VANF =</t>
  </si>
  <si>
    <t>Kwacc nominal en $ =</t>
  </si>
  <si>
    <t>Kwacc real en S/. =</t>
  </si>
  <si>
    <t>Kwacc nominal en S/. =</t>
  </si>
  <si>
    <t>sector educación</t>
  </si>
  <si>
    <t>Impuesto promedio</t>
  </si>
  <si>
    <t>Nuevo 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</si>
</sst>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€_-;\-* #,##0.00\ _€_-;_-* &quot;-&quot;??\ _€_-;_-@_-"/>
    <numFmt numFmtId="165" formatCode="0.0%"/>
    <numFmt numFmtId="166" formatCode="_ * #,##0_ ;_ * \-#,##0_ ;_ * &quot;-&quot;??_ ;_ @_ "/>
    <numFmt numFmtId="167" formatCode="0.0"/>
    <numFmt numFmtId="168" formatCode="_-* #,##0.00_-;\-* #,##0.00_-;_-* &quot;-&quot;??_-;_-@"/>
    <numFmt numFmtId="169" formatCode="_ * #,##0.00_ ;_ * \-#,##0.00_ ;_ * &quot;-&quot;??_ ;_ @_ "/>
    <numFmt numFmtId="170" formatCode="_-* #,##0\ _€_-;\-* #,##0\ _€_-;_-* &quot;-&quot;??\ _€_-;_-@_-"/>
    <numFmt numFmtId="171" formatCode="_(* #,##0.00_);_(* \(#,##0.00\);_(* &quot;-&quot;??_);_(@_)"/>
    <numFmt numFmtId="172" formatCode="_(* #,##0_);_(* \(#,##0\);_(* &quot;-&quot;??_);_(@_)"/>
    <numFmt numFmtId="173" formatCode="&quot;S/.&quot;\ #,##0.00"/>
  </numFmts>
  <fonts count="4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b/>
      <vertAlign val="subscript"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rgb="FF000000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u/>
      <sz val="18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20"/>
      <color indexed="8"/>
      <name val="Times New Roman"/>
      <family val="1"/>
    </font>
    <font>
      <b/>
      <u/>
      <sz val="20"/>
      <color indexed="8"/>
      <name val="Times New Roman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1"/>
      <color indexed="9"/>
      <name val="Arial"/>
      <family val="2"/>
    </font>
    <font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vertAlign val="subscript"/>
      <sz val="11"/>
      <color rgb="FF00000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rgb="FF00B050"/>
        <bgColor rgb="FF99CCFF"/>
      </patternFill>
    </fill>
    <fill>
      <patternFill patternType="solid">
        <fgColor rgb="FF00B050"/>
        <bgColor rgb="FFB8CCE4"/>
      </patternFill>
    </fill>
    <fill>
      <patternFill patternType="solid">
        <fgColor rgb="FF00B050"/>
        <bgColor rgb="FFF2F2F2"/>
      </patternFill>
    </fill>
    <fill>
      <patternFill patternType="solid">
        <fgColor rgb="FF00B050"/>
        <bgColor rgb="FF92D05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CFFFF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D6E3BC"/>
      </patternFill>
    </fill>
    <fill>
      <patternFill patternType="solid">
        <fgColor rgb="FF00B050"/>
        <bgColor rgb="FFDBE5F1"/>
      </patternFill>
    </fill>
    <fill>
      <patternFill patternType="solid">
        <fgColor indexed="22"/>
        <bgColor indexed="2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B8CCE4"/>
      </patternFill>
    </fill>
  </fills>
  <borders count="10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29"/>
    <xf numFmtId="9" fontId="2" fillId="0" borderId="29" applyFont="0" applyFill="0" applyBorder="0" applyAlignment="0" applyProtection="0"/>
    <xf numFmtId="169" fontId="2" fillId="0" borderId="29" applyFont="0" applyFill="0" applyBorder="0" applyAlignment="0" applyProtection="0"/>
    <xf numFmtId="164" fontId="22" fillId="0" borderId="0" applyFont="0" applyFill="0" applyBorder="0" applyAlignment="0" applyProtection="0"/>
    <xf numFmtId="0" fontId="31" fillId="0" borderId="29"/>
    <xf numFmtId="0" fontId="2" fillId="0" borderId="29"/>
    <xf numFmtId="9" fontId="2" fillId="0" borderId="29" applyFont="0" applyFill="0" applyBorder="0" applyAlignment="0" applyProtection="0"/>
  </cellStyleXfs>
  <cellXfs count="476">
    <xf numFmtId="0" fontId="0" fillId="0" borderId="0" xfId="0" applyFont="1" applyAlignment="1"/>
    <xf numFmtId="0" fontId="0" fillId="0" borderId="4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1" xfId="0" applyFont="1" applyFill="1" applyBorder="1"/>
    <xf numFmtId="0" fontId="1" fillId="3" borderId="12" xfId="0" applyFont="1" applyFill="1" applyBorder="1" applyAlignment="1">
      <alignment horizontal="center"/>
    </xf>
    <xf numFmtId="0" fontId="0" fillId="3" borderId="13" xfId="0" applyFont="1" applyFill="1" applyBorder="1"/>
    <xf numFmtId="0" fontId="1" fillId="2" borderId="14" xfId="0" applyFont="1" applyFill="1" applyBorder="1" applyAlignment="1">
      <alignment horizontal="center"/>
    </xf>
    <xf numFmtId="1" fontId="0" fillId="4" borderId="15" xfId="0" applyNumberFormat="1" applyFont="1" applyFill="1" applyBorder="1"/>
    <xf numFmtId="0" fontId="1" fillId="2" borderId="15" xfId="0" applyFont="1" applyFill="1" applyBorder="1" applyAlignment="1">
      <alignment horizontal="center"/>
    </xf>
    <xf numFmtId="1" fontId="0" fillId="4" borderId="16" xfId="0" applyNumberFormat="1" applyFont="1" applyFill="1" applyBorder="1"/>
    <xf numFmtId="1" fontId="0" fillId="0" borderId="0" xfId="0" applyNumberFormat="1" applyFont="1"/>
    <xf numFmtId="0" fontId="0" fillId="4" borderId="17" xfId="0" applyFont="1" applyFill="1" applyBorder="1"/>
    <xf numFmtId="0" fontId="0" fillId="4" borderId="4" xfId="0" applyFont="1" applyFill="1" applyBorder="1"/>
    <xf numFmtId="0" fontId="0" fillId="4" borderId="18" xfId="0" applyFont="1" applyFill="1" applyBorder="1"/>
    <xf numFmtId="0" fontId="1" fillId="2" borderId="19" xfId="0" applyFont="1" applyFill="1" applyBorder="1" applyAlignment="1">
      <alignment horizontal="center"/>
    </xf>
    <xf numFmtId="165" fontId="0" fillId="4" borderId="20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65" fontId="0" fillId="4" borderId="21" xfId="0" applyNumberFormat="1" applyFont="1" applyFill="1" applyBorder="1" applyAlignment="1">
      <alignment horizontal="center"/>
    </xf>
    <xf numFmtId="9" fontId="0" fillId="0" borderId="0" xfId="0" applyNumberFormat="1" applyFont="1"/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4" borderId="12" xfId="0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/>
    </xf>
    <xf numFmtId="0" fontId="0" fillId="0" borderId="17" xfId="0" applyFont="1" applyBorder="1" applyAlignment="1">
      <alignment horizontal="left" vertical="center" wrapText="1"/>
    </xf>
    <xf numFmtId="2" fontId="0" fillId="0" borderId="4" xfId="0" applyNumberFormat="1" applyFont="1" applyBorder="1"/>
    <xf numFmtId="2" fontId="0" fillId="0" borderId="26" xfId="0" applyNumberFormat="1" applyFont="1" applyBorder="1" applyAlignment="1">
      <alignment horizontal="right"/>
    </xf>
    <xf numFmtId="2" fontId="0" fillId="0" borderId="18" xfId="0" applyNumberFormat="1" applyFont="1" applyBorder="1"/>
    <xf numFmtId="0" fontId="0" fillId="0" borderId="30" xfId="0" applyFont="1" applyBorder="1" applyAlignment="1">
      <alignment horizontal="left" vertical="center" wrapText="1"/>
    </xf>
    <xf numFmtId="2" fontId="0" fillId="0" borderId="31" xfId="0" applyNumberFormat="1" applyFont="1" applyBorder="1"/>
    <xf numFmtId="2" fontId="0" fillId="0" borderId="34" xfId="0" applyNumberFormat="1" applyFont="1" applyBorder="1"/>
    <xf numFmtId="0" fontId="1" fillId="0" borderId="0" xfId="0" applyFont="1" applyAlignment="1">
      <alignment horizontal="center"/>
    </xf>
    <xf numFmtId="0" fontId="0" fillId="0" borderId="17" xfId="0" applyFont="1" applyBorder="1"/>
    <xf numFmtId="3" fontId="0" fillId="0" borderId="4" xfId="0" applyNumberFormat="1" applyFont="1" applyBorder="1"/>
    <xf numFmtId="0" fontId="0" fillId="0" borderId="18" xfId="0" applyFont="1" applyBorder="1"/>
    <xf numFmtId="1" fontId="0" fillId="0" borderId="4" xfId="0" applyNumberFormat="1" applyFont="1" applyBorder="1"/>
    <xf numFmtId="1" fontId="0" fillId="0" borderId="18" xfId="0" applyNumberFormat="1" applyFont="1" applyBorder="1"/>
    <xf numFmtId="0" fontId="0" fillId="0" borderId="20" xfId="0" applyFont="1" applyBorder="1"/>
    <xf numFmtId="0" fontId="0" fillId="0" borderId="21" xfId="0" applyFont="1" applyBorder="1"/>
    <xf numFmtId="0" fontId="7" fillId="0" borderId="26" xfId="0" applyFont="1" applyBorder="1" applyAlignment="1">
      <alignment horizontal="center"/>
    </xf>
    <xf numFmtId="0" fontId="7" fillId="0" borderId="26" xfId="0" applyFont="1" applyBorder="1" applyAlignment="1">
      <alignment horizontal="right"/>
    </xf>
    <xf numFmtId="0" fontId="7" fillId="0" borderId="25" xfId="0" applyFont="1" applyBorder="1" applyAlignment="1">
      <alignment horizontal="left" vertical="center" wrapText="1"/>
    </xf>
    <xf numFmtId="2" fontId="7" fillId="0" borderId="18" xfId="0" applyNumberFormat="1" applyFont="1" applyBorder="1" applyAlignment="1">
      <alignment horizontal="center"/>
    </xf>
    <xf numFmtId="0" fontId="7" fillId="0" borderId="17" xfId="0" applyFont="1" applyBorder="1" applyAlignment="1">
      <alignment horizontal="left" vertical="center" wrapText="1"/>
    </xf>
    <xf numFmtId="2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0" xfId="0" applyFont="1"/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right"/>
    </xf>
    <xf numFmtId="2" fontId="7" fillId="0" borderId="21" xfId="0" applyNumberFormat="1" applyFont="1" applyBorder="1" applyAlignment="1">
      <alignment horizontal="center"/>
    </xf>
    <xf numFmtId="0" fontId="7" fillId="0" borderId="42" xfId="0" applyFont="1" applyBorder="1" applyAlignment="1">
      <alignment horizontal="left" vertical="center" wrapText="1"/>
    </xf>
    <xf numFmtId="2" fontId="7" fillId="0" borderId="43" xfId="0" applyNumberFormat="1" applyFont="1" applyBorder="1" applyAlignment="1">
      <alignment horizontal="right"/>
    </xf>
    <xf numFmtId="1" fontId="0" fillId="0" borderId="4" xfId="0" applyNumberFormat="1" applyFont="1" applyBorder="1" applyAlignment="1">
      <alignment horizontal="center"/>
    </xf>
    <xf numFmtId="0" fontId="8" fillId="0" borderId="0" xfId="0" applyFont="1"/>
    <xf numFmtId="0" fontId="0" fillId="0" borderId="14" xfId="0" applyFont="1" applyBorder="1"/>
    <xf numFmtId="0" fontId="0" fillId="0" borderId="19" xfId="0" applyFont="1" applyBorder="1"/>
    <xf numFmtId="2" fontId="0" fillId="0" borderId="21" xfId="0" applyNumberFormat="1" applyFont="1" applyBorder="1"/>
    <xf numFmtId="0" fontId="0" fillId="0" borderId="17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9" xfId="0" applyFont="1" applyBorder="1" applyAlignment="1">
      <alignment wrapText="1"/>
    </xf>
    <xf numFmtId="2" fontId="0" fillId="0" borderId="20" xfId="0" applyNumberFormat="1" applyFont="1" applyBorder="1"/>
    <xf numFmtId="1" fontId="0" fillId="0" borderId="15" xfId="0" applyNumberFormat="1" applyFont="1" applyBorder="1"/>
    <xf numFmtId="0" fontId="0" fillId="0" borderId="33" xfId="0" applyFont="1" applyBorder="1"/>
    <xf numFmtId="0" fontId="0" fillId="6" borderId="17" xfId="0" applyFont="1" applyFill="1" applyBorder="1"/>
    <xf numFmtId="0" fontId="0" fillId="6" borderId="4" xfId="0" applyFont="1" applyFill="1" applyBorder="1"/>
    <xf numFmtId="0" fontId="13" fillId="0" borderId="29" xfId="1" applyFont="1"/>
    <xf numFmtId="0" fontId="2" fillId="0" borderId="29" xfId="1"/>
    <xf numFmtId="0" fontId="14" fillId="7" borderId="29" xfId="1" applyFont="1" applyFill="1"/>
    <xf numFmtId="0" fontId="2" fillId="7" borderId="29" xfId="1" applyFill="1"/>
    <xf numFmtId="0" fontId="15" fillId="0" borderId="29" xfId="1" applyFont="1" applyAlignment="1">
      <alignment horizontal="left" vertical="center" readingOrder="1"/>
    </xf>
    <xf numFmtId="0" fontId="15" fillId="0" borderId="29" xfId="1" applyFont="1"/>
    <xf numFmtId="0" fontId="0" fillId="0" borderId="0" xfId="0" applyFont="1" applyAlignment="1"/>
    <xf numFmtId="0" fontId="24" fillId="0" borderId="29" xfId="0" applyFont="1" applyFill="1" applyBorder="1" applyProtection="1">
      <protection hidden="1"/>
    </xf>
    <xf numFmtId="0" fontId="0" fillId="0" borderId="29" xfId="0" applyFont="1" applyBorder="1" applyAlignment="1"/>
    <xf numFmtId="171" fontId="2" fillId="0" borderId="29" xfId="4" applyNumberFormat="1" applyFont="1" applyFill="1" applyBorder="1" applyAlignment="1" applyProtection="1">
      <protection hidden="1"/>
    </xf>
    <xf numFmtId="171" fontId="2" fillId="0" borderId="58" xfId="4" applyNumberFormat="1" applyFont="1" applyFill="1" applyBorder="1" applyAlignment="1" applyProtection="1">
      <protection hidden="1"/>
    </xf>
    <xf numFmtId="0" fontId="25" fillId="0" borderId="29" xfId="0" applyFont="1" applyFill="1" applyBorder="1" applyProtection="1">
      <protection hidden="1"/>
    </xf>
    <xf numFmtId="0" fontId="0" fillId="0" borderId="58" xfId="0" applyFont="1" applyBorder="1" applyAlignment="1">
      <alignment horizontal="center" vertical="center" wrapText="1"/>
    </xf>
    <xf numFmtId="3" fontId="0" fillId="0" borderId="58" xfId="0" applyNumberFormat="1" applyFont="1" applyBorder="1" applyAlignment="1">
      <alignment horizontal="center" vertical="center" wrapText="1"/>
    </xf>
    <xf numFmtId="171" fontId="0" fillId="0" borderId="0" xfId="0" applyNumberFormat="1" applyFont="1" applyAlignment="1"/>
    <xf numFmtId="171" fontId="0" fillId="0" borderId="58" xfId="0" applyNumberFormat="1" applyFont="1" applyBorder="1" applyAlignment="1"/>
    <xf numFmtId="0" fontId="1" fillId="8" borderId="53" xfId="0" applyFont="1" applyFill="1" applyBorder="1" applyAlignment="1">
      <alignment horizontal="center" vertical="center" wrapText="1"/>
    </xf>
    <xf numFmtId="0" fontId="1" fillId="8" borderId="54" xfId="0" applyFont="1" applyFill="1" applyBorder="1" applyAlignment="1">
      <alignment horizontal="center" vertical="center" wrapText="1"/>
    </xf>
    <xf numFmtId="0" fontId="1" fillId="8" borderId="59" xfId="0" applyFont="1" applyFill="1" applyBorder="1" applyAlignment="1">
      <alignment horizontal="center" vertical="center" wrapText="1"/>
    </xf>
    <xf numFmtId="0" fontId="22" fillId="4" borderId="12" xfId="0" applyFont="1" applyFill="1" applyBorder="1"/>
    <xf numFmtId="0" fontId="22" fillId="4" borderId="12" xfId="0" applyFont="1" applyFill="1" applyBorder="1" applyAlignment="1">
      <alignment horizontal="center"/>
    </xf>
    <xf numFmtId="0" fontId="22" fillId="0" borderId="57" xfId="0" applyFont="1" applyBorder="1" applyAlignment="1">
      <alignment horizontal="center" vertical="center" wrapText="1"/>
    </xf>
    <xf numFmtId="1" fontId="22" fillId="0" borderId="58" xfId="0" applyNumberFormat="1" applyFont="1" applyBorder="1" applyAlignment="1">
      <alignment horizontal="center" vertical="center" wrapText="1"/>
    </xf>
    <xf numFmtId="3" fontId="22" fillId="0" borderId="58" xfId="0" applyNumberFormat="1" applyFont="1" applyBorder="1" applyAlignment="1">
      <alignment horizontal="center" vertical="center" wrapText="1"/>
    </xf>
    <xf numFmtId="1" fontId="22" fillId="0" borderId="60" xfId="0" applyNumberFormat="1" applyFont="1" applyBorder="1" applyAlignment="1">
      <alignment horizontal="center" vertical="center" wrapText="1"/>
    </xf>
    <xf numFmtId="0" fontId="22" fillId="0" borderId="61" xfId="0" applyFont="1" applyBorder="1" applyAlignment="1">
      <alignment horizontal="center" vertical="center" wrapText="1"/>
    </xf>
    <xf numFmtId="3" fontId="22" fillId="0" borderId="62" xfId="0" applyNumberFormat="1" applyFont="1" applyBorder="1" applyAlignment="1">
      <alignment horizontal="center" vertical="center" wrapText="1"/>
    </xf>
    <xf numFmtId="1" fontId="22" fillId="0" borderId="63" xfId="0" applyNumberFormat="1" applyFont="1" applyBorder="1" applyAlignment="1">
      <alignment horizontal="center" vertical="center" wrapText="1"/>
    </xf>
    <xf numFmtId="0" fontId="1" fillId="8" borderId="58" xfId="0" applyFont="1" applyFill="1" applyBorder="1" applyAlignment="1">
      <alignment horizontal="center" vertical="center" wrapText="1"/>
    </xf>
    <xf numFmtId="0" fontId="1" fillId="5" borderId="58" xfId="0" applyFont="1" applyFill="1" applyBorder="1" applyAlignment="1">
      <alignment horizontal="right"/>
    </xf>
    <xf numFmtId="0" fontId="1" fillId="5" borderId="58" xfId="0" applyFont="1" applyFill="1" applyBorder="1" applyAlignment="1">
      <alignment horizontal="center"/>
    </xf>
    <xf numFmtId="2" fontId="1" fillId="9" borderId="60" xfId="0" applyNumberFormat="1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2" fontId="1" fillId="8" borderId="23" xfId="0" applyNumberFormat="1" applyFont="1" applyFill="1" applyBorder="1"/>
    <xf numFmtId="0" fontId="1" fillId="8" borderId="23" xfId="0" applyFont="1" applyFill="1" applyBorder="1"/>
    <xf numFmtId="2" fontId="1" fillId="8" borderId="24" xfId="0" applyNumberFormat="1" applyFont="1" applyFill="1" applyBorder="1"/>
    <xf numFmtId="2" fontId="1" fillId="10" borderId="60" xfId="0" applyNumberFormat="1" applyFont="1" applyFill="1" applyBorder="1" applyAlignment="1">
      <alignment horizontal="right"/>
    </xf>
    <xf numFmtId="2" fontId="1" fillId="12" borderId="63" xfId="0" applyNumberFormat="1" applyFont="1" applyFill="1" applyBorder="1" applyAlignment="1">
      <alignment horizontal="right"/>
    </xf>
    <xf numFmtId="2" fontId="1" fillId="13" borderId="60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13" borderId="19" xfId="0" applyFont="1" applyFill="1" applyBorder="1" applyAlignment="1">
      <alignment horizontal="center"/>
    </xf>
    <xf numFmtId="0" fontId="0" fillId="13" borderId="20" xfId="0" applyFont="1" applyFill="1" applyBorder="1"/>
    <xf numFmtId="1" fontId="0" fillId="13" borderId="20" xfId="0" applyNumberFormat="1" applyFont="1" applyFill="1" applyBorder="1"/>
    <xf numFmtId="0" fontId="22" fillId="0" borderId="17" xfId="0" applyFont="1" applyBorder="1" applyAlignment="1">
      <alignment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2" fontId="1" fillId="8" borderId="44" xfId="0" applyNumberFormat="1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left" wrapText="1"/>
    </xf>
    <xf numFmtId="2" fontId="6" fillId="13" borderId="27" xfId="0" applyNumberFormat="1" applyFont="1" applyFill="1" applyBorder="1" applyAlignment="1">
      <alignment horizontal="center"/>
    </xf>
    <xf numFmtId="2" fontId="6" fillId="13" borderId="18" xfId="0" applyNumberFormat="1" applyFont="1" applyFill="1" applyBorder="1" applyAlignment="1">
      <alignment horizontal="center"/>
    </xf>
    <xf numFmtId="0" fontId="1" fillId="8" borderId="4" xfId="0" applyFont="1" applyFill="1" applyBorder="1"/>
    <xf numFmtId="1" fontId="1" fillId="8" borderId="4" xfId="0" applyNumberFormat="1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 vertical="center" wrapText="1"/>
    </xf>
    <xf numFmtId="2" fontId="7" fillId="11" borderId="24" xfId="0" applyNumberFormat="1" applyFont="1" applyFill="1" applyBorder="1" applyAlignment="1">
      <alignment horizontal="center" vertical="center"/>
    </xf>
    <xf numFmtId="2" fontId="1" fillId="13" borderId="18" xfId="0" applyNumberFormat="1" applyFont="1" applyFill="1" applyBorder="1"/>
    <xf numFmtId="0" fontId="26" fillId="0" borderId="0" xfId="0" applyFont="1" applyAlignment="1"/>
    <xf numFmtId="0" fontId="2" fillId="0" borderId="57" xfId="0" applyFont="1" applyFill="1" applyBorder="1" applyAlignment="1" applyProtection="1">
      <alignment horizontal="center" vertical="center"/>
      <protection hidden="1"/>
    </xf>
    <xf numFmtId="171" fontId="0" fillId="0" borderId="60" xfId="0" applyNumberFormat="1" applyFont="1" applyBorder="1" applyAlignment="1"/>
    <xf numFmtId="0" fontId="2" fillId="0" borderId="55" xfId="0" applyFont="1" applyFill="1" applyBorder="1" applyProtection="1">
      <protection hidden="1"/>
    </xf>
    <xf numFmtId="171" fontId="2" fillId="0" borderId="56" xfId="4" applyNumberFormat="1" applyFont="1" applyFill="1" applyBorder="1" applyAlignment="1" applyProtection="1">
      <protection hidden="1"/>
    </xf>
    <xf numFmtId="171" fontId="2" fillId="0" borderId="56" xfId="4" applyNumberFormat="1" applyFont="1" applyFill="1" applyBorder="1" applyProtection="1">
      <protection hidden="1"/>
    </xf>
    <xf numFmtId="171" fontId="2" fillId="0" borderId="65" xfId="4" applyNumberFormat="1" applyFont="1" applyFill="1" applyBorder="1" applyAlignment="1" applyProtection="1">
      <protection hidden="1"/>
    </xf>
    <xf numFmtId="0" fontId="23" fillId="13" borderId="51" xfId="0" applyFont="1" applyFill="1" applyBorder="1" applyAlignment="1" applyProtection="1">
      <alignment horizontal="center" vertical="center"/>
      <protection locked="0" hidden="1"/>
    </xf>
    <xf numFmtId="0" fontId="23" fillId="13" borderId="52" xfId="0" applyFont="1" applyFill="1" applyBorder="1" applyAlignment="1" applyProtection="1">
      <alignment horizontal="center" vertical="center"/>
      <protection locked="0" hidden="1"/>
    </xf>
    <xf numFmtId="0" fontId="23" fillId="13" borderId="66" xfId="0" applyFont="1" applyFill="1" applyBorder="1" applyAlignment="1" applyProtection="1">
      <alignment horizontal="center" vertical="center"/>
      <protection locked="0" hidden="1"/>
    </xf>
    <xf numFmtId="0" fontId="1" fillId="10" borderId="22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1" fontId="1" fillId="10" borderId="23" xfId="0" applyNumberFormat="1" applyFont="1" applyFill="1" applyBorder="1" applyAlignment="1">
      <alignment horizontal="center"/>
    </xf>
    <xf numFmtId="0" fontId="1" fillId="13" borderId="17" xfId="0" applyFont="1" applyFill="1" applyBorder="1"/>
    <xf numFmtId="1" fontId="1" fillId="13" borderId="4" xfId="0" applyNumberFormat="1" applyFont="1" applyFill="1" applyBorder="1"/>
    <xf numFmtId="173" fontId="2" fillId="20" borderId="89" xfId="1" applyNumberFormat="1" applyFill="1" applyBorder="1" applyAlignment="1">
      <alignment horizontal="center"/>
    </xf>
    <xf numFmtId="3" fontId="2" fillId="20" borderId="90" xfId="1" applyNumberFormat="1" applyFill="1" applyBorder="1" applyAlignment="1">
      <alignment horizontal="center"/>
    </xf>
    <xf numFmtId="10" fontId="2" fillId="20" borderId="56" xfId="2" applyNumberFormat="1" applyFont="1" applyFill="1" applyBorder="1" applyAlignment="1">
      <alignment horizontal="center"/>
    </xf>
    <xf numFmtId="10" fontId="2" fillId="20" borderId="65" xfId="2" applyNumberFormat="1" applyFont="1" applyFill="1" applyBorder="1" applyAlignment="1">
      <alignment horizontal="center"/>
    </xf>
    <xf numFmtId="2" fontId="2" fillId="0" borderId="29" xfId="1" applyNumberFormat="1"/>
    <xf numFmtId="173" fontId="2" fillId="20" borderId="53" xfId="1" applyNumberFormat="1" applyFill="1" applyBorder="1" applyAlignment="1">
      <alignment horizontal="center"/>
    </xf>
    <xf numFmtId="3" fontId="2" fillId="20" borderId="54" xfId="1" applyNumberFormat="1" applyFill="1" applyBorder="1" applyAlignment="1">
      <alignment horizontal="center"/>
    </xf>
    <xf numFmtId="9" fontId="2" fillId="20" borderId="54" xfId="2" applyFont="1" applyFill="1" applyBorder="1" applyAlignment="1">
      <alignment horizontal="center"/>
    </xf>
    <xf numFmtId="9" fontId="2" fillId="20" borderId="59" xfId="2" applyFont="1" applyFill="1" applyBorder="1" applyAlignment="1">
      <alignment horizontal="center"/>
    </xf>
    <xf numFmtId="173" fontId="2" fillId="20" borderId="57" xfId="1" applyNumberFormat="1" applyFill="1" applyBorder="1" applyAlignment="1">
      <alignment horizontal="center"/>
    </xf>
    <xf numFmtId="3" fontId="2" fillId="20" borderId="58" xfId="1" applyNumberFormat="1" applyFill="1" applyBorder="1" applyAlignment="1">
      <alignment horizontal="center"/>
    </xf>
    <xf numFmtId="9" fontId="2" fillId="20" borderId="58" xfId="2" applyFont="1" applyFill="1" applyBorder="1" applyAlignment="1">
      <alignment horizontal="center"/>
    </xf>
    <xf numFmtId="9" fontId="2" fillId="20" borderId="60" xfId="2" applyFont="1" applyFill="1" applyBorder="1" applyAlignment="1">
      <alignment horizontal="center"/>
    </xf>
    <xf numFmtId="173" fontId="13" fillId="20" borderId="57" xfId="1" applyNumberFormat="1" applyFont="1" applyFill="1" applyBorder="1" applyAlignment="1">
      <alignment horizontal="center"/>
    </xf>
    <xf numFmtId="165" fontId="2" fillId="20" borderId="58" xfId="2" applyNumberFormat="1" applyFont="1" applyFill="1" applyBorder="1" applyAlignment="1">
      <alignment horizontal="center"/>
    </xf>
    <xf numFmtId="165" fontId="2" fillId="20" borderId="60" xfId="2" applyNumberFormat="1" applyFont="1" applyFill="1" applyBorder="1" applyAlignment="1">
      <alignment horizontal="center"/>
    </xf>
    <xf numFmtId="173" fontId="2" fillId="20" borderId="61" xfId="1" applyNumberFormat="1" applyFill="1" applyBorder="1" applyAlignment="1">
      <alignment horizontal="center"/>
    </xf>
    <xf numFmtId="3" fontId="2" fillId="20" borderId="62" xfId="1" applyNumberFormat="1" applyFill="1" applyBorder="1" applyAlignment="1">
      <alignment horizontal="center"/>
    </xf>
    <xf numFmtId="3" fontId="2" fillId="20" borderId="56" xfId="1" applyNumberFormat="1" applyFill="1" applyBorder="1" applyAlignment="1">
      <alignment horizontal="center"/>
    </xf>
    <xf numFmtId="3" fontId="2" fillId="20" borderId="69" xfId="1" applyNumberFormat="1" applyFill="1" applyBorder="1" applyAlignment="1">
      <alignment horizontal="center"/>
    </xf>
    <xf numFmtId="3" fontId="2" fillId="20" borderId="72" xfId="1" applyNumberFormat="1" applyFill="1" applyBorder="1" applyAlignment="1">
      <alignment horizontal="center"/>
    </xf>
    <xf numFmtId="9" fontId="2" fillId="20" borderId="62" xfId="2" applyFont="1" applyFill="1" applyBorder="1" applyAlignment="1">
      <alignment horizontal="center"/>
    </xf>
    <xf numFmtId="9" fontId="2" fillId="20" borderId="63" xfId="2" applyFont="1" applyFill="1" applyBorder="1" applyAlignment="1">
      <alignment horizontal="center"/>
    </xf>
    <xf numFmtId="0" fontId="13" fillId="13" borderId="86" xfId="1" applyFont="1" applyFill="1" applyBorder="1" applyAlignment="1">
      <alignment horizontal="center" vertical="center" wrapText="1"/>
    </xf>
    <xf numFmtId="0" fontId="13" fillId="13" borderId="64" xfId="1" applyFont="1" applyFill="1" applyBorder="1" applyAlignment="1">
      <alignment horizontal="center" vertical="center"/>
    </xf>
    <xf numFmtId="0" fontId="13" fillId="13" borderId="87" xfId="1" applyFont="1" applyFill="1" applyBorder="1" applyAlignment="1">
      <alignment horizontal="center" vertical="center"/>
    </xf>
    <xf numFmtId="0" fontId="13" fillId="13" borderId="88" xfId="1" applyFont="1" applyFill="1" applyBorder="1" applyAlignment="1">
      <alignment horizontal="center" vertical="center"/>
    </xf>
    <xf numFmtId="0" fontId="13" fillId="13" borderId="91" xfId="1" applyFont="1" applyFill="1" applyBorder="1" applyAlignment="1">
      <alignment horizontal="center" vertical="center" wrapText="1"/>
    </xf>
    <xf numFmtId="0" fontId="13" fillId="13" borderId="92" xfId="1" applyFont="1" applyFill="1" applyBorder="1" applyAlignment="1">
      <alignment horizontal="center" vertical="center"/>
    </xf>
    <xf numFmtId="0" fontId="13" fillId="13" borderId="84" xfId="1" applyFont="1" applyFill="1" applyBorder="1" applyAlignment="1">
      <alignment horizontal="center" vertical="center"/>
    </xf>
    <xf numFmtId="0" fontId="13" fillId="13" borderId="93" xfId="1" applyFont="1" applyFill="1" applyBorder="1" applyAlignment="1">
      <alignment horizontal="center" vertical="center"/>
    </xf>
    <xf numFmtId="0" fontId="14" fillId="7" borderId="55" xfId="1" applyFont="1" applyFill="1" applyBorder="1" applyAlignment="1">
      <alignment horizontal="center" vertical="center"/>
    </xf>
    <xf numFmtId="10" fontId="14" fillId="7" borderId="65" xfId="2" applyNumberFormat="1" applyFont="1" applyFill="1" applyBorder="1" applyAlignment="1">
      <alignment horizontal="center" vertical="center"/>
    </xf>
    <xf numFmtId="0" fontId="14" fillId="7" borderId="57" xfId="1" applyFont="1" applyFill="1" applyBorder="1" applyAlignment="1">
      <alignment horizontal="center" vertical="center"/>
    </xf>
    <xf numFmtId="10" fontId="14" fillId="7" borderId="60" xfId="2" applyNumberFormat="1" applyFont="1" applyFill="1" applyBorder="1" applyAlignment="1">
      <alignment horizontal="center" vertical="center"/>
    </xf>
    <xf numFmtId="165" fontId="2" fillId="7" borderId="60" xfId="1" applyNumberFormat="1" applyFill="1" applyBorder="1" applyAlignment="1">
      <alignment horizontal="center" vertical="center"/>
    </xf>
    <xf numFmtId="165" fontId="14" fillId="7" borderId="60" xfId="2" applyNumberFormat="1" applyFont="1" applyFill="1" applyBorder="1" applyAlignment="1">
      <alignment horizontal="center" vertical="center"/>
    </xf>
    <xf numFmtId="0" fontId="2" fillId="7" borderId="57" xfId="1" applyFill="1" applyBorder="1" applyAlignment="1">
      <alignment horizontal="center" vertical="center"/>
    </xf>
    <xf numFmtId="9" fontId="2" fillId="7" borderId="60" xfId="1" applyNumberFormat="1" applyFill="1" applyBorder="1" applyAlignment="1">
      <alignment horizontal="center" vertical="center"/>
    </xf>
    <xf numFmtId="1" fontId="2" fillId="20" borderId="89" xfId="1" applyNumberFormat="1" applyFill="1" applyBorder="1" applyAlignment="1">
      <alignment horizontal="center"/>
    </xf>
    <xf numFmtId="1" fontId="2" fillId="20" borderId="94" xfId="1" applyNumberFormat="1" applyFill="1" applyBorder="1" applyAlignment="1">
      <alignment horizontal="center"/>
    </xf>
    <xf numFmtId="1" fontId="13" fillId="21" borderId="94" xfId="1" applyNumberFormat="1" applyFont="1" applyFill="1" applyBorder="1" applyAlignment="1">
      <alignment horizontal="center"/>
    </xf>
    <xf numFmtId="1" fontId="2" fillId="20" borderId="95" xfId="1" applyNumberFormat="1" applyFill="1" applyBorder="1" applyAlignment="1">
      <alignment horizontal="center"/>
    </xf>
    <xf numFmtId="3" fontId="13" fillId="20" borderId="90" xfId="1" applyNumberFormat="1" applyFont="1" applyFill="1" applyBorder="1" applyAlignment="1">
      <alignment horizontal="center"/>
    </xf>
    <xf numFmtId="3" fontId="13" fillId="20" borderId="56" xfId="1" applyNumberFormat="1" applyFont="1" applyFill="1" applyBorder="1" applyAlignment="1">
      <alignment horizontal="center"/>
    </xf>
    <xf numFmtId="0" fontId="0" fillId="0" borderId="0" xfId="0" applyFont="1" applyAlignment="1"/>
    <xf numFmtId="1" fontId="0" fillId="6" borderId="4" xfId="0" applyNumberFormat="1" applyFont="1" applyFill="1" applyBorder="1" applyAlignment="1">
      <alignment horizontal="right"/>
    </xf>
    <xf numFmtId="2" fontId="1" fillId="9" borderId="60" xfId="0" applyNumberFormat="1" applyFont="1" applyFill="1" applyBorder="1" applyAlignment="1">
      <alignment horizontal="center" vertical="center"/>
    </xf>
    <xf numFmtId="2" fontId="22" fillId="0" borderId="60" xfId="0" applyNumberFormat="1" applyFont="1" applyBorder="1" applyAlignment="1">
      <alignment horizontal="center"/>
    </xf>
    <xf numFmtId="1" fontId="1" fillId="10" borderId="23" xfId="0" applyNumberFormat="1" applyFont="1" applyFill="1" applyBorder="1" applyAlignment="1">
      <alignment horizontal="right"/>
    </xf>
    <xf numFmtId="0" fontId="11" fillId="0" borderId="58" xfId="0" applyFont="1" applyBorder="1" applyAlignment="1">
      <alignment horizontal="center" vertical="center"/>
    </xf>
    <xf numFmtId="10" fontId="11" fillId="0" borderId="58" xfId="0" applyNumberFormat="1" applyFont="1" applyBorder="1"/>
    <xf numFmtId="168" fontId="11" fillId="0" borderId="58" xfId="0" applyNumberFormat="1" applyFont="1" applyBorder="1"/>
    <xf numFmtId="0" fontId="11" fillId="0" borderId="0" xfId="0" applyFont="1" applyAlignment="1"/>
    <xf numFmtId="0" fontId="10" fillId="0" borderId="58" xfId="0" applyFont="1" applyBorder="1" applyAlignment="1">
      <alignment horizontal="center" vertical="center"/>
    </xf>
    <xf numFmtId="0" fontId="10" fillId="0" borderId="0" xfId="0" applyFont="1" applyAlignment="1"/>
    <xf numFmtId="0" fontId="10" fillId="0" borderId="58" xfId="0" applyFont="1" applyBorder="1" applyAlignment="1">
      <alignment vertical="center"/>
    </xf>
    <xf numFmtId="0" fontId="7" fillId="0" borderId="58" xfId="0" applyFont="1" applyBorder="1"/>
    <xf numFmtId="10" fontId="6" fillId="16" borderId="58" xfId="0" applyNumberFormat="1" applyFont="1" applyFill="1" applyBorder="1"/>
    <xf numFmtId="0" fontId="7" fillId="0" borderId="0" xfId="0" applyFont="1"/>
    <xf numFmtId="0" fontId="7" fillId="0" borderId="0" xfId="0" applyFont="1" applyAlignment="1"/>
    <xf numFmtId="10" fontId="11" fillId="0" borderId="58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11" fillId="0" borderId="58" xfId="0" applyNumberFormat="1" applyFont="1" applyBorder="1" applyAlignment="1">
      <alignment horizontal="center"/>
    </xf>
    <xf numFmtId="9" fontId="11" fillId="0" borderId="58" xfId="0" applyNumberFormat="1" applyFont="1" applyBorder="1" applyAlignment="1">
      <alignment horizontal="center"/>
    </xf>
    <xf numFmtId="10" fontId="7" fillId="0" borderId="0" xfId="0" applyNumberFormat="1" applyFont="1"/>
    <xf numFmtId="0" fontId="10" fillId="16" borderId="58" xfId="0" applyFont="1" applyFill="1" applyBorder="1" applyAlignment="1">
      <alignment horizontal="center" vertical="center"/>
    </xf>
    <xf numFmtId="10" fontId="10" fillId="16" borderId="58" xfId="0" applyNumberFormat="1" applyFont="1" applyFill="1" applyBorder="1"/>
    <xf numFmtId="0" fontId="11" fillId="0" borderId="0" xfId="0" applyFont="1" applyAlignment="1">
      <alignment vertical="center"/>
    </xf>
    <xf numFmtId="10" fontId="11" fillId="0" borderId="0" xfId="0" applyNumberFormat="1" applyFont="1"/>
    <xf numFmtId="0" fontId="6" fillId="16" borderId="5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2" fontId="11" fillId="0" borderId="58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168" fontId="11" fillId="0" borderId="58" xfId="0" applyNumberFormat="1" applyFont="1" applyBorder="1" applyAlignment="1">
      <alignment horizontal="center" vertical="center"/>
    </xf>
    <xf numFmtId="0" fontId="22" fillId="0" borderId="0" xfId="0" applyFont="1" applyAlignment="1"/>
    <xf numFmtId="0" fontId="0" fillId="0" borderId="29" xfId="0" applyFont="1" applyBorder="1"/>
    <xf numFmtId="0" fontId="7" fillId="0" borderId="53" xfId="0" applyFont="1" applyBorder="1"/>
    <xf numFmtId="9" fontId="7" fillId="0" borderId="54" xfId="0" applyNumberFormat="1" applyFont="1" applyBorder="1"/>
    <xf numFmtId="0" fontId="7" fillId="0" borderId="59" xfId="0" applyFont="1" applyBorder="1"/>
    <xf numFmtId="0" fontId="7" fillId="0" borderId="57" xfId="0" applyFont="1" applyBorder="1"/>
    <xf numFmtId="9" fontId="7" fillId="0" borderId="58" xfId="0" applyNumberFormat="1" applyFont="1" applyBorder="1" applyAlignment="1">
      <alignment horizontal="right"/>
    </xf>
    <xf numFmtId="0" fontId="7" fillId="0" borderId="60" xfId="0" applyFont="1" applyBorder="1"/>
    <xf numFmtId="166" fontId="7" fillId="0" borderId="58" xfId="0" applyNumberFormat="1" applyFont="1" applyBorder="1"/>
    <xf numFmtId="0" fontId="7" fillId="0" borderId="61" xfId="0" applyFont="1" applyBorder="1"/>
    <xf numFmtId="0" fontId="7" fillId="0" borderId="62" xfId="0" applyFont="1" applyBorder="1"/>
    <xf numFmtId="0" fontId="7" fillId="0" borderId="63" xfId="0" applyFont="1" applyBorder="1"/>
    <xf numFmtId="0" fontId="1" fillId="8" borderId="51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 wrapText="1"/>
    </xf>
    <xf numFmtId="0" fontId="1" fillId="8" borderId="66" xfId="0" applyFont="1" applyFill="1" applyBorder="1" applyAlignment="1">
      <alignment horizontal="center" vertical="center" wrapText="1"/>
    </xf>
    <xf numFmtId="0" fontId="1" fillId="0" borderId="55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right" vertical="center" wrapText="1"/>
    </xf>
    <xf numFmtId="0" fontId="1" fillId="0" borderId="56" xfId="0" applyFont="1" applyBorder="1" applyAlignment="1">
      <alignment horizontal="center" vertical="center" wrapText="1"/>
    </xf>
    <xf numFmtId="2" fontId="1" fillId="0" borderId="65" xfId="0" applyNumberFormat="1" applyFont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left" vertical="center" wrapText="1"/>
    </xf>
    <xf numFmtId="0" fontId="1" fillId="5" borderId="60" xfId="0" applyFont="1" applyFill="1" applyBorder="1" applyAlignment="1">
      <alignment horizontal="center" vertical="center" wrapText="1"/>
    </xf>
    <xf numFmtId="0" fontId="22" fillId="0" borderId="57" xfId="0" applyFont="1" applyBorder="1" applyAlignment="1">
      <alignment horizontal="left" vertical="center" wrapText="1"/>
    </xf>
    <xf numFmtId="2" fontId="22" fillId="0" borderId="58" xfId="0" applyNumberFormat="1" applyFont="1" applyBorder="1" applyAlignment="1">
      <alignment horizontal="right"/>
    </xf>
    <xf numFmtId="0" fontId="22" fillId="0" borderId="58" xfId="0" applyFont="1" applyBorder="1" applyAlignment="1">
      <alignment horizontal="center"/>
    </xf>
    <xf numFmtId="0" fontId="22" fillId="5" borderId="58" xfId="0" applyFont="1" applyFill="1" applyBorder="1" applyAlignment="1">
      <alignment horizontal="right"/>
    </xf>
    <xf numFmtId="0" fontId="22" fillId="5" borderId="58" xfId="0" applyFont="1" applyFill="1" applyBorder="1" applyAlignment="1">
      <alignment horizontal="center"/>
    </xf>
    <xf numFmtId="0" fontId="22" fillId="5" borderId="60" xfId="0" applyFont="1" applyFill="1" applyBorder="1" applyAlignment="1">
      <alignment horizontal="center"/>
    </xf>
    <xf numFmtId="0" fontId="22" fillId="0" borderId="58" xfId="0" applyFont="1" applyBorder="1" applyAlignment="1">
      <alignment horizontal="right"/>
    </xf>
    <xf numFmtId="2" fontId="6" fillId="11" borderId="4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8" borderId="14" xfId="0" applyFont="1" applyFill="1" applyBorder="1"/>
    <xf numFmtId="2" fontId="6" fillId="8" borderId="16" xfId="0" applyNumberFormat="1" applyFont="1" applyFill="1" applyBorder="1" applyAlignment="1">
      <alignment horizontal="center"/>
    </xf>
    <xf numFmtId="0" fontId="7" fillId="0" borderId="17" xfId="0" applyFont="1" applyBorder="1"/>
    <xf numFmtId="2" fontId="7" fillId="0" borderId="18" xfId="0" applyNumberFormat="1" applyFont="1" applyBorder="1"/>
    <xf numFmtId="2" fontId="7" fillId="0" borderId="45" xfId="0" applyNumberFormat="1" applyFont="1" applyBorder="1"/>
    <xf numFmtId="0" fontId="6" fillId="11" borderId="17" xfId="0" applyFont="1" applyFill="1" applyBorder="1"/>
    <xf numFmtId="2" fontId="6" fillId="11" borderId="18" xfId="0" applyNumberFormat="1" applyFont="1" applyFill="1" applyBorder="1"/>
    <xf numFmtId="0" fontId="6" fillId="8" borderId="17" xfId="0" applyFont="1" applyFill="1" applyBorder="1"/>
    <xf numFmtId="2" fontId="6" fillId="8" borderId="18" xfId="0" applyNumberFormat="1" applyFont="1" applyFill="1" applyBorder="1" applyAlignment="1">
      <alignment horizontal="center"/>
    </xf>
    <xf numFmtId="0" fontId="6" fillId="11" borderId="19" xfId="0" applyFont="1" applyFill="1" applyBorder="1"/>
    <xf numFmtId="2" fontId="6" fillId="11" borderId="21" xfId="0" applyNumberFormat="1" applyFont="1" applyFill="1" applyBorder="1"/>
    <xf numFmtId="2" fontId="6" fillId="0" borderId="0" xfId="0" applyNumberFormat="1" applyFont="1"/>
    <xf numFmtId="0" fontId="6" fillId="13" borderId="14" xfId="0" applyFont="1" applyFill="1" applyBorder="1"/>
    <xf numFmtId="0" fontId="6" fillId="13" borderId="16" xfId="0" applyFont="1" applyFill="1" applyBorder="1" applyAlignment="1">
      <alignment horizontal="center"/>
    </xf>
    <xf numFmtId="0" fontId="7" fillId="0" borderId="19" xfId="0" applyFont="1" applyBorder="1"/>
    <xf numFmtId="2" fontId="7" fillId="0" borderId="21" xfId="0" applyNumberFormat="1" applyFont="1" applyBorder="1"/>
    <xf numFmtId="0" fontId="7" fillId="4" borderId="76" xfId="0" applyFont="1" applyFill="1" applyBorder="1"/>
    <xf numFmtId="2" fontId="7" fillId="4" borderId="77" xfId="0" applyNumberFormat="1" applyFont="1" applyFill="1" applyBorder="1"/>
    <xf numFmtId="0" fontId="7" fillId="4" borderId="78" xfId="0" applyFont="1" applyFill="1" applyBorder="1"/>
    <xf numFmtId="0" fontId="7" fillId="4" borderId="79" xfId="0" applyFont="1" applyFill="1" applyBorder="1"/>
    <xf numFmtId="2" fontId="7" fillId="4" borderId="4" xfId="0" applyNumberFormat="1" applyFont="1" applyFill="1" applyBorder="1"/>
    <xf numFmtId="0" fontId="7" fillId="4" borderId="80" xfId="0" applyFont="1" applyFill="1" applyBorder="1"/>
    <xf numFmtId="0" fontId="6" fillId="4" borderId="79" xfId="0" applyFont="1" applyFill="1" applyBorder="1"/>
    <xf numFmtId="2" fontId="6" fillId="4" borderId="4" xfId="0" applyNumberFormat="1" applyFont="1" applyFill="1" applyBorder="1"/>
    <xf numFmtId="1" fontId="6" fillId="4" borderId="4" xfId="0" applyNumberFormat="1" applyFont="1" applyFill="1" applyBorder="1" applyAlignment="1">
      <alignment horizontal="center"/>
    </xf>
    <xf numFmtId="0" fontId="7" fillId="4" borderId="80" xfId="0" applyFont="1" applyFill="1" applyBorder="1" applyAlignment="1">
      <alignment horizontal="left"/>
    </xf>
    <xf numFmtId="0" fontId="6" fillId="4" borderId="81" xfId="0" applyFont="1" applyFill="1" applyBorder="1"/>
    <xf numFmtId="2" fontId="6" fillId="4" borderId="82" xfId="0" applyNumberFormat="1" applyFont="1" applyFill="1" applyBorder="1" applyAlignment="1">
      <alignment horizontal="center"/>
    </xf>
    <xf numFmtId="0" fontId="7" fillId="4" borderId="83" xfId="0" applyFont="1" applyFill="1" applyBorder="1"/>
    <xf numFmtId="10" fontId="13" fillId="20" borderId="56" xfId="2" applyNumberFormat="1" applyFont="1" applyFill="1" applyBorder="1" applyAlignment="1">
      <alignment horizontal="center"/>
    </xf>
    <xf numFmtId="10" fontId="13" fillId="20" borderId="65" xfId="2" applyNumberFormat="1" applyFont="1" applyFill="1" applyBorder="1" applyAlignment="1">
      <alignment horizontal="center"/>
    </xf>
    <xf numFmtId="9" fontId="2" fillId="20" borderId="62" xfId="2" applyNumberFormat="1" applyFont="1" applyFill="1" applyBorder="1" applyAlignment="1">
      <alignment horizontal="center"/>
    </xf>
    <xf numFmtId="9" fontId="2" fillId="20" borderId="63" xfId="2" applyNumberFormat="1" applyFont="1" applyFill="1" applyBorder="1" applyAlignment="1">
      <alignment horizontal="center"/>
    </xf>
    <xf numFmtId="0" fontId="27" fillId="22" borderId="58" xfId="1" applyFont="1" applyFill="1" applyBorder="1" applyAlignment="1">
      <alignment horizontal="left"/>
    </xf>
    <xf numFmtId="0" fontId="28" fillId="22" borderId="58" xfId="1" applyFont="1" applyFill="1" applyBorder="1" applyAlignment="1">
      <alignment horizontal="right"/>
    </xf>
    <xf numFmtId="0" fontId="29" fillId="19" borderId="58" xfId="1" applyFont="1" applyFill="1" applyBorder="1" applyAlignment="1">
      <alignment horizontal="left"/>
    </xf>
    <xf numFmtId="0" fontId="2" fillId="0" borderId="58" xfId="1" applyFill="1" applyBorder="1" applyAlignment="1"/>
    <xf numFmtId="0" fontId="24" fillId="0" borderId="58" xfId="1" applyFont="1" applyFill="1" applyBorder="1" applyAlignment="1">
      <alignment vertical="top" wrapText="1"/>
    </xf>
    <xf numFmtId="0" fontId="30" fillId="19" borderId="58" xfId="1" applyFont="1" applyFill="1" applyBorder="1" applyAlignment="1">
      <alignment horizontal="left"/>
    </xf>
    <xf numFmtId="169" fontId="2" fillId="0" borderId="58" xfId="1" applyNumberFormat="1" applyFill="1" applyBorder="1" applyAlignment="1"/>
    <xf numFmtId="2" fontId="2" fillId="0" borderId="58" xfId="1" applyNumberFormat="1" applyFill="1" applyBorder="1" applyAlignment="1"/>
    <xf numFmtId="1" fontId="2" fillId="0" borderId="58" xfId="1" applyNumberFormat="1" applyFill="1" applyBorder="1" applyAlignment="1">
      <alignment horizontal="right"/>
    </xf>
    <xf numFmtId="2" fontId="2" fillId="0" borderId="58" xfId="1" applyNumberFormat="1" applyFill="1" applyBorder="1" applyAlignment="1">
      <alignment horizontal="right"/>
    </xf>
    <xf numFmtId="165" fontId="2" fillId="0" borderId="58" xfId="1" applyNumberFormat="1" applyFill="1" applyBorder="1" applyAlignment="1">
      <alignment horizontal="right"/>
    </xf>
    <xf numFmtId="9" fontId="2" fillId="0" borderId="58" xfId="1" applyNumberFormat="1" applyFill="1" applyBorder="1" applyAlignment="1">
      <alignment horizontal="right"/>
    </xf>
    <xf numFmtId="0" fontId="13" fillId="13" borderId="57" xfId="1" applyFont="1" applyFill="1" applyBorder="1" applyAlignment="1">
      <alignment horizontal="center" vertical="center"/>
    </xf>
    <xf numFmtId="166" fontId="13" fillId="13" borderId="60" xfId="3" applyNumberFormat="1" applyFont="1" applyFill="1" applyBorder="1" applyAlignment="1">
      <alignment horizontal="center" vertical="center"/>
    </xf>
    <xf numFmtId="0" fontId="13" fillId="7" borderId="57" xfId="1" applyFont="1" applyFill="1" applyBorder="1" applyAlignment="1">
      <alignment horizontal="center" vertical="center"/>
    </xf>
    <xf numFmtId="0" fontId="13" fillId="7" borderId="60" xfId="1" applyFont="1" applyFill="1" applyBorder="1" applyAlignment="1">
      <alignment horizontal="center" vertical="center"/>
    </xf>
    <xf numFmtId="0" fontId="13" fillId="13" borderId="61" xfId="1" applyFont="1" applyFill="1" applyBorder="1" applyAlignment="1">
      <alignment horizontal="center" vertical="center"/>
    </xf>
    <xf numFmtId="165" fontId="13" fillId="13" borderId="63" xfId="1" applyNumberFormat="1" applyFont="1" applyFill="1" applyBorder="1" applyAlignment="1">
      <alignment horizontal="center" vertical="center"/>
    </xf>
    <xf numFmtId="0" fontId="0" fillId="23" borderId="4" xfId="0" applyFont="1" applyFill="1" applyBorder="1"/>
    <xf numFmtId="0" fontId="0" fillId="0" borderId="0" xfId="0" applyFont="1" applyAlignment="1"/>
    <xf numFmtId="0" fontId="7" fillId="0" borderId="99" xfId="0" applyFont="1" applyFill="1" applyBorder="1" applyAlignment="1"/>
    <xf numFmtId="0" fontId="0" fillId="0" borderId="58" xfId="0" applyFont="1" applyBorder="1" applyAlignment="1">
      <alignment horizontal="center"/>
    </xf>
    <xf numFmtId="1" fontId="0" fillId="0" borderId="58" xfId="0" applyNumberFormat="1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65" xfId="0" applyFont="1" applyBorder="1" applyAlignment="1">
      <alignment horizontal="center"/>
    </xf>
    <xf numFmtId="0" fontId="1" fillId="13" borderId="51" xfId="0" applyFont="1" applyFill="1" applyBorder="1" applyAlignment="1">
      <alignment horizontal="center"/>
    </xf>
    <xf numFmtId="0" fontId="1" fillId="13" borderId="52" xfId="0" applyFont="1" applyFill="1" applyBorder="1" applyAlignment="1">
      <alignment horizontal="center"/>
    </xf>
    <xf numFmtId="0" fontId="1" fillId="13" borderId="66" xfId="0" applyFont="1" applyFill="1" applyBorder="1" applyAlignment="1">
      <alignment horizontal="center"/>
    </xf>
    <xf numFmtId="0" fontId="0" fillId="0" borderId="96" xfId="0" applyFont="1" applyBorder="1" applyAlignment="1">
      <alignment horizontal="center"/>
    </xf>
    <xf numFmtId="1" fontId="0" fillId="0" borderId="97" xfId="0" applyNumberFormat="1" applyFont="1" applyBorder="1" applyAlignment="1">
      <alignment horizontal="center"/>
    </xf>
    <xf numFmtId="1" fontId="0" fillId="0" borderId="98" xfId="0" applyNumberFormat="1" applyFont="1" applyBorder="1" applyAlignment="1">
      <alignment horizontal="center"/>
    </xf>
    <xf numFmtId="0" fontId="22" fillId="0" borderId="4" xfId="0" applyFont="1" applyBorder="1" applyAlignment="1">
      <alignment wrapText="1"/>
    </xf>
    <xf numFmtId="0" fontId="22" fillId="0" borderId="55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1" fontId="1" fillId="13" borderId="52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29" xfId="0" applyFont="1" applyFill="1" applyBorder="1" applyAlignment="1" applyProtection="1">
      <alignment horizontal="center" vertical="center"/>
      <protection hidden="1"/>
    </xf>
    <xf numFmtId="171" fontId="0" fillId="0" borderId="29" xfId="0" applyNumberFormat="1" applyFont="1" applyBorder="1" applyAlignment="1"/>
    <xf numFmtId="171" fontId="22" fillId="0" borderId="58" xfId="0" applyNumberFormat="1" applyFont="1" applyFill="1" applyBorder="1" applyAlignment="1"/>
    <xf numFmtId="0" fontId="0" fillId="0" borderId="0" xfId="0" applyFont="1" applyAlignment="1"/>
    <xf numFmtId="0" fontId="2" fillId="7" borderId="29" xfId="6" applyFill="1"/>
    <xf numFmtId="4" fontId="2" fillId="7" borderId="29" xfId="6" applyNumberFormat="1" applyFill="1"/>
    <xf numFmtId="165" fontId="2" fillId="7" borderId="29" xfId="7" applyNumberFormat="1" applyFont="1" applyFill="1"/>
    <xf numFmtId="10" fontId="2" fillId="7" borderId="29" xfId="7" applyNumberFormat="1" applyFont="1" applyFill="1"/>
    <xf numFmtId="10" fontId="2" fillId="7" borderId="29" xfId="6" applyNumberFormat="1" applyFill="1"/>
    <xf numFmtId="0" fontId="2" fillId="7" borderId="29" xfId="6" applyFill="1" applyAlignment="1">
      <alignment horizontal="right"/>
    </xf>
    <xf numFmtId="167" fontId="2" fillId="7" borderId="29" xfId="6" applyNumberFormat="1" applyFill="1"/>
    <xf numFmtId="1" fontId="0" fillId="0" borderId="20" xfId="0" applyNumberFormat="1" applyFont="1" applyFill="1" applyBorder="1"/>
    <xf numFmtId="0" fontId="22" fillId="0" borderId="0" xfId="0" applyFont="1" applyAlignment="1">
      <alignment horizontal="right"/>
    </xf>
    <xf numFmtId="9" fontId="0" fillId="0" borderId="0" xfId="0" applyNumberFormat="1" applyFont="1" applyAlignment="1"/>
    <xf numFmtId="0" fontId="0" fillId="0" borderId="0" xfId="0" applyFont="1" applyAlignment="1"/>
    <xf numFmtId="171" fontId="22" fillId="0" borderId="29" xfId="0" applyNumberFormat="1" applyFont="1" applyFill="1" applyBorder="1" applyAlignment="1"/>
    <xf numFmtId="171" fontId="13" fillId="7" borderId="53" xfId="4" applyNumberFormat="1" applyFont="1" applyFill="1" applyBorder="1" applyAlignment="1" applyProtection="1">
      <alignment horizontal="center"/>
      <protection hidden="1"/>
    </xf>
    <xf numFmtId="171" fontId="2" fillId="7" borderId="54" xfId="4" applyNumberFormat="1" applyFont="1" applyFill="1" applyBorder="1" applyAlignment="1" applyProtection="1">
      <alignment horizontal="center"/>
      <protection hidden="1"/>
    </xf>
    <xf numFmtId="171" fontId="13" fillId="7" borderId="54" xfId="4" applyNumberFormat="1" applyFont="1" applyFill="1" applyBorder="1" applyAlignment="1" applyProtection="1">
      <alignment horizontal="center"/>
      <protection hidden="1"/>
    </xf>
    <xf numFmtId="171" fontId="13" fillId="7" borderId="59" xfId="4" applyNumberFormat="1" applyFont="1" applyFill="1" applyBorder="1" applyAlignment="1" applyProtection="1">
      <protection hidden="1"/>
    </xf>
    <xf numFmtId="172" fontId="2" fillId="0" borderId="57" xfId="4" applyNumberFormat="1" applyFont="1" applyFill="1" applyBorder="1" applyAlignment="1" applyProtection="1">
      <alignment horizontal="center" vertical="center"/>
      <protection hidden="1"/>
    </xf>
    <xf numFmtId="171" fontId="2" fillId="0" borderId="60" xfId="4" applyNumberFormat="1" applyFont="1" applyFill="1" applyBorder="1" applyAlignment="1" applyProtection="1">
      <protection hidden="1"/>
    </xf>
    <xf numFmtId="0" fontId="22" fillId="0" borderId="57" xfId="0" applyFont="1" applyFill="1" applyBorder="1" applyAlignment="1">
      <alignment horizontal="right"/>
    </xf>
    <xf numFmtId="171" fontId="22" fillId="0" borderId="60" xfId="0" applyNumberFormat="1" applyFont="1" applyFill="1" applyBorder="1" applyAlignment="1"/>
    <xf numFmtId="0" fontId="0" fillId="0" borderId="57" xfId="0" applyFont="1" applyBorder="1" applyAlignment="1"/>
    <xf numFmtId="171" fontId="13" fillId="24" borderId="51" xfId="4" applyNumberFormat="1" applyFont="1" applyFill="1" applyBorder="1" applyAlignment="1" applyProtection="1">
      <alignment horizontal="center"/>
      <protection hidden="1"/>
    </xf>
    <xf numFmtId="171" fontId="13" fillId="24" borderId="52" xfId="4" applyNumberFormat="1" applyFont="1" applyFill="1" applyBorder="1" applyAlignment="1" applyProtection="1">
      <alignment horizontal="center"/>
      <protection hidden="1"/>
    </xf>
    <xf numFmtId="171" fontId="13" fillId="24" borderId="66" xfId="4" applyNumberFormat="1" applyFont="1" applyFill="1" applyBorder="1" applyAlignment="1" applyProtection="1">
      <protection hidden="1"/>
    </xf>
    <xf numFmtId="10" fontId="7" fillId="0" borderId="58" xfId="0" applyNumberFormat="1" applyFont="1" applyBorder="1"/>
    <xf numFmtId="2" fontId="0" fillId="0" borderId="0" xfId="0" applyNumberFormat="1" applyFont="1" applyAlignment="1"/>
    <xf numFmtId="1" fontId="1" fillId="26" borderId="29" xfId="0" applyNumberFormat="1" applyFont="1" applyFill="1" applyBorder="1" applyAlignment="1">
      <alignment horizontal="center"/>
    </xf>
    <xf numFmtId="0" fontId="0" fillId="7" borderId="29" xfId="0" applyFont="1" applyFill="1" applyBorder="1"/>
    <xf numFmtId="0" fontId="0" fillId="7" borderId="29" xfId="0" applyFont="1" applyFill="1" applyBorder="1" applyAlignment="1"/>
    <xf numFmtId="0" fontId="35" fillId="7" borderId="29" xfId="0" applyFont="1" applyFill="1" applyBorder="1"/>
    <xf numFmtId="0" fontId="36" fillId="26" borderId="68" xfId="0" applyFont="1" applyFill="1" applyBorder="1" applyAlignment="1">
      <alignment horizontal="center"/>
    </xf>
    <xf numFmtId="0" fontId="37" fillId="7" borderId="29" xfId="0" applyFont="1" applyFill="1" applyBorder="1"/>
    <xf numFmtId="1" fontId="37" fillId="7" borderId="29" xfId="0" applyNumberFormat="1" applyFont="1" applyFill="1" applyBorder="1" applyAlignment="1">
      <alignment horizontal="center"/>
    </xf>
    <xf numFmtId="1" fontId="37" fillId="7" borderId="29" xfId="0" applyNumberFormat="1" applyFont="1" applyFill="1" applyBorder="1" applyAlignment="1">
      <alignment horizontal="left"/>
    </xf>
    <xf numFmtId="1" fontId="37" fillId="7" borderId="29" xfId="0" applyNumberFormat="1" applyFont="1" applyFill="1" applyBorder="1"/>
    <xf numFmtId="0" fontId="37" fillId="7" borderId="29" xfId="0" applyFont="1" applyFill="1" applyBorder="1" applyAlignment="1">
      <alignment horizontal="center"/>
    </xf>
    <xf numFmtId="0" fontId="37" fillId="7" borderId="29" xfId="0" applyFont="1" applyFill="1" applyBorder="1" applyAlignment="1">
      <alignment horizontal="left"/>
    </xf>
    <xf numFmtId="0" fontId="36" fillId="7" borderId="29" xfId="0" applyFont="1" applyFill="1" applyBorder="1"/>
    <xf numFmtId="1" fontId="36" fillId="7" borderId="29" xfId="0" applyNumberFormat="1" applyFont="1" applyFill="1" applyBorder="1" applyAlignment="1">
      <alignment horizontal="center"/>
    </xf>
    <xf numFmtId="0" fontId="36" fillId="26" borderId="68" xfId="0" applyFont="1" applyFill="1" applyBorder="1"/>
    <xf numFmtId="1" fontId="36" fillId="26" borderId="68" xfId="0" applyNumberFormat="1" applyFont="1" applyFill="1" applyBorder="1" applyAlignment="1">
      <alignment horizontal="center"/>
    </xf>
    <xf numFmtId="0" fontId="35" fillId="26" borderId="29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3" fillId="3" borderId="8" xfId="0" applyFont="1" applyFill="1" applyBorder="1" applyAlignment="1">
      <alignment horizontal="center" vertical="center"/>
    </xf>
    <xf numFmtId="0" fontId="2" fillId="21" borderId="85" xfId="1" applyFont="1" applyFill="1" applyBorder="1" applyAlignment="1">
      <alignment horizontal="center"/>
    </xf>
    <xf numFmtId="0" fontId="13" fillId="21" borderId="85" xfId="1" applyFont="1" applyFill="1" applyBorder="1" applyAlignment="1">
      <alignment horizontal="center"/>
    </xf>
    <xf numFmtId="0" fontId="27" fillId="22" borderId="58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2" fillId="0" borderId="29" xfId="0" applyFont="1" applyBorder="1"/>
    <xf numFmtId="0" fontId="1" fillId="10" borderId="67" xfId="0" applyFont="1" applyFill="1" applyBorder="1" applyAlignment="1">
      <alignment horizontal="left" vertical="center" wrapText="1"/>
    </xf>
    <xf numFmtId="0" fontId="1" fillId="10" borderId="68" xfId="0" applyFont="1" applyFill="1" applyBorder="1" applyAlignment="1">
      <alignment horizontal="left" vertical="center" wrapText="1"/>
    </xf>
    <xf numFmtId="0" fontId="1" fillId="10" borderId="69" xfId="0" applyFont="1" applyFill="1" applyBorder="1" applyAlignment="1">
      <alignment horizontal="left" vertical="center" wrapText="1"/>
    </xf>
    <xf numFmtId="0" fontId="1" fillId="8" borderId="70" xfId="0" applyFont="1" applyFill="1" applyBorder="1" applyAlignment="1">
      <alignment horizontal="left" vertical="center" wrapText="1"/>
    </xf>
    <xf numFmtId="0" fontId="1" fillId="8" borderId="71" xfId="0" applyFont="1" applyFill="1" applyBorder="1" applyAlignment="1">
      <alignment horizontal="left" vertical="center" wrapText="1"/>
    </xf>
    <xf numFmtId="0" fontId="1" fillId="8" borderId="72" xfId="0" applyFont="1" applyFill="1" applyBorder="1" applyAlignment="1">
      <alignment horizontal="left" vertical="center" wrapText="1"/>
    </xf>
    <xf numFmtId="0" fontId="1" fillId="9" borderId="67" xfId="0" applyFont="1" applyFill="1" applyBorder="1" applyAlignment="1">
      <alignment horizontal="left" vertical="center" wrapText="1"/>
    </xf>
    <xf numFmtId="0" fontId="1" fillId="9" borderId="68" xfId="0" applyFont="1" applyFill="1" applyBorder="1" applyAlignment="1">
      <alignment horizontal="left" vertical="center" wrapText="1"/>
    </xf>
    <xf numFmtId="0" fontId="1" fillId="9" borderId="69" xfId="0" applyFont="1" applyFill="1" applyBorder="1" applyAlignment="1">
      <alignment horizontal="left" vertical="center" wrapText="1"/>
    </xf>
    <xf numFmtId="0" fontId="1" fillId="14" borderId="67" xfId="0" applyFont="1" applyFill="1" applyBorder="1" applyAlignment="1">
      <alignment horizontal="left" vertical="center" wrapText="1"/>
    </xf>
    <xf numFmtId="0" fontId="1" fillId="14" borderId="68" xfId="0" applyFont="1" applyFill="1" applyBorder="1" applyAlignment="1">
      <alignment horizontal="left" vertical="center" wrapText="1"/>
    </xf>
    <xf numFmtId="0" fontId="1" fillId="14" borderId="7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13" borderId="57" xfId="0" applyFont="1" applyFill="1" applyBorder="1" applyAlignment="1">
      <alignment horizontal="left" vertical="center" wrapText="1"/>
    </xf>
    <xf numFmtId="0" fontId="1" fillId="13" borderId="58" xfId="0" applyFont="1" applyFill="1" applyBorder="1" applyAlignment="1">
      <alignment horizontal="left" vertical="center" wrapText="1"/>
    </xf>
    <xf numFmtId="0" fontId="1" fillId="13" borderId="67" xfId="0" applyFont="1" applyFill="1" applyBorder="1" applyAlignment="1">
      <alignment horizontal="left" vertical="center" wrapText="1"/>
    </xf>
    <xf numFmtId="0" fontId="1" fillId="13" borderId="68" xfId="0" applyFont="1" applyFill="1" applyBorder="1" applyAlignment="1">
      <alignment horizontal="left" vertical="center" wrapText="1"/>
    </xf>
    <xf numFmtId="0" fontId="1" fillId="13" borderId="69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horizontal="center" vertical="center" wrapText="1"/>
    </xf>
    <xf numFmtId="0" fontId="2" fillId="0" borderId="35" xfId="0" applyFont="1" applyBorder="1"/>
    <xf numFmtId="0" fontId="6" fillId="13" borderId="32" xfId="0" applyFont="1" applyFill="1" applyBorder="1" applyAlignment="1">
      <alignment horizontal="left" vertical="center" wrapText="1"/>
    </xf>
    <xf numFmtId="0" fontId="6" fillId="13" borderId="47" xfId="0" applyFont="1" applyFill="1" applyBorder="1" applyAlignment="1">
      <alignment horizontal="left" vertical="center" wrapText="1"/>
    </xf>
    <xf numFmtId="0" fontId="6" fillId="13" borderId="48" xfId="0" applyFont="1" applyFill="1" applyBorder="1" applyAlignment="1">
      <alignment horizontal="left" vertical="center" wrapText="1"/>
    </xf>
    <xf numFmtId="0" fontId="6" fillId="13" borderId="75" xfId="0" applyFont="1" applyFill="1" applyBorder="1" applyAlignment="1">
      <alignment horizontal="left" vertical="center" wrapText="1"/>
    </xf>
    <xf numFmtId="0" fontId="6" fillId="13" borderId="39" xfId="0" applyFont="1" applyFill="1" applyBorder="1" applyAlignment="1">
      <alignment horizontal="left" vertical="center" wrapText="1"/>
    </xf>
    <xf numFmtId="0" fontId="6" fillId="13" borderId="40" xfId="0" applyFont="1" applyFill="1" applyBorder="1" applyAlignment="1">
      <alignment horizontal="left" vertical="center" wrapText="1"/>
    </xf>
    <xf numFmtId="0" fontId="6" fillId="11" borderId="49" xfId="0" applyFont="1" applyFill="1" applyBorder="1" applyAlignment="1">
      <alignment horizontal="center" vertical="center" wrapText="1"/>
    </xf>
    <xf numFmtId="0" fontId="6" fillId="11" borderId="50" xfId="0" applyFont="1" applyFill="1" applyBorder="1" applyAlignment="1">
      <alignment horizontal="center" vertical="center" wrapText="1"/>
    </xf>
    <xf numFmtId="0" fontId="6" fillId="11" borderId="74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/>
    </xf>
    <xf numFmtId="0" fontId="2" fillId="13" borderId="25" xfId="0" applyFont="1" applyFill="1" applyBorder="1"/>
    <xf numFmtId="0" fontId="1" fillId="8" borderId="37" xfId="0" applyFont="1" applyFill="1" applyBorder="1" applyAlignment="1">
      <alignment horizontal="center"/>
    </xf>
    <xf numFmtId="0" fontId="2" fillId="13" borderId="26" xfId="0" applyFont="1" applyFill="1" applyBorder="1"/>
    <xf numFmtId="0" fontId="1" fillId="8" borderId="38" xfId="0" applyFont="1" applyFill="1" applyBorder="1" applyAlignment="1">
      <alignment horizontal="center"/>
    </xf>
    <xf numFmtId="0" fontId="2" fillId="13" borderId="39" xfId="0" applyFont="1" applyFill="1" applyBorder="1"/>
    <xf numFmtId="0" fontId="2" fillId="13" borderId="40" xfId="0" applyFont="1" applyFill="1" applyBorder="1"/>
    <xf numFmtId="0" fontId="1" fillId="8" borderId="41" xfId="0" applyFont="1" applyFill="1" applyBorder="1" applyAlignment="1">
      <alignment horizontal="center"/>
    </xf>
    <xf numFmtId="0" fontId="2" fillId="13" borderId="27" xfId="0" applyFont="1" applyFill="1" applyBorder="1"/>
    <xf numFmtId="0" fontId="1" fillId="16" borderId="28" xfId="0" applyFont="1" applyFill="1" applyBorder="1" applyAlignment="1">
      <alignment horizontal="center"/>
    </xf>
    <xf numFmtId="0" fontId="2" fillId="13" borderId="9" xfId="0" applyFont="1" applyFill="1" applyBorder="1"/>
    <xf numFmtId="0" fontId="2" fillId="13" borderId="29" xfId="0" applyFont="1" applyFill="1" applyBorder="1"/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15" borderId="28" xfId="0" applyFont="1" applyFill="1" applyBorder="1" applyAlignment="1">
      <alignment horizontal="center"/>
    </xf>
    <xf numFmtId="0" fontId="1" fillId="8" borderId="49" xfId="0" applyFont="1" applyFill="1" applyBorder="1" applyAlignment="1">
      <alignment horizontal="center" vertical="center" wrapText="1"/>
    </xf>
    <xf numFmtId="0" fontId="1" fillId="8" borderId="50" xfId="0" applyFont="1" applyFill="1" applyBorder="1" applyAlignment="1">
      <alignment horizontal="center" vertical="center" wrapText="1"/>
    </xf>
    <xf numFmtId="0" fontId="1" fillId="8" borderId="74" xfId="0" applyFont="1" applyFill="1" applyBorder="1" applyAlignment="1">
      <alignment horizontal="center" vertical="center" wrapText="1"/>
    </xf>
    <xf numFmtId="0" fontId="1" fillId="13" borderId="32" xfId="0" applyFont="1" applyFill="1" applyBorder="1" applyAlignment="1">
      <alignment horizontal="left" wrapText="1"/>
    </xf>
    <xf numFmtId="0" fontId="1" fillId="13" borderId="47" xfId="0" applyFont="1" applyFill="1" applyBorder="1" applyAlignment="1">
      <alignment horizontal="left" wrapText="1"/>
    </xf>
    <xf numFmtId="0" fontId="1" fillId="13" borderId="48" xfId="0" applyFont="1" applyFill="1" applyBorder="1" applyAlignment="1">
      <alignment horizontal="left" wrapText="1"/>
    </xf>
    <xf numFmtId="0" fontId="1" fillId="13" borderId="75" xfId="0" applyFont="1" applyFill="1" applyBorder="1" applyAlignment="1">
      <alignment horizontal="left" wrapText="1"/>
    </xf>
    <xf numFmtId="0" fontId="1" fillId="13" borderId="39" xfId="0" applyFont="1" applyFill="1" applyBorder="1" applyAlignment="1">
      <alignment horizontal="left" wrapText="1"/>
    </xf>
    <xf numFmtId="0" fontId="1" fillId="13" borderId="40" xfId="0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6" fillId="4" borderId="29" xfId="0" applyFont="1" applyFill="1" applyBorder="1" applyAlignment="1">
      <alignment horizontal="center"/>
    </xf>
    <xf numFmtId="0" fontId="32" fillId="0" borderId="29" xfId="0" applyFont="1" applyBorder="1"/>
    <xf numFmtId="0" fontId="0" fillId="0" borderId="0" xfId="0" applyFont="1" applyAlignment="1">
      <alignment horizontal="center"/>
    </xf>
    <xf numFmtId="0" fontId="1" fillId="4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6" fillId="11" borderId="1" xfId="0" applyFont="1" applyFill="1" applyBorder="1" applyAlignment="1">
      <alignment horizontal="center"/>
    </xf>
    <xf numFmtId="0" fontId="32" fillId="13" borderId="2" xfId="0" applyFont="1" applyFill="1" applyBorder="1"/>
    <xf numFmtId="0" fontId="32" fillId="13" borderId="3" xfId="0" applyFont="1" applyFill="1" applyBorder="1"/>
    <xf numFmtId="0" fontId="6" fillId="17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34" fillId="13" borderId="2" xfId="0" applyFont="1" applyFill="1" applyBorder="1"/>
    <xf numFmtId="0" fontId="34" fillId="13" borderId="3" xfId="0" applyFont="1" applyFill="1" applyBorder="1"/>
    <xf numFmtId="0" fontId="13" fillId="13" borderId="86" xfId="1" applyFont="1" applyFill="1" applyBorder="1" applyAlignment="1">
      <alignment horizontal="center"/>
    </xf>
    <xf numFmtId="0" fontId="13" fillId="13" borderId="88" xfId="1" applyFont="1" applyFill="1" applyBorder="1" applyAlignment="1">
      <alignment horizontal="center"/>
    </xf>
    <xf numFmtId="0" fontId="13" fillId="25" borderId="91" xfId="1" applyFont="1" applyFill="1" applyBorder="1" applyAlignment="1">
      <alignment horizontal="center"/>
    </xf>
    <xf numFmtId="0" fontId="13" fillId="25" borderId="93" xfId="1" applyFont="1" applyFill="1" applyBorder="1" applyAlignment="1">
      <alignment horizontal="center"/>
    </xf>
    <xf numFmtId="0" fontId="2" fillId="7" borderId="29" xfId="1" applyFill="1" applyBorder="1"/>
    <xf numFmtId="0" fontId="38" fillId="7" borderId="29" xfId="1" applyFont="1" applyFill="1" applyBorder="1"/>
    <xf numFmtId="0" fontId="39" fillId="7" borderId="29" xfId="1" applyFont="1" applyFill="1" applyBorder="1" applyAlignment="1">
      <alignment horizontal="center"/>
    </xf>
    <xf numFmtId="0" fontId="38" fillId="7" borderId="29" xfId="1" applyFont="1" applyFill="1" applyBorder="1" applyAlignment="1">
      <alignment horizontal="center"/>
    </xf>
    <xf numFmtId="0" fontId="39" fillId="7" borderId="29" xfId="1" applyFont="1" applyFill="1" applyBorder="1" applyAlignment="1">
      <alignment horizontal="left"/>
    </xf>
    <xf numFmtId="0" fontId="38" fillId="7" borderId="29" xfId="1" applyFont="1" applyFill="1" applyBorder="1" applyAlignment="1">
      <alignment horizontal="left"/>
    </xf>
    <xf numFmtId="0" fontId="39" fillId="7" borderId="68" xfId="1" applyFont="1" applyFill="1" applyBorder="1" applyAlignment="1">
      <alignment horizontal="center"/>
    </xf>
    <xf numFmtId="0" fontId="38" fillId="7" borderId="68" xfId="1" applyFont="1" applyFill="1" applyBorder="1"/>
    <xf numFmtId="0" fontId="39" fillId="7" borderId="68" xfId="1" applyFont="1" applyFill="1" applyBorder="1" applyAlignment="1">
      <alignment horizontal="left"/>
    </xf>
    <xf numFmtId="170" fontId="39" fillId="7" borderId="68" xfId="1" applyNumberFormat="1" applyFont="1" applyFill="1" applyBorder="1" applyAlignment="1">
      <alignment horizontal="center"/>
    </xf>
    <xf numFmtId="165" fontId="39" fillId="7" borderId="68" xfId="1" applyNumberFormat="1" applyFont="1" applyFill="1" applyBorder="1" applyAlignment="1">
      <alignment horizontal="center"/>
    </xf>
    <xf numFmtId="164" fontId="11" fillId="0" borderId="58" xfId="4" applyFont="1" applyBorder="1" applyAlignment="1">
      <alignment horizontal="center"/>
    </xf>
    <xf numFmtId="10" fontId="38" fillId="7" borderId="29" xfId="1" applyNumberFormat="1" applyFont="1" applyFill="1" applyBorder="1" applyAlignment="1">
      <alignment horizontal="center"/>
    </xf>
    <xf numFmtId="10" fontId="38" fillId="7" borderId="29" xfId="2" applyNumberFormat="1" applyFont="1" applyFill="1" applyBorder="1" applyAlignment="1">
      <alignment horizontal="center"/>
    </xf>
  </cellXfs>
  <cellStyles count="8">
    <cellStyle name="Millares" xfId="4" builtinId="3"/>
    <cellStyle name="Millares 2" xfId="3" xr:uid="{00000000-0005-0000-0000-000001000000}"/>
    <cellStyle name="Normal" xfId="0" builtinId="0"/>
    <cellStyle name="Normal 2" xfId="1" xr:uid="{00000000-0005-0000-0000-000003000000}"/>
    <cellStyle name="Normal 3" xfId="5" xr:uid="{00000000-0005-0000-0000-000004000000}"/>
    <cellStyle name="Normal 4" xfId="6" xr:uid="{67EB4369-67C7-4E37-BF2F-8793EE7FB2E8}"/>
    <cellStyle name="Porcentaje 2" xfId="2" xr:uid="{00000000-0005-0000-0000-000005000000}"/>
    <cellStyle name="Porcentaje 3" xfId="7" xr:uid="{5325D758-5584-4B3D-BE61-D9B0C68EC5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urohack/Downloads/PLANTILLA_FINALIZADA_VER.%20BETA%201.2%20xD%20OK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urohack/OneDrive/Escritorio/MERMELADA%20DE%20ROCOTO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CIÓN"/>
      <sheetName val="INDICE"/>
      <sheetName val="Planteamiento"/>
      <sheetName val="Resumen"/>
      <sheetName val="Ventas_Unidades"/>
      <sheetName val="Inversion_Inicial"/>
      <sheetName val="Depreciacion"/>
      <sheetName val="Costos_operativos"/>
      <sheetName val="Costos_Unitarios"/>
      <sheetName val="Capital Trabajo"/>
      <sheetName val="Proyeccion_de_ventas"/>
      <sheetName val="Punto de equilibrio"/>
      <sheetName val="Ganancias y Perdidas"/>
      <sheetName val="Flujo_Deuda"/>
      <sheetName val="Flujos de Caja"/>
      <sheetName val="Rentabilidad"/>
      <sheetName val="Sensibilidad"/>
      <sheetName val="ESCENARIOS"/>
    </sheetNames>
    <sheetDataSet>
      <sheetData sheetId="0" refreshError="1"/>
      <sheetData sheetId="1" refreshError="1"/>
      <sheetData sheetId="2" refreshError="1"/>
      <sheetData sheetId="3" refreshError="1">
        <row r="12">
          <cell r="H12" t="str">
            <v>Precio  de venta</v>
          </cell>
        </row>
        <row r="13">
          <cell r="H13" t="str">
            <v>Costo de mano obra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Ventas_Unidades"/>
      <sheetName val="Presupuesto_Ventas"/>
      <sheetName val="Inversión_Inicial"/>
      <sheetName val="Depreciación_VR"/>
      <sheetName val="KW_Año 1"/>
      <sheetName val="Costos_Producción"/>
      <sheetName val="Planilla"/>
      <sheetName val="Gastos_Operativos"/>
      <sheetName val="Costos_Unitarios"/>
      <sheetName val="Punto de equilibrio"/>
      <sheetName val="Flujo_Deuda"/>
      <sheetName val="Estado de Resultados"/>
      <sheetName val="IGV"/>
      <sheetName val="Ku"/>
      <sheetName val="Ke y Kwacc"/>
      <sheetName val="Flujos de Caja"/>
      <sheetName val="Rentabilidad"/>
    </sheetNames>
    <sheetDataSet>
      <sheetData sheetId="0">
        <row r="8">
          <cell r="H8">
            <v>2.9000000000000001E-2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C12">
            <v>0.21909199999999998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0"/>
  <sheetViews>
    <sheetView workbookViewId="0">
      <selection activeCell="I18" sqref="I18"/>
    </sheetView>
  </sheetViews>
  <sheetFormatPr baseColWidth="10" defaultColWidth="14.42578125" defaultRowHeight="15" customHeight="1" x14ac:dyDescent="0.2"/>
  <cols>
    <col min="1" max="1" width="3.42578125" customWidth="1"/>
    <col min="2" max="2" width="6.5703125" customWidth="1"/>
    <col min="3" max="3" width="8" customWidth="1"/>
    <col min="4" max="4" width="7.7109375" customWidth="1"/>
    <col min="5" max="5" width="7" customWidth="1"/>
    <col min="6" max="6" width="2.140625" customWidth="1"/>
    <col min="7" max="7" width="18.7109375" customWidth="1"/>
    <col min="8" max="8" width="8.28515625" customWidth="1"/>
    <col min="9" max="9" width="19.140625" customWidth="1"/>
  </cols>
  <sheetData>
    <row r="1" spans="2:9" ht="12.75" customHeight="1" x14ac:dyDescent="0.2"/>
    <row r="2" spans="2:9" ht="12.75" customHeight="1" x14ac:dyDescent="0.2"/>
    <row r="3" spans="2:9" ht="12.75" customHeight="1" x14ac:dyDescent="0.2"/>
    <row r="4" spans="2:9" ht="12.75" customHeight="1" x14ac:dyDescent="0.2"/>
    <row r="5" spans="2:9" ht="12.75" customHeight="1" x14ac:dyDescent="0.2"/>
    <row r="6" spans="2:9" ht="13.5" customHeight="1" thickBot="1" x14ac:dyDescent="0.25"/>
    <row r="7" spans="2:9" ht="13.5" customHeight="1" thickBot="1" x14ac:dyDescent="0.25">
      <c r="B7" s="375" t="s">
        <v>0</v>
      </c>
      <c r="C7" s="376"/>
      <c r="D7" s="376"/>
      <c r="E7" s="377"/>
      <c r="G7" s="229" t="s">
        <v>1</v>
      </c>
      <c r="H7" s="230">
        <v>0.12</v>
      </c>
      <c r="I7" s="231" t="s">
        <v>2</v>
      </c>
    </row>
    <row r="8" spans="2:9" ht="12.75" customHeight="1" x14ac:dyDescent="0.2">
      <c r="B8" s="2"/>
      <c r="C8" s="3"/>
      <c r="D8" s="3"/>
      <c r="E8" s="4"/>
      <c r="G8" s="232" t="s">
        <v>3</v>
      </c>
      <c r="H8" s="233" t="s">
        <v>207</v>
      </c>
      <c r="I8" s="234" t="s">
        <v>4</v>
      </c>
    </row>
    <row r="9" spans="2:9" ht="12.75" customHeight="1" x14ac:dyDescent="0.2">
      <c r="B9" s="378" t="s">
        <v>5</v>
      </c>
      <c r="C9" s="379"/>
      <c r="D9" s="379"/>
      <c r="E9" s="380"/>
      <c r="G9" s="232" t="s">
        <v>6</v>
      </c>
      <c r="H9" s="206">
        <v>3</v>
      </c>
      <c r="I9" s="234" t="s">
        <v>7</v>
      </c>
    </row>
    <row r="10" spans="2:9" ht="12.75" customHeight="1" x14ac:dyDescent="0.2">
      <c r="B10" s="381" t="s">
        <v>8</v>
      </c>
      <c r="C10" s="379"/>
      <c r="D10" s="379"/>
      <c r="E10" s="380"/>
      <c r="G10" s="232" t="s">
        <v>9</v>
      </c>
      <c r="H10" s="357">
        <v>0.3075</v>
      </c>
      <c r="I10" s="234"/>
    </row>
    <row r="11" spans="2:9" ht="12.75" customHeight="1" x14ac:dyDescent="0.2">
      <c r="B11" s="378"/>
      <c r="C11" s="379"/>
      <c r="D11" s="379"/>
      <c r="E11" s="380"/>
      <c r="G11" s="232" t="s">
        <v>312</v>
      </c>
      <c r="H11" s="357">
        <v>3.8999999999999998E-3</v>
      </c>
      <c r="I11" s="234" t="s">
        <v>313</v>
      </c>
    </row>
    <row r="12" spans="2:9" ht="13.5" customHeight="1" thickBot="1" x14ac:dyDescent="0.25">
      <c r="B12" s="5"/>
      <c r="C12" s="6"/>
      <c r="D12" s="6"/>
      <c r="E12" s="7"/>
      <c r="G12" s="232" t="s">
        <v>224</v>
      </c>
      <c r="H12" s="235">
        <v>250</v>
      </c>
      <c r="I12" s="234" t="s">
        <v>12</v>
      </c>
    </row>
    <row r="13" spans="2:9" ht="12.75" customHeight="1" thickBot="1" x14ac:dyDescent="0.25">
      <c r="B13" s="8" t="s">
        <v>10</v>
      </c>
      <c r="C13" s="9">
        <f>+Rentabilidad!D8</f>
        <v>30492.637816178365</v>
      </c>
      <c r="D13" s="10" t="s">
        <v>11</v>
      </c>
      <c r="E13" s="11">
        <f>+Rentabilidad!D20</f>
        <v>8741.7562355868868</v>
      </c>
      <c r="F13" s="12"/>
      <c r="G13" s="236" t="s">
        <v>228</v>
      </c>
      <c r="H13" s="237">
        <v>30</v>
      </c>
      <c r="I13" s="238" t="s">
        <v>253</v>
      </c>
    </row>
    <row r="14" spans="2:9" ht="12.75" customHeight="1" thickBot="1" x14ac:dyDescent="0.25">
      <c r="B14" s="16" t="s">
        <v>13</v>
      </c>
      <c r="C14" s="17">
        <f>+Rentabilidad!D10</f>
        <v>0.51441707222458222</v>
      </c>
      <c r="D14" s="18" t="s">
        <v>14</v>
      </c>
      <c r="E14" s="19">
        <f>+Rentabilidad!D22</f>
        <v>0.59596715781487752</v>
      </c>
      <c r="G14" s="310" t="s">
        <v>258</v>
      </c>
      <c r="H14">
        <v>30</v>
      </c>
    </row>
    <row r="15" spans="2:9" ht="13.5" customHeight="1" x14ac:dyDescent="0.2">
      <c r="F15" s="20"/>
      <c r="G15" s="228"/>
      <c r="H15" s="228"/>
      <c r="I15" s="228"/>
    </row>
    <row r="16" spans="2:9" ht="12.75" customHeight="1" x14ac:dyDescent="0.2">
      <c r="G16" s="83"/>
      <c r="H16" s="83"/>
      <c r="I16" s="83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</sheetData>
  <mergeCells count="4">
    <mergeCell ref="B7:E7"/>
    <mergeCell ref="B9:E9"/>
    <mergeCell ref="B10:E10"/>
    <mergeCell ref="B11:E1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12"/>
  <sheetViews>
    <sheetView workbookViewId="0">
      <selection activeCell="I18" sqref="I18"/>
    </sheetView>
  </sheetViews>
  <sheetFormatPr baseColWidth="10" defaultColWidth="14.42578125" defaultRowHeight="15" customHeight="1" x14ac:dyDescent="0.2"/>
  <cols>
    <col min="1" max="1" width="10" customWidth="1"/>
    <col min="2" max="2" width="13" customWidth="1"/>
    <col min="3" max="3" width="10" customWidth="1"/>
    <col min="4" max="4" width="7.85546875" customWidth="1"/>
    <col min="5" max="5" width="13.85546875" customWidth="1"/>
    <col min="6" max="6" width="8.42578125" customWidth="1"/>
    <col min="7" max="7" width="10" customWidth="1"/>
    <col min="8" max="8" width="11.5703125" customWidth="1"/>
    <col min="9" max="12" width="10" customWidth="1"/>
  </cols>
  <sheetData>
    <row r="1" spans="2:12" ht="12.75" customHeight="1" x14ac:dyDescent="0.2"/>
    <row r="2" spans="2:12" ht="12.75" customHeight="1" x14ac:dyDescent="0.2">
      <c r="B2" s="427" t="s">
        <v>112</v>
      </c>
      <c r="C2" s="428"/>
      <c r="D2" s="428"/>
      <c r="E2" s="428"/>
      <c r="F2" s="428"/>
      <c r="G2" s="428"/>
      <c r="H2" s="428"/>
      <c r="I2" s="429"/>
    </row>
    <row r="3" spans="2:12" ht="12.75" customHeight="1" x14ac:dyDescent="0.2"/>
    <row r="4" spans="2:12" ht="12.75" customHeight="1" x14ac:dyDescent="0.2">
      <c r="B4" s="129" t="s">
        <v>113</v>
      </c>
      <c r="C4" s="129" t="s">
        <v>114</v>
      </c>
      <c r="D4" s="129" t="s">
        <v>115</v>
      </c>
      <c r="E4" s="129" t="s">
        <v>116</v>
      </c>
      <c r="F4" s="129" t="s">
        <v>117</v>
      </c>
      <c r="G4" s="129" t="s">
        <v>118</v>
      </c>
      <c r="H4" s="129" t="s">
        <v>119</v>
      </c>
      <c r="I4" s="117" t="s">
        <v>29</v>
      </c>
    </row>
    <row r="5" spans="2:12" ht="12.75" customHeight="1" x14ac:dyDescent="0.2">
      <c r="B5" s="1" t="s">
        <v>120</v>
      </c>
      <c r="C5" s="1">
        <v>930</v>
      </c>
      <c r="D5" s="1">
        <f t="shared" ref="D5" si="0">C5*12</f>
        <v>11160</v>
      </c>
      <c r="E5" s="1">
        <v>0</v>
      </c>
      <c r="F5" s="1">
        <v>0</v>
      </c>
      <c r="G5" s="1">
        <f t="shared" ref="G5:G6" si="1">D5+E5+F5</f>
        <v>11160</v>
      </c>
      <c r="H5" s="30">
        <f>15*12</f>
        <v>180</v>
      </c>
      <c r="I5" s="62">
        <f t="shared" ref="I5" si="2">G5+H5</f>
        <v>11340</v>
      </c>
    </row>
    <row r="6" spans="2:12" ht="12.75" customHeight="1" x14ac:dyDescent="0.2">
      <c r="B6" s="1" t="s">
        <v>121</v>
      </c>
      <c r="C6" s="1">
        <v>0</v>
      </c>
      <c r="D6" s="1">
        <v>0</v>
      </c>
      <c r="E6" s="1">
        <v>0</v>
      </c>
      <c r="F6" s="1">
        <v>0</v>
      </c>
      <c r="G6" s="1">
        <f t="shared" si="1"/>
        <v>0</v>
      </c>
      <c r="H6" s="30">
        <v>0</v>
      </c>
      <c r="I6" s="62">
        <v>0</v>
      </c>
    </row>
    <row r="7" spans="2:12" ht="12.75" customHeight="1" x14ac:dyDescent="0.2">
      <c r="B7" s="430" t="s">
        <v>29</v>
      </c>
      <c r="C7" s="431"/>
      <c r="D7" s="431"/>
      <c r="E7" s="431"/>
      <c r="F7" s="431"/>
      <c r="G7" s="432"/>
      <c r="H7" s="130">
        <f>H5+H6</f>
        <v>180</v>
      </c>
      <c r="I7" s="130">
        <f>I5+I6</f>
        <v>11340</v>
      </c>
    </row>
    <row r="8" spans="2:12" ht="12.75" customHeight="1" x14ac:dyDescent="0.2">
      <c r="B8" s="63" t="s">
        <v>122</v>
      </c>
    </row>
    <row r="9" spans="2:12" ht="12.75" customHeight="1" x14ac:dyDescent="0.2">
      <c r="B9" s="63" t="s">
        <v>123</v>
      </c>
    </row>
    <row r="10" spans="2:12" ht="12.75" customHeight="1" x14ac:dyDescent="0.2">
      <c r="B10" s="63" t="s">
        <v>124</v>
      </c>
      <c r="K10" s="63">
        <v>150</v>
      </c>
      <c r="L10" s="55" t="s">
        <v>125</v>
      </c>
    </row>
    <row r="11" spans="2:12" ht="12.75" customHeight="1" x14ac:dyDescent="0.2">
      <c r="K11" s="63">
        <v>4400</v>
      </c>
    </row>
    <row r="12" spans="2:12" ht="12.75" customHeight="1" x14ac:dyDescent="0.2">
      <c r="K12" s="63">
        <f>K10*K11</f>
        <v>660000</v>
      </c>
      <c r="L12" s="55" t="s">
        <v>126</v>
      </c>
    </row>
    <row r="13" spans="2:12" ht="12.75" customHeight="1" x14ac:dyDescent="0.2"/>
    <row r="14" spans="2:12" ht="12.75" customHeight="1" x14ac:dyDescent="0.2"/>
    <row r="15" spans="2:12" ht="12.75" customHeight="1" x14ac:dyDescent="0.2"/>
    <row r="16" spans="2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</sheetData>
  <mergeCells count="2">
    <mergeCell ref="B2:I2"/>
    <mergeCell ref="B7:G7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19"/>
  <sheetViews>
    <sheetView workbookViewId="0">
      <selection activeCell="G21" sqref="G21:H21"/>
    </sheetView>
  </sheetViews>
  <sheetFormatPr baseColWidth="10" defaultColWidth="14.42578125" defaultRowHeight="15" customHeight="1" x14ac:dyDescent="0.2"/>
  <cols>
    <col min="1" max="1" width="10" customWidth="1"/>
    <col min="2" max="2" width="23" customWidth="1"/>
    <col min="3" max="3" width="10.42578125" customWidth="1"/>
    <col min="4" max="5" width="10" customWidth="1"/>
    <col min="6" max="6" width="9.140625" customWidth="1"/>
    <col min="7" max="21" width="10" customWidth="1"/>
  </cols>
  <sheetData>
    <row r="1" spans="1:21" ht="12.75" customHeight="1" x14ac:dyDescent="0.2">
      <c r="B1" s="433" t="s">
        <v>149</v>
      </c>
      <c r="C1" s="428"/>
      <c r="D1" s="428"/>
      <c r="E1" s="428"/>
      <c r="F1" s="429"/>
      <c r="G1" s="25"/>
    </row>
    <row r="2" spans="1:21" ht="13.5" customHeight="1" x14ac:dyDescent="0.2">
      <c r="B2" s="25"/>
      <c r="C2" s="26"/>
      <c r="D2" s="25"/>
      <c r="E2" s="25"/>
      <c r="F2" s="25"/>
      <c r="G2" s="25"/>
    </row>
    <row r="3" spans="1:21" ht="31.5" customHeight="1" thickBot="1" x14ac:dyDescent="0.25">
      <c r="A3" s="27"/>
      <c r="B3" s="122" t="s">
        <v>34</v>
      </c>
      <c r="C3" s="123" t="s">
        <v>35</v>
      </c>
      <c r="D3" s="123" t="s">
        <v>36</v>
      </c>
      <c r="E3" s="123" t="s">
        <v>37</v>
      </c>
      <c r="F3" s="124" t="s">
        <v>38</v>
      </c>
      <c r="G3" s="2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2.75" customHeight="1" x14ac:dyDescent="0.2">
      <c r="B4" s="440" t="s">
        <v>150</v>
      </c>
      <c r="C4" s="441"/>
      <c r="D4" s="441"/>
      <c r="E4" s="442"/>
      <c r="F4" s="133">
        <f>SUM(F5:F10)</f>
        <v>3125</v>
      </c>
    </row>
    <row r="5" spans="1:21" ht="12.75" customHeight="1" x14ac:dyDescent="0.2">
      <c r="B5" s="67" t="s">
        <v>227</v>
      </c>
      <c r="C5" s="34">
        <f>Sueldos!C5</f>
        <v>930</v>
      </c>
      <c r="D5" s="1">
        <v>1</v>
      </c>
      <c r="E5" s="68" t="s">
        <v>151</v>
      </c>
      <c r="F5" s="36">
        <f t="shared" ref="F5:F10" si="0">C5*D5</f>
        <v>930</v>
      </c>
    </row>
    <row r="6" spans="1:21" s="194" customFormat="1" ht="12.75" customHeight="1" x14ac:dyDescent="0.2">
      <c r="B6" s="121" t="s">
        <v>228</v>
      </c>
      <c r="C6" s="34">
        <v>30</v>
      </c>
      <c r="D6" s="1">
        <v>48</v>
      </c>
      <c r="E6" s="324" t="s">
        <v>252</v>
      </c>
      <c r="F6" s="36">
        <f>C6*D6</f>
        <v>1440</v>
      </c>
    </row>
    <row r="7" spans="1:21" ht="12.75" customHeight="1" x14ac:dyDescent="0.2">
      <c r="A7" s="194"/>
      <c r="B7" s="67" t="s">
        <v>152</v>
      </c>
      <c r="C7" s="34">
        <v>15</v>
      </c>
      <c r="D7" s="1">
        <v>1</v>
      </c>
      <c r="E7" s="68" t="s">
        <v>151</v>
      </c>
      <c r="F7" s="36">
        <f t="shared" si="0"/>
        <v>15</v>
      </c>
    </row>
    <row r="8" spans="1:21" ht="12.75" customHeight="1" x14ac:dyDescent="0.2">
      <c r="B8" s="121" t="s">
        <v>215</v>
      </c>
      <c r="C8" s="34">
        <v>165</v>
      </c>
      <c r="D8" s="1">
        <v>1</v>
      </c>
      <c r="E8" s="68" t="s">
        <v>153</v>
      </c>
      <c r="F8" s="36">
        <f t="shared" si="0"/>
        <v>165</v>
      </c>
      <c r="G8" s="63"/>
    </row>
    <row r="9" spans="1:21" ht="12.75" customHeight="1" x14ac:dyDescent="0.2">
      <c r="B9" s="67" t="s">
        <v>154</v>
      </c>
      <c r="C9" s="34">
        <v>275</v>
      </c>
      <c r="D9" s="1">
        <v>1</v>
      </c>
      <c r="E9" s="68" t="s">
        <v>153</v>
      </c>
      <c r="F9" s="36">
        <f t="shared" si="0"/>
        <v>275</v>
      </c>
    </row>
    <row r="10" spans="1:21" ht="12.75" customHeight="1" x14ac:dyDescent="0.2">
      <c r="B10" s="67" t="s">
        <v>111</v>
      </c>
      <c r="C10" s="34">
        <v>300</v>
      </c>
      <c r="D10" s="1">
        <v>1</v>
      </c>
      <c r="E10" s="68" t="s">
        <v>153</v>
      </c>
      <c r="F10" s="36">
        <f t="shared" si="0"/>
        <v>300</v>
      </c>
    </row>
    <row r="11" spans="1:21" ht="12.75" customHeight="1" x14ac:dyDescent="0.2">
      <c r="B11" s="437" t="s">
        <v>132</v>
      </c>
      <c r="C11" s="438"/>
      <c r="D11" s="438"/>
      <c r="E11" s="439"/>
      <c r="F11" s="133">
        <f>SUM(F12:F13)</f>
        <v>95</v>
      </c>
    </row>
    <row r="12" spans="1:21" ht="12.75" customHeight="1" x14ac:dyDescent="0.2">
      <c r="B12" s="67" t="s">
        <v>155</v>
      </c>
      <c r="C12" s="34">
        <v>45</v>
      </c>
      <c r="D12" s="1">
        <v>1</v>
      </c>
      <c r="E12" s="1" t="s">
        <v>156</v>
      </c>
      <c r="F12" s="36">
        <f t="shared" ref="F12:F13" si="1">C12*D12</f>
        <v>45</v>
      </c>
      <c r="G12" s="63"/>
    </row>
    <row r="13" spans="1:21" ht="13.5" customHeight="1" thickBot="1" x14ac:dyDescent="0.25">
      <c r="B13" s="69" t="s">
        <v>157</v>
      </c>
      <c r="C13" s="70">
        <v>1</v>
      </c>
      <c r="D13" s="46">
        <v>50</v>
      </c>
      <c r="E13" s="46" t="s">
        <v>42</v>
      </c>
      <c r="F13" s="66">
        <f t="shared" si="1"/>
        <v>50</v>
      </c>
    </row>
    <row r="14" spans="1:21" ht="26.25" customHeight="1" thickBot="1" x14ac:dyDescent="0.25">
      <c r="B14" s="434" t="s">
        <v>158</v>
      </c>
      <c r="C14" s="435"/>
      <c r="D14" s="435"/>
      <c r="E14" s="436"/>
      <c r="F14" s="125">
        <f>F4+F11</f>
        <v>3220</v>
      </c>
    </row>
    <row r="15" spans="1:21" ht="12.75" customHeight="1" x14ac:dyDescent="0.2">
      <c r="B15" s="31"/>
      <c r="C15" s="32"/>
    </row>
    <row r="16" spans="1:21" ht="12.75" customHeight="1" thickBot="1" x14ac:dyDescent="0.25">
      <c r="B16" s="31"/>
      <c r="C16" s="32"/>
    </row>
    <row r="17" spans="2:5" ht="12.75" customHeight="1" thickBot="1" x14ac:dyDescent="0.25">
      <c r="B17" s="318" t="s">
        <v>34</v>
      </c>
      <c r="C17" s="319" t="s">
        <v>160</v>
      </c>
      <c r="D17" s="319" t="s">
        <v>261</v>
      </c>
      <c r="E17" s="320" t="s">
        <v>262</v>
      </c>
    </row>
    <row r="18" spans="2:5" ht="12.75" customHeight="1" x14ac:dyDescent="0.2">
      <c r="B18" s="325" t="s">
        <v>269</v>
      </c>
      <c r="C18" s="316">
        <f>$F$4*12</f>
        <v>37500</v>
      </c>
      <c r="D18" s="316">
        <f t="shared" ref="D18:E18" si="2">$F$4*12</f>
        <v>37500</v>
      </c>
      <c r="E18" s="316">
        <f t="shared" si="2"/>
        <v>37500</v>
      </c>
    </row>
    <row r="19" spans="2:5" ht="12.75" customHeight="1" x14ac:dyDescent="0.2">
      <c r="B19" s="326" t="s">
        <v>270</v>
      </c>
      <c r="C19" s="311">
        <f>$F$11*12</f>
        <v>1140</v>
      </c>
      <c r="D19" s="311">
        <f t="shared" ref="D19:E19" si="3">$F$11*12</f>
        <v>1140</v>
      </c>
      <c r="E19" s="311">
        <f t="shared" si="3"/>
        <v>1140</v>
      </c>
    </row>
    <row r="20" spans="2:5" ht="12.75" customHeight="1" thickBot="1" x14ac:dyDescent="0.25">
      <c r="B20" s="326" t="s">
        <v>271</v>
      </c>
      <c r="C20" s="312">
        <f>Inversión_Inicial!$F$25/Resumen!$H$9</f>
        <v>1073.3333333333333</v>
      </c>
      <c r="D20" s="312">
        <f>Inversión_Inicial!$F$25/Resumen!$H$9</f>
        <v>1073.3333333333333</v>
      </c>
      <c r="E20" s="312">
        <f>Inversión_Inicial!$F$25/Resumen!$H$9</f>
        <v>1073.3333333333333</v>
      </c>
    </row>
    <row r="21" spans="2:5" ht="12.75" customHeight="1" thickBot="1" x14ac:dyDescent="0.25">
      <c r="B21" s="318" t="s">
        <v>272</v>
      </c>
      <c r="C21" s="327">
        <f>SUM(C18:C20)</f>
        <v>39713.333333333336</v>
      </c>
      <c r="D21" s="327">
        <f t="shared" ref="D21:E21" si="4">SUM(D18:D20)</f>
        <v>39713.333333333336</v>
      </c>
      <c r="E21" s="327">
        <f t="shared" si="4"/>
        <v>39713.333333333336</v>
      </c>
    </row>
    <row r="22" spans="2:5" ht="12.75" customHeight="1" x14ac:dyDescent="0.2">
      <c r="B22" s="31"/>
      <c r="C22" s="32"/>
    </row>
    <row r="23" spans="2:5" ht="12.75" customHeight="1" x14ac:dyDescent="0.2">
      <c r="B23" s="31"/>
      <c r="C23" s="32"/>
    </row>
    <row r="24" spans="2:5" ht="12.75" customHeight="1" x14ac:dyDescent="0.2">
      <c r="B24" s="31"/>
      <c r="C24" s="32"/>
    </row>
    <row r="25" spans="2:5" ht="12.75" customHeight="1" x14ac:dyDescent="0.2">
      <c r="B25" s="31"/>
      <c r="C25" s="32"/>
    </row>
    <row r="26" spans="2:5" ht="12.75" customHeight="1" x14ac:dyDescent="0.2">
      <c r="B26" s="31"/>
      <c r="C26" s="32"/>
    </row>
    <row r="27" spans="2:5" ht="12.75" customHeight="1" x14ac:dyDescent="0.2">
      <c r="B27" s="31"/>
      <c r="C27" s="32"/>
    </row>
    <row r="28" spans="2:5" ht="12.75" customHeight="1" x14ac:dyDescent="0.2">
      <c r="B28" s="31"/>
      <c r="C28" s="32"/>
    </row>
    <row r="29" spans="2:5" ht="12.75" customHeight="1" x14ac:dyDescent="0.2">
      <c r="B29" s="31"/>
      <c r="C29" s="32"/>
    </row>
    <row r="30" spans="2:5" ht="12.75" customHeight="1" x14ac:dyDescent="0.2">
      <c r="B30" s="31"/>
      <c r="C30" s="32"/>
    </row>
    <row r="31" spans="2:5" ht="12.75" customHeight="1" x14ac:dyDescent="0.2">
      <c r="B31" s="31"/>
      <c r="C31" s="32"/>
    </row>
    <row r="32" spans="2:5" ht="12.75" customHeight="1" x14ac:dyDescent="0.2">
      <c r="B32" s="31"/>
      <c r="C32" s="32"/>
    </row>
    <row r="33" spans="2:3" ht="12.75" customHeight="1" x14ac:dyDescent="0.2">
      <c r="B33" s="31"/>
      <c r="C33" s="32"/>
    </row>
    <row r="34" spans="2:3" ht="12.75" customHeight="1" x14ac:dyDescent="0.2">
      <c r="C34" s="32"/>
    </row>
    <row r="35" spans="2:3" ht="12.75" customHeight="1" x14ac:dyDescent="0.2">
      <c r="C35" s="32"/>
    </row>
    <row r="36" spans="2:3" ht="12.75" customHeight="1" x14ac:dyDescent="0.2">
      <c r="C36" s="32"/>
    </row>
    <row r="37" spans="2:3" ht="12.75" customHeight="1" x14ac:dyDescent="0.2">
      <c r="C37" s="32"/>
    </row>
    <row r="38" spans="2:3" ht="12.75" customHeight="1" x14ac:dyDescent="0.2">
      <c r="C38" s="32"/>
    </row>
    <row r="39" spans="2:3" ht="12.75" customHeight="1" x14ac:dyDescent="0.2">
      <c r="C39" s="32"/>
    </row>
    <row r="40" spans="2:3" ht="12.75" customHeight="1" x14ac:dyDescent="0.2">
      <c r="C40" s="32"/>
    </row>
    <row r="41" spans="2:3" ht="12.75" customHeight="1" x14ac:dyDescent="0.2">
      <c r="C41" s="32"/>
    </row>
    <row r="42" spans="2:3" ht="12.75" customHeight="1" x14ac:dyDescent="0.2">
      <c r="C42" s="32"/>
    </row>
    <row r="43" spans="2:3" ht="12.75" customHeight="1" x14ac:dyDescent="0.2">
      <c r="C43" s="32"/>
    </row>
    <row r="44" spans="2:3" ht="12.75" customHeight="1" x14ac:dyDescent="0.2">
      <c r="C44" s="32"/>
    </row>
    <row r="45" spans="2:3" ht="12.75" customHeight="1" x14ac:dyDescent="0.2">
      <c r="C45" s="32"/>
    </row>
    <row r="46" spans="2:3" ht="12.75" customHeight="1" x14ac:dyDescent="0.2">
      <c r="C46" s="32"/>
    </row>
    <row r="47" spans="2:3" ht="12.75" customHeight="1" x14ac:dyDescent="0.2">
      <c r="C47" s="32"/>
    </row>
    <row r="48" spans="2:3" ht="12.75" customHeight="1" x14ac:dyDescent="0.2">
      <c r="C48" s="32"/>
    </row>
    <row r="49" spans="3:3" ht="12.75" customHeight="1" x14ac:dyDescent="0.2">
      <c r="C49" s="32"/>
    </row>
    <row r="50" spans="3:3" ht="12.75" customHeight="1" x14ac:dyDescent="0.2">
      <c r="C50" s="32"/>
    </row>
    <row r="51" spans="3:3" ht="12.75" customHeight="1" x14ac:dyDescent="0.2">
      <c r="C51" s="32"/>
    </row>
    <row r="52" spans="3:3" ht="12.75" customHeight="1" x14ac:dyDescent="0.2">
      <c r="C52" s="32"/>
    </row>
    <row r="53" spans="3:3" ht="12.75" customHeight="1" x14ac:dyDescent="0.2">
      <c r="C53" s="32"/>
    </row>
    <row r="54" spans="3:3" ht="12.75" customHeight="1" x14ac:dyDescent="0.2">
      <c r="C54" s="32"/>
    </row>
    <row r="55" spans="3:3" ht="12.75" customHeight="1" x14ac:dyDescent="0.2">
      <c r="C55" s="32"/>
    </row>
    <row r="56" spans="3:3" ht="12.75" customHeight="1" x14ac:dyDescent="0.2">
      <c r="C56" s="32"/>
    </row>
    <row r="57" spans="3:3" ht="12.75" customHeight="1" x14ac:dyDescent="0.2">
      <c r="C57" s="32"/>
    </row>
    <row r="58" spans="3:3" ht="12.75" customHeight="1" x14ac:dyDescent="0.2">
      <c r="C58" s="32"/>
    </row>
    <row r="59" spans="3:3" ht="12.75" customHeight="1" x14ac:dyDescent="0.2">
      <c r="C59" s="32"/>
    </row>
    <row r="60" spans="3:3" ht="12.75" customHeight="1" x14ac:dyDescent="0.2">
      <c r="C60" s="32"/>
    </row>
    <row r="61" spans="3:3" ht="12.75" customHeight="1" x14ac:dyDescent="0.2">
      <c r="C61" s="32"/>
    </row>
    <row r="62" spans="3:3" ht="12.75" customHeight="1" x14ac:dyDescent="0.2">
      <c r="C62" s="32"/>
    </row>
    <row r="63" spans="3:3" ht="12.75" customHeight="1" x14ac:dyDescent="0.2">
      <c r="C63" s="32"/>
    </row>
    <row r="64" spans="3:3" ht="12.75" customHeight="1" x14ac:dyDescent="0.2">
      <c r="C64" s="32"/>
    </row>
    <row r="65" spans="3:3" ht="12.75" customHeight="1" x14ac:dyDescent="0.2">
      <c r="C65" s="32"/>
    </row>
    <row r="66" spans="3:3" ht="12.75" customHeight="1" x14ac:dyDescent="0.2">
      <c r="C66" s="32"/>
    </row>
    <row r="67" spans="3:3" ht="12.75" customHeight="1" x14ac:dyDescent="0.2">
      <c r="C67" s="32"/>
    </row>
    <row r="68" spans="3:3" ht="12.75" customHeight="1" x14ac:dyDescent="0.2">
      <c r="C68" s="32"/>
    </row>
    <row r="69" spans="3:3" ht="12.75" customHeight="1" x14ac:dyDescent="0.2">
      <c r="C69" s="32"/>
    </row>
    <row r="70" spans="3:3" ht="12.75" customHeight="1" x14ac:dyDescent="0.2">
      <c r="C70" s="32"/>
    </row>
    <row r="71" spans="3:3" ht="12.75" customHeight="1" x14ac:dyDescent="0.2">
      <c r="C71" s="32"/>
    </row>
    <row r="72" spans="3:3" ht="12.75" customHeight="1" x14ac:dyDescent="0.2">
      <c r="C72" s="32"/>
    </row>
    <row r="73" spans="3:3" ht="12.75" customHeight="1" x14ac:dyDescent="0.2">
      <c r="C73" s="32"/>
    </row>
    <row r="74" spans="3:3" ht="12.75" customHeight="1" x14ac:dyDescent="0.2">
      <c r="C74" s="32"/>
    </row>
    <row r="75" spans="3:3" ht="12.75" customHeight="1" x14ac:dyDescent="0.2">
      <c r="C75" s="32"/>
    </row>
    <row r="76" spans="3:3" ht="12.75" customHeight="1" x14ac:dyDescent="0.2">
      <c r="C76" s="32"/>
    </row>
    <row r="77" spans="3:3" ht="12.75" customHeight="1" x14ac:dyDescent="0.2">
      <c r="C77" s="32"/>
    </row>
    <row r="78" spans="3:3" ht="12.75" customHeight="1" x14ac:dyDescent="0.2">
      <c r="C78" s="32"/>
    </row>
    <row r="79" spans="3:3" ht="12.75" customHeight="1" x14ac:dyDescent="0.2">
      <c r="C79" s="32"/>
    </row>
    <row r="80" spans="3:3" ht="12.75" customHeight="1" x14ac:dyDescent="0.2">
      <c r="C80" s="32"/>
    </row>
    <row r="81" spans="3:3" ht="12.75" customHeight="1" x14ac:dyDescent="0.2">
      <c r="C81" s="32"/>
    </row>
    <row r="82" spans="3:3" ht="12.75" customHeight="1" x14ac:dyDescent="0.2">
      <c r="C82" s="32"/>
    </row>
    <row r="83" spans="3:3" ht="12.75" customHeight="1" x14ac:dyDescent="0.2">
      <c r="C83" s="32"/>
    </row>
    <row r="84" spans="3:3" ht="12.75" customHeight="1" x14ac:dyDescent="0.2">
      <c r="C84" s="32"/>
    </row>
    <row r="85" spans="3:3" ht="12.75" customHeight="1" x14ac:dyDescent="0.2">
      <c r="C85" s="32"/>
    </row>
    <row r="86" spans="3:3" ht="12.75" customHeight="1" x14ac:dyDescent="0.2">
      <c r="C86" s="32"/>
    </row>
    <row r="87" spans="3:3" ht="12.75" customHeight="1" x14ac:dyDescent="0.2">
      <c r="C87" s="32"/>
    </row>
    <row r="88" spans="3:3" ht="12.75" customHeight="1" x14ac:dyDescent="0.2">
      <c r="C88" s="32"/>
    </row>
    <row r="89" spans="3:3" ht="12.75" customHeight="1" x14ac:dyDescent="0.2">
      <c r="C89" s="32"/>
    </row>
    <row r="90" spans="3:3" ht="12.75" customHeight="1" x14ac:dyDescent="0.2">
      <c r="C90" s="32"/>
    </row>
    <row r="91" spans="3:3" ht="12.75" customHeight="1" x14ac:dyDescent="0.2">
      <c r="C91" s="32"/>
    </row>
    <row r="92" spans="3:3" ht="12.75" customHeight="1" x14ac:dyDescent="0.2">
      <c r="C92" s="32"/>
    </row>
    <row r="93" spans="3:3" ht="12.75" customHeight="1" x14ac:dyDescent="0.2">
      <c r="C93" s="32"/>
    </row>
    <row r="94" spans="3:3" ht="12.75" customHeight="1" x14ac:dyDescent="0.2">
      <c r="C94" s="32"/>
    </row>
    <row r="95" spans="3:3" ht="12.75" customHeight="1" x14ac:dyDescent="0.2">
      <c r="C95" s="32"/>
    </row>
    <row r="96" spans="3:3" ht="12.75" customHeight="1" x14ac:dyDescent="0.2">
      <c r="C96" s="32"/>
    </row>
    <row r="97" spans="3:3" ht="12.75" customHeight="1" x14ac:dyDescent="0.2">
      <c r="C97" s="32"/>
    </row>
    <row r="98" spans="3:3" ht="12.75" customHeight="1" x14ac:dyDescent="0.2">
      <c r="C98" s="32"/>
    </row>
    <row r="99" spans="3:3" ht="12.75" customHeight="1" x14ac:dyDescent="0.2">
      <c r="C99" s="32"/>
    </row>
    <row r="100" spans="3:3" ht="12.75" customHeight="1" x14ac:dyDescent="0.2">
      <c r="C100" s="32"/>
    </row>
    <row r="101" spans="3:3" ht="12.75" customHeight="1" x14ac:dyDescent="0.2">
      <c r="C101" s="32"/>
    </row>
    <row r="102" spans="3:3" ht="12.75" customHeight="1" x14ac:dyDescent="0.2">
      <c r="C102" s="32"/>
    </row>
    <row r="103" spans="3:3" ht="12.75" customHeight="1" x14ac:dyDescent="0.2">
      <c r="C103" s="32"/>
    </row>
    <row r="104" spans="3:3" ht="12.75" customHeight="1" x14ac:dyDescent="0.2">
      <c r="C104" s="32"/>
    </row>
    <row r="105" spans="3:3" ht="12.75" customHeight="1" x14ac:dyDescent="0.2">
      <c r="C105" s="32"/>
    </row>
    <row r="106" spans="3:3" ht="12.75" customHeight="1" x14ac:dyDescent="0.2">
      <c r="C106" s="32"/>
    </row>
    <row r="107" spans="3:3" ht="12.75" customHeight="1" x14ac:dyDescent="0.2">
      <c r="C107" s="32"/>
    </row>
    <row r="108" spans="3:3" ht="12.75" customHeight="1" x14ac:dyDescent="0.2">
      <c r="C108" s="32"/>
    </row>
    <row r="109" spans="3:3" ht="12.75" customHeight="1" x14ac:dyDescent="0.2">
      <c r="C109" s="32"/>
    </row>
    <row r="110" spans="3:3" ht="12.75" customHeight="1" x14ac:dyDescent="0.2">
      <c r="C110" s="32"/>
    </row>
    <row r="111" spans="3:3" ht="12.75" customHeight="1" x14ac:dyDescent="0.2">
      <c r="C111" s="32"/>
    </row>
    <row r="112" spans="3:3" ht="12.75" customHeight="1" x14ac:dyDescent="0.2">
      <c r="C112" s="32"/>
    </row>
    <row r="113" spans="3:3" ht="12.75" customHeight="1" x14ac:dyDescent="0.2">
      <c r="C113" s="32"/>
    </row>
    <row r="114" spans="3:3" ht="12.75" customHeight="1" x14ac:dyDescent="0.2">
      <c r="C114" s="32"/>
    </row>
    <row r="115" spans="3:3" ht="12.75" customHeight="1" x14ac:dyDescent="0.2">
      <c r="C115" s="32"/>
    </row>
    <row r="116" spans="3:3" ht="12.75" customHeight="1" x14ac:dyDescent="0.2">
      <c r="C116" s="32"/>
    </row>
    <row r="117" spans="3:3" ht="12.75" customHeight="1" x14ac:dyDescent="0.2">
      <c r="C117" s="32"/>
    </row>
    <row r="118" spans="3:3" ht="12.75" customHeight="1" x14ac:dyDescent="0.2">
      <c r="C118" s="32"/>
    </row>
    <row r="119" spans="3:3" ht="12.75" customHeight="1" x14ac:dyDescent="0.2">
      <c r="C119" s="32"/>
    </row>
    <row r="120" spans="3:3" ht="12.75" customHeight="1" x14ac:dyDescent="0.2">
      <c r="C120" s="32"/>
    </row>
    <row r="121" spans="3:3" ht="12.75" customHeight="1" x14ac:dyDescent="0.2">
      <c r="C121" s="32"/>
    </row>
    <row r="122" spans="3:3" ht="12.75" customHeight="1" x14ac:dyDescent="0.2">
      <c r="C122" s="32"/>
    </row>
    <row r="123" spans="3:3" ht="12.75" customHeight="1" x14ac:dyDescent="0.2">
      <c r="C123" s="32"/>
    </row>
    <row r="124" spans="3:3" ht="12.75" customHeight="1" x14ac:dyDescent="0.2">
      <c r="C124" s="32"/>
    </row>
    <row r="125" spans="3:3" ht="12.75" customHeight="1" x14ac:dyDescent="0.2">
      <c r="C125" s="32"/>
    </row>
    <row r="126" spans="3:3" ht="12.75" customHeight="1" x14ac:dyDescent="0.2">
      <c r="C126" s="32"/>
    </row>
    <row r="127" spans="3:3" ht="12.75" customHeight="1" x14ac:dyDescent="0.2">
      <c r="C127" s="32"/>
    </row>
    <row r="128" spans="3:3" ht="12.75" customHeight="1" x14ac:dyDescent="0.2">
      <c r="C128" s="32"/>
    </row>
    <row r="129" spans="3:3" ht="12.75" customHeight="1" x14ac:dyDescent="0.2">
      <c r="C129" s="32"/>
    </row>
    <row r="130" spans="3:3" ht="12.75" customHeight="1" x14ac:dyDescent="0.2">
      <c r="C130" s="32"/>
    </row>
    <row r="131" spans="3:3" ht="12.75" customHeight="1" x14ac:dyDescent="0.2">
      <c r="C131" s="32"/>
    </row>
    <row r="132" spans="3:3" ht="12.75" customHeight="1" x14ac:dyDescent="0.2">
      <c r="C132" s="32"/>
    </row>
    <row r="133" spans="3:3" ht="12.75" customHeight="1" x14ac:dyDescent="0.2">
      <c r="C133" s="32"/>
    </row>
    <row r="134" spans="3:3" ht="12.75" customHeight="1" x14ac:dyDescent="0.2">
      <c r="C134" s="32"/>
    </row>
    <row r="135" spans="3:3" ht="12.75" customHeight="1" x14ac:dyDescent="0.2">
      <c r="C135" s="32"/>
    </row>
    <row r="136" spans="3:3" ht="12.75" customHeight="1" x14ac:dyDescent="0.2">
      <c r="C136" s="32"/>
    </row>
    <row r="137" spans="3:3" ht="12.75" customHeight="1" x14ac:dyDescent="0.2">
      <c r="C137" s="32"/>
    </row>
    <row r="138" spans="3:3" ht="12.75" customHeight="1" x14ac:dyDescent="0.2">
      <c r="C138" s="32"/>
    </row>
    <row r="139" spans="3:3" ht="12.75" customHeight="1" x14ac:dyDescent="0.2">
      <c r="C139" s="32"/>
    </row>
    <row r="140" spans="3:3" ht="12.75" customHeight="1" x14ac:dyDescent="0.2">
      <c r="C140" s="32"/>
    </row>
    <row r="141" spans="3:3" ht="12.75" customHeight="1" x14ac:dyDescent="0.2">
      <c r="C141" s="32"/>
    </row>
    <row r="142" spans="3:3" ht="12.75" customHeight="1" x14ac:dyDescent="0.2">
      <c r="C142" s="32"/>
    </row>
    <row r="143" spans="3:3" ht="12.75" customHeight="1" x14ac:dyDescent="0.2">
      <c r="C143" s="32"/>
    </row>
    <row r="144" spans="3:3" ht="12.75" customHeight="1" x14ac:dyDescent="0.2">
      <c r="C144" s="32"/>
    </row>
    <row r="145" spans="3:3" ht="12.75" customHeight="1" x14ac:dyDescent="0.2">
      <c r="C145" s="32"/>
    </row>
    <row r="146" spans="3:3" ht="12.75" customHeight="1" x14ac:dyDescent="0.2">
      <c r="C146" s="32"/>
    </row>
    <row r="147" spans="3:3" ht="12.75" customHeight="1" x14ac:dyDescent="0.2">
      <c r="C147" s="32"/>
    </row>
    <row r="148" spans="3:3" ht="12.75" customHeight="1" x14ac:dyDescent="0.2">
      <c r="C148" s="32"/>
    </row>
    <row r="149" spans="3:3" ht="12.75" customHeight="1" x14ac:dyDescent="0.2">
      <c r="C149" s="32"/>
    </row>
    <row r="150" spans="3:3" ht="12.75" customHeight="1" x14ac:dyDescent="0.2">
      <c r="C150" s="32"/>
    </row>
    <row r="151" spans="3:3" ht="12.75" customHeight="1" x14ac:dyDescent="0.2">
      <c r="C151" s="32"/>
    </row>
    <row r="152" spans="3:3" ht="12.75" customHeight="1" x14ac:dyDescent="0.2">
      <c r="C152" s="32"/>
    </row>
    <row r="153" spans="3:3" ht="12.75" customHeight="1" x14ac:dyDescent="0.2">
      <c r="C153" s="32"/>
    </row>
    <row r="154" spans="3:3" ht="12.75" customHeight="1" x14ac:dyDescent="0.2">
      <c r="C154" s="32"/>
    </row>
    <row r="155" spans="3:3" ht="12.75" customHeight="1" x14ac:dyDescent="0.2">
      <c r="C155" s="32"/>
    </row>
    <row r="156" spans="3:3" ht="12.75" customHeight="1" x14ac:dyDescent="0.2">
      <c r="C156" s="32"/>
    </row>
    <row r="157" spans="3:3" ht="12.75" customHeight="1" x14ac:dyDescent="0.2">
      <c r="C157" s="32"/>
    </row>
    <row r="158" spans="3:3" ht="12.75" customHeight="1" x14ac:dyDescent="0.2">
      <c r="C158" s="32"/>
    </row>
    <row r="159" spans="3:3" ht="12.75" customHeight="1" x14ac:dyDescent="0.2">
      <c r="C159" s="32"/>
    </row>
    <row r="160" spans="3:3" ht="12.75" customHeight="1" x14ac:dyDescent="0.2">
      <c r="C160" s="32"/>
    </row>
    <row r="161" spans="3:3" ht="12.75" customHeight="1" x14ac:dyDescent="0.2">
      <c r="C161" s="32"/>
    </row>
    <row r="162" spans="3:3" ht="12.75" customHeight="1" x14ac:dyDescent="0.2">
      <c r="C162" s="32"/>
    </row>
    <row r="163" spans="3:3" ht="12.75" customHeight="1" x14ac:dyDescent="0.2">
      <c r="C163" s="32"/>
    </row>
    <row r="164" spans="3:3" ht="12.75" customHeight="1" x14ac:dyDescent="0.2">
      <c r="C164" s="32"/>
    </row>
    <row r="165" spans="3:3" ht="12.75" customHeight="1" x14ac:dyDescent="0.2">
      <c r="C165" s="32"/>
    </row>
    <row r="166" spans="3:3" ht="12.75" customHeight="1" x14ac:dyDescent="0.2">
      <c r="C166" s="32"/>
    </row>
    <row r="167" spans="3:3" ht="12.75" customHeight="1" x14ac:dyDescent="0.2">
      <c r="C167" s="32"/>
    </row>
    <row r="168" spans="3:3" ht="12.75" customHeight="1" x14ac:dyDescent="0.2">
      <c r="C168" s="32"/>
    </row>
    <row r="169" spans="3:3" ht="12.75" customHeight="1" x14ac:dyDescent="0.2">
      <c r="C169" s="32"/>
    </row>
    <row r="170" spans="3:3" ht="12.75" customHeight="1" x14ac:dyDescent="0.2">
      <c r="C170" s="32"/>
    </row>
    <row r="171" spans="3:3" ht="12.75" customHeight="1" x14ac:dyDescent="0.2">
      <c r="C171" s="32"/>
    </row>
    <row r="172" spans="3:3" ht="12.75" customHeight="1" x14ac:dyDescent="0.2">
      <c r="C172" s="32"/>
    </row>
    <row r="173" spans="3:3" ht="12.75" customHeight="1" x14ac:dyDescent="0.2">
      <c r="C173" s="32"/>
    </row>
    <row r="174" spans="3:3" ht="12.75" customHeight="1" x14ac:dyDescent="0.2">
      <c r="C174" s="32"/>
    </row>
    <row r="175" spans="3:3" ht="12.75" customHeight="1" x14ac:dyDescent="0.2">
      <c r="C175" s="32"/>
    </row>
    <row r="176" spans="3:3" ht="12.75" customHeight="1" x14ac:dyDescent="0.2">
      <c r="C176" s="32"/>
    </row>
    <row r="177" spans="3:3" ht="12.75" customHeight="1" x14ac:dyDescent="0.2">
      <c r="C177" s="32"/>
    </row>
    <row r="178" spans="3:3" ht="12.75" customHeight="1" x14ac:dyDescent="0.2">
      <c r="C178" s="32"/>
    </row>
    <row r="179" spans="3:3" ht="12.75" customHeight="1" x14ac:dyDescent="0.2">
      <c r="C179" s="32"/>
    </row>
    <row r="180" spans="3:3" ht="12.75" customHeight="1" x14ac:dyDescent="0.2">
      <c r="C180" s="32"/>
    </row>
    <row r="181" spans="3:3" ht="12.75" customHeight="1" x14ac:dyDescent="0.2">
      <c r="C181" s="32"/>
    </row>
    <row r="182" spans="3:3" ht="12.75" customHeight="1" x14ac:dyDescent="0.2">
      <c r="C182" s="32"/>
    </row>
    <row r="183" spans="3:3" ht="12.75" customHeight="1" x14ac:dyDescent="0.2">
      <c r="C183" s="32"/>
    </row>
    <row r="184" spans="3:3" ht="12.75" customHeight="1" x14ac:dyDescent="0.2">
      <c r="C184" s="32"/>
    </row>
    <row r="185" spans="3:3" ht="12.75" customHeight="1" x14ac:dyDescent="0.2">
      <c r="C185" s="32"/>
    </row>
    <row r="186" spans="3:3" ht="12.75" customHeight="1" x14ac:dyDescent="0.2">
      <c r="C186" s="32"/>
    </row>
    <row r="187" spans="3:3" ht="12.75" customHeight="1" x14ac:dyDescent="0.2">
      <c r="C187" s="32"/>
    </row>
    <row r="188" spans="3:3" ht="12.75" customHeight="1" x14ac:dyDescent="0.2">
      <c r="C188" s="32"/>
    </row>
    <row r="189" spans="3:3" ht="12.75" customHeight="1" x14ac:dyDescent="0.2">
      <c r="C189" s="32"/>
    </row>
    <row r="190" spans="3:3" ht="12.75" customHeight="1" x14ac:dyDescent="0.2">
      <c r="C190" s="32"/>
    </row>
    <row r="191" spans="3:3" ht="12.75" customHeight="1" x14ac:dyDescent="0.2">
      <c r="C191" s="32"/>
    </row>
    <row r="192" spans="3:3" ht="12.75" customHeight="1" x14ac:dyDescent="0.2">
      <c r="C192" s="32"/>
    </row>
    <row r="193" spans="3:3" ht="12.75" customHeight="1" x14ac:dyDescent="0.2">
      <c r="C193" s="32"/>
    </row>
    <row r="194" spans="3:3" ht="12.75" customHeight="1" x14ac:dyDescent="0.2">
      <c r="C194" s="32"/>
    </row>
    <row r="195" spans="3:3" ht="12.75" customHeight="1" x14ac:dyDescent="0.2">
      <c r="C195" s="32"/>
    </row>
    <row r="196" spans="3:3" ht="12.75" customHeight="1" x14ac:dyDescent="0.2">
      <c r="C196" s="32"/>
    </row>
    <row r="197" spans="3:3" ht="12.75" customHeight="1" x14ac:dyDescent="0.2">
      <c r="C197" s="32"/>
    </row>
    <row r="198" spans="3:3" ht="12.75" customHeight="1" x14ac:dyDescent="0.2">
      <c r="C198" s="32"/>
    </row>
    <row r="199" spans="3:3" ht="12.75" customHeight="1" x14ac:dyDescent="0.2">
      <c r="C199" s="32"/>
    </row>
    <row r="200" spans="3:3" ht="12.75" customHeight="1" x14ac:dyDescent="0.2">
      <c r="C200" s="32"/>
    </row>
    <row r="201" spans="3:3" ht="12.75" customHeight="1" x14ac:dyDescent="0.2">
      <c r="C201" s="32"/>
    </row>
    <row r="202" spans="3:3" ht="12.75" customHeight="1" x14ac:dyDescent="0.2">
      <c r="C202" s="32"/>
    </row>
    <row r="203" spans="3:3" ht="12.75" customHeight="1" x14ac:dyDescent="0.2">
      <c r="C203" s="32"/>
    </row>
    <row r="204" spans="3:3" ht="12.75" customHeight="1" x14ac:dyDescent="0.2">
      <c r="C204" s="32"/>
    </row>
    <row r="205" spans="3:3" ht="12.75" customHeight="1" x14ac:dyDescent="0.2">
      <c r="C205" s="32"/>
    </row>
    <row r="206" spans="3:3" ht="12.75" customHeight="1" x14ac:dyDescent="0.2">
      <c r="C206" s="32"/>
    </row>
    <row r="207" spans="3:3" ht="12.75" customHeight="1" x14ac:dyDescent="0.2">
      <c r="C207" s="32"/>
    </row>
    <row r="208" spans="3:3" ht="12.75" customHeight="1" x14ac:dyDescent="0.2">
      <c r="C208" s="32"/>
    </row>
    <row r="209" spans="3:3" ht="12.75" customHeight="1" x14ac:dyDescent="0.2">
      <c r="C209" s="32"/>
    </row>
    <row r="210" spans="3:3" ht="12.75" customHeight="1" x14ac:dyDescent="0.2">
      <c r="C210" s="32"/>
    </row>
    <row r="211" spans="3:3" ht="12.75" customHeight="1" x14ac:dyDescent="0.2">
      <c r="C211" s="32"/>
    </row>
    <row r="212" spans="3:3" ht="12.75" customHeight="1" x14ac:dyDescent="0.2">
      <c r="C212" s="32"/>
    </row>
    <row r="213" spans="3:3" ht="12.75" customHeight="1" x14ac:dyDescent="0.2">
      <c r="C213" s="32"/>
    </row>
    <row r="214" spans="3:3" ht="12.75" customHeight="1" x14ac:dyDescent="0.2">
      <c r="C214" s="32"/>
    </row>
    <row r="215" spans="3:3" ht="12.75" customHeight="1" x14ac:dyDescent="0.2">
      <c r="C215" s="32"/>
    </row>
    <row r="216" spans="3:3" ht="12.75" customHeight="1" x14ac:dyDescent="0.2">
      <c r="C216" s="32"/>
    </row>
    <row r="217" spans="3:3" ht="12.75" customHeight="1" x14ac:dyDescent="0.2">
      <c r="C217" s="32"/>
    </row>
    <row r="218" spans="3:3" ht="12.75" customHeight="1" x14ac:dyDescent="0.2">
      <c r="C218" s="32"/>
    </row>
    <row r="219" spans="3:3" ht="12.75" customHeight="1" x14ac:dyDescent="0.2">
      <c r="C219" s="32"/>
    </row>
  </sheetData>
  <mergeCells count="4">
    <mergeCell ref="B1:F1"/>
    <mergeCell ref="B14:E14"/>
    <mergeCell ref="B11:E11"/>
    <mergeCell ref="B4:E4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220"/>
  <sheetViews>
    <sheetView workbookViewId="0">
      <selection activeCell="C17" sqref="C17"/>
    </sheetView>
  </sheetViews>
  <sheetFormatPr baseColWidth="10" defaultColWidth="14.42578125" defaultRowHeight="15" customHeight="1" x14ac:dyDescent="0.2"/>
  <cols>
    <col min="1" max="1" width="10" customWidth="1"/>
    <col min="2" max="2" width="28.140625" customWidth="1"/>
    <col min="3" max="3" width="10.7109375" customWidth="1"/>
    <col min="4" max="6" width="10" customWidth="1"/>
  </cols>
  <sheetData>
    <row r="1" spans="2:5" ht="12.75" customHeight="1" x14ac:dyDescent="0.2"/>
    <row r="2" spans="2:5" ht="12.75" customHeight="1" x14ac:dyDescent="0.25">
      <c r="B2" s="443" t="s">
        <v>250</v>
      </c>
      <c r="C2" s="444"/>
    </row>
    <row r="3" spans="2:5" ht="13.5" customHeight="1" x14ac:dyDescent="0.2">
      <c r="B3" s="208"/>
      <c r="C3" s="256"/>
      <c r="D3" s="55"/>
    </row>
    <row r="4" spans="2:5" ht="12.75" customHeight="1" x14ac:dyDescent="0.25">
      <c r="B4" s="257" t="s">
        <v>127</v>
      </c>
      <c r="C4" s="258" t="s">
        <v>128</v>
      </c>
    </row>
    <row r="5" spans="2:5" ht="12.75" customHeight="1" x14ac:dyDescent="0.2">
      <c r="B5" s="259" t="s">
        <v>129</v>
      </c>
      <c r="C5" s="260">
        <f>Gastos_Operativos!F4</f>
        <v>3125</v>
      </c>
    </row>
    <row r="6" spans="2:5" ht="12.75" customHeight="1" x14ac:dyDescent="0.2">
      <c r="B6" s="259" t="s">
        <v>130</v>
      </c>
      <c r="C6" s="260">
        <f>Depreciación_VR!F7/12</f>
        <v>307.08333333333331</v>
      </c>
    </row>
    <row r="7" spans="2:5" ht="12.75" customHeight="1" x14ac:dyDescent="0.2">
      <c r="B7" s="259" t="s">
        <v>131</v>
      </c>
      <c r="C7" s="261">
        <f>(Inversión_Inicial!F25/Resumen!H9)/12</f>
        <v>89.444444444444443</v>
      </c>
    </row>
    <row r="8" spans="2:5" ht="12.75" customHeight="1" x14ac:dyDescent="0.2">
      <c r="B8" s="259" t="s">
        <v>132</v>
      </c>
      <c r="C8" s="260">
        <f>Gastos_Operativos!F11</f>
        <v>95</v>
      </c>
    </row>
    <row r="9" spans="2:5" ht="12.75" customHeight="1" x14ac:dyDescent="0.25">
      <c r="B9" s="262" t="s">
        <v>133</v>
      </c>
      <c r="C9" s="263">
        <f>SUM(C5:C8)</f>
        <v>3616.5277777777778</v>
      </c>
    </row>
    <row r="10" spans="2:5" ht="12.75" customHeight="1" x14ac:dyDescent="0.25">
      <c r="B10" s="264" t="s">
        <v>134</v>
      </c>
      <c r="C10" s="265" t="s">
        <v>128</v>
      </c>
    </row>
    <row r="11" spans="2:5" ht="12.75" customHeight="1" x14ac:dyDescent="0.2">
      <c r="B11" s="259" t="s">
        <v>135</v>
      </c>
      <c r="C11" s="260">
        <f>Costos_Producción!F6</f>
        <v>275</v>
      </c>
    </row>
    <row r="12" spans="2:5" ht="12.75" customHeight="1" x14ac:dyDescent="0.2">
      <c r="B12" s="259" t="s">
        <v>74</v>
      </c>
      <c r="C12" s="260">
        <f>Costos_Producción!F13</f>
        <v>2385</v>
      </c>
    </row>
    <row r="13" spans="2:5" ht="12.75" customHeight="1" x14ac:dyDescent="0.2">
      <c r="B13" s="259" t="s">
        <v>136</v>
      </c>
      <c r="C13" s="260">
        <f>Costos_Producción!F16</f>
        <v>465</v>
      </c>
    </row>
    <row r="14" spans="2:5" ht="13.5" customHeight="1" x14ac:dyDescent="0.25">
      <c r="B14" s="266" t="s">
        <v>137</v>
      </c>
      <c r="C14" s="267">
        <f>C11+C12+C13</f>
        <v>3125</v>
      </c>
      <c r="E14" s="227">
        <f>30*250</f>
        <v>7500</v>
      </c>
    </row>
    <row r="15" spans="2:5" ht="13.5" customHeight="1" x14ac:dyDescent="0.25">
      <c r="B15" s="211" t="s">
        <v>268</v>
      </c>
      <c r="C15" s="268">
        <f>C9+C14</f>
        <v>6741.5277777777774</v>
      </c>
    </row>
    <row r="16" spans="2:5" ht="12.75" customHeight="1" x14ac:dyDescent="0.25">
      <c r="B16" s="269" t="s">
        <v>138</v>
      </c>
      <c r="C16" s="270">
        <v>30</v>
      </c>
      <c r="D16" s="55"/>
    </row>
    <row r="17" spans="2:6" ht="12.75" customHeight="1" x14ac:dyDescent="0.2">
      <c r="B17" s="259" t="s">
        <v>139</v>
      </c>
      <c r="C17" s="260">
        <f>C9/30</f>
        <v>120.55092592592592</v>
      </c>
      <c r="D17" s="55"/>
      <c r="E17" s="55"/>
      <c r="F17" s="55"/>
    </row>
    <row r="18" spans="2:6" ht="12.75" customHeight="1" x14ac:dyDescent="0.2">
      <c r="B18" s="259" t="s">
        <v>140</v>
      </c>
      <c r="C18" s="260">
        <f>C14/30</f>
        <v>104.16666666666667</v>
      </c>
    </row>
    <row r="19" spans="2:6" ht="13.5" customHeight="1" x14ac:dyDescent="0.2">
      <c r="B19" s="271" t="s">
        <v>141</v>
      </c>
      <c r="C19" s="272">
        <f>+C18+C17</f>
        <v>224.71759259259261</v>
      </c>
    </row>
    <row r="20" spans="2:6" ht="12.75" customHeight="1" x14ac:dyDescent="0.2"/>
    <row r="21" spans="2:6" ht="12.75" customHeight="1" x14ac:dyDescent="0.2"/>
    <row r="22" spans="2:6" ht="12.75" customHeight="1" x14ac:dyDescent="0.2"/>
    <row r="23" spans="2:6" ht="12.75" customHeight="1" x14ac:dyDescent="0.2"/>
    <row r="24" spans="2:6" ht="12.75" customHeight="1" x14ac:dyDescent="0.2"/>
    <row r="25" spans="2:6" ht="12.75" customHeight="1" x14ac:dyDescent="0.2"/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</sheetData>
  <mergeCells count="1">
    <mergeCell ref="B2:C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217"/>
  <sheetViews>
    <sheetView workbookViewId="0">
      <selection activeCell="C9" sqref="C9"/>
    </sheetView>
  </sheetViews>
  <sheetFormatPr baseColWidth="10" defaultColWidth="14.42578125" defaultRowHeight="15" customHeight="1" x14ac:dyDescent="0.2"/>
  <cols>
    <col min="1" max="1" width="10" customWidth="1"/>
    <col min="2" max="2" width="24.85546875" customWidth="1"/>
    <col min="3" max="3" width="15.140625" customWidth="1"/>
    <col min="4" max="4" width="18.5703125" customWidth="1"/>
    <col min="5" max="5" width="6.85546875" customWidth="1"/>
    <col min="6" max="6" width="26.5703125" customWidth="1"/>
    <col min="7" max="8" width="10" customWidth="1"/>
  </cols>
  <sheetData>
    <row r="1" spans="2:8" ht="12.75" customHeight="1" x14ac:dyDescent="0.2"/>
    <row r="2" spans="2:8" ht="12.75" customHeight="1" thickBot="1" x14ac:dyDescent="0.3">
      <c r="B2" s="445" t="s">
        <v>142</v>
      </c>
      <c r="C2" s="446"/>
      <c r="D2" s="446"/>
    </row>
    <row r="3" spans="2:8" ht="12.75" customHeight="1" x14ac:dyDescent="0.2">
      <c r="B3" s="273" t="s">
        <v>143</v>
      </c>
      <c r="C3" s="274">
        <f>Costos_Unitarios!C9</f>
        <v>3616.5277777777778</v>
      </c>
      <c r="D3" s="275"/>
    </row>
    <row r="4" spans="2:8" ht="12.75" customHeight="1" x14ac:dyDescent="0.2">
      <c r="B4" s="276" t="s">
        <v>144</v>
      </c>
      <c r="C4" s="277">
        <v>250</v>
      </c>
      <c r="D4" s="278"/>
      <c r="F4" s="447" t="s">
        <v>145</v>
      </c>
      <c r="G4" s="401"/>
      <c r="H4" s="401"/>
    </row>
    <row r="5" spans="2:8" ht="12.75" customHeight="1" x14ac:dyDescent="0.2">
      <c r="B5" s="276" t="s">
        <v>140</v>
      </c>
      <c r="C5" s="277">
        <f>+Costos_Unitarios!C18</f>
        <v>104.16666666666667</v>
      </c>
      <c r="D5" s="278"/>
    </row>
    <row r="6" spans="2:8" ht="12.75" customHeight="1" x14ac:dyDescent="0.25">
      <c r="B6" s="279" t="s">
        <v>146</v>
      </c>
      <c r="C6" s="280">
        <f>+C4-C5</f>
        <v>145.83333333333331</v>
      </c>
      <c r="D6" s="278"/>
    </row>
    <row r="7" spans="2:8" ht="12.75" customHeight="1" x14ac:dyDescent="0.25">
      <c r="B7" s="279" t="s">
        <v>147</v>
      </c>
      <c r="C7" s="281">
        <f>C3/C6</f>
        <v>24.799047619047624</v>
      </c>
      <c r="D7" s="282" t="s">
        <v>251</v>
      </c>
    </row>
    <row r="8" spans="2:8" ht="12.75" customHeight="1" thickBot="1" x14ac:dyDescent="0.3">
      <c r="B8" s="283" t="s">
        <v>147</v>
      </c>
      <c r="C8" s="284">
        <f>C7*C4</f>
        <v>6199.7619047619055</v>
      </c>
      <c r="D8" s="285" t="s">
        <v>148</v>
      </c>
    </row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</sheetData>
  <mergeCells count="2">
    <mergeCell ref="B2:D2"/>
    <mergeCell ref="F4:H4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214"/>
  <sheetViews>
    <sheetView workbookViewId="0">
      <selection activeCell="H17" sqref="H17"/>
    </sheetView>
  </sheetViews>
  <sheetFormatPr baseColWidth="10" defaultColWidth="14.42578125" defaultRowHeight="15" customHeight="1" x14ac:dyDescent="0.2"/>
  <cols>
    <col min="1" max="1" width="10" customWidth="1"/>
    <col min="2" max="2" width="6" customWidth="1"/>
    <col min="3" max="3" width="16.42578125" customWidth="1"/>
    <col min="4" max="4" width="12.140625" customWidth="1"/>
    <col min="5" max="5" width="11.140625" customWidth="1"/>
    <col min="6" max="6" width="10.5703125" customWidth="1"/>
  </cols>
  <sheetData>
    <row r="1" spans="2:9" s="328" customFormat="1" ht="15" customHeight="1" x14ac:dyDescent="0.2"/>
    <row r="2" spans="2:9" s="328" customFormat="1" ht="15" customHeight="1" x14ac:dyDescent="0.2"/>
    <row r="3" spans="2:9" s="81" customFormat="1" ht="15" customHeight="1" x14ac:dyDescent="0.2">
      <c r="C3" s="333" t="s">
        <v>277</v>
      </c>
      <c r="D3" s="334">
        <f>Inversión_Inicial!E45</f>
        <v>3125</v>
      </c>
    </row>
    <row r="4" spans="2:9" s="81" customFormat="1" ht="15" customHeight="1" x14ac:dyDescent="0.2">
      <c r="C4" s="333" t="s">
        <v>278</v>
      </c>
      <c r="D4" s="336">
        <f>Resumen!H10</f>
        <v>0.3075</v>
      </c>
    </row>
    <row r="5" spans="2:9" ht="12.75" customHeight="1" x14ac:dyDescent="0.2">
      <c r="C5" s="333" t="s">
        <v>279</v>
      </c>
      <c r="D5" s="336">
        <f>POWER((1+D4),(1/12))-1</f>
        <v>2.2594552367961596E-2</v>
      </c>
    </row>
    <row r="6" spans="2:9" s="328" customFormat="1" ht="12.75" customHeight="1" x14ac:dyDescent="0.2">
      <c r="C6" s="333" t="s">
        <v>280</v>
      </c>
      <c r="D6" s="335">
        <v>2.9000000000000001E-2</v>
      </c>
    </row>
    <row r="7" spans="2:9" s="328" customFormat="1" ht="12.75" customHeight="1" x14ac:dyDescent="0.2">
      <c r="C7" s="333" t="s">
        <v>281</v>
      </c>
      <c r="D7" s="337">
        <f>POWER((1+D6),(1/D9))-1</f>
        <v>2.3851279739270925E-3</v>
      </c>
    </row>
    <row r="8" spans="2:9" s="328" customFormat="1" ht="12.75" customHeight="1" x14ac:dyDescent="0.2">
      <c r="C8" s="333" t="s">
        <v>282</v>
      </c>
      <c r="D8" s="337">
        <f>((1+D5)/(1+D7))-1</f>
        <v>2.0161337025104142E-2</v>
      </c>
    </row>
    <row r="9" spans="2:9" s="328" customFormat="1" ht="12.75" customHeight="1" x14ac:dyDescent="0.2">
      <c r="C9" s="333" t="s">
        <v>283</v>
      </c>
      <c r="D9" s="338">
        <v>12</v>
      </c>
    </row>
    <row r="10" spans="2:9" s="328" customFormat="1" ht="12.75" customHeight="1" x14ac:dyDescent="0.2">
      <c r="C10" s="333" t="s">
        <v>284</v>
      </c>
      <c r="D10" s="339">
        <f>PMT(D8,D9,D3)</f>
        <v>-295.79160862122558</v>
      </c>
    </row>
    <row r="11" spans="2:9" ht="12.75" customHeight="1" thickBot="1" x14ac:dyDescent="0.25">
      <c r="C11" s="134"/>
      <c r="D11" s="134"/>
      <c r="E11" s="134"/>
    </row>
    <row r="12" spans="2:9" ht="15" customHeight="1" thickBot="1" x14ac:dyDescent="0.25">
      <c r="B12" s="141" t="s">
        <v>209</v>
      </c>
      <c r="C12" s="142" t="s">
        <v>210</v>
      </c>
      <c r="D12" s="142" t="s">
        <v>211</v>
      </c>
      <c r="E12" s="142" t="s">
        <v>212</v>
      </c>
      <c r="F12" s="143" t="s">
        <v>213</v>
      </c>
    </row>
    <row r="13" spans="2:9" ht="12.75" customHeight="1" x14ac:dyDescent="0.2">
      <c r="B13" s="137"/>
      <c r="C13" s="138">
        <f>D3</f>
        <v>3125</v>
      </c>
      <c r="D13" s="139"/>
      <c r="E13" s="138"/>
      <c r="F13" s="140"/>
      <c r="G13" s="89"/>
      <c r="H13" s="89"/>
      <c r="I13" s="89"/>
    </row>
    <row r="14" spans="2:9" ht="12.75" customHeight="1" x14ac:dyDescent="0.2">
      <c r="B14" s="135">
        <v>1</v>
      </c>
      <c r="C14" s="85">
        <f>C13-D14</f>
        <v>2892.2125695822247</v>
      </c>
      <c r="D14" s="85">
        <f>F14-E14</f>
        <v>232.78743041777514</v>
      </c>
      <c r="E14" s="90">
        <f>C13*$D$8</f>
        <v>63.004178203450444</v>
      </c>
      <c r="F14" s="136">
        <f>-$D$10</f>
        <v>295.79160862122558</v>
      </c>
      <c r="G14" s="89"/>
      <c r="H14" s="89"/>
      <c r="I14" s="89"/>
    </row>
    <row r="15" spans="2:9" ht="12.75" customHeight="1" x14ac:dyDescent="0.2">
      <c r="B15" s="135">
        <v>2</v>
      </c>
      <c r="C15" s="85">
        <f t="shared" ref="C15:C25" si="0">C14-D15</f>
        <v>2654.7318333245889</v>
      </c>
      <c r="D15" s="85">
        <f t="shared" ref="D15:D25" si="1">F15-E15</f>
        <v>237.4807362576359</v>
      </c>
      <c r="E15" s="90">
        <f t="shared" ref="E15:E25" si="2">C14*$D$8</f>
        <v>58.310872363589695</v>
      </c>
      <c r="F15" s="136">
        <f t="shared" ref="F15:F25" si="3">-$D$10</f>
        <v>295.79160862122558</v>
      </c>
      <c r="G15" s="89"/>
      <c r="H15" s="89"/>
      <c r="I15" s="89"/>
    </row>
    <row r="16" spans="2:9" ht="12.75" customHeight="1" x14ac:dyDescent="0.2">
      <c r="B16" s="135">
        <v>3</v>
      </c>
      <c r="C16" s="85">
        <f t="shared" si="0"/>
        <v>2412.4631679062932</v>
      </c>
      <c r="D16" s="85">
        <f t="shared" si="1"/>
        <v>242.26866541829594</v>
      </c>
      <c r="E16" s="90">
        <f t="shared" si="2"/>
        <v>53.522943202929632</v>
      </c>
      <c r="F16" s="136">
        <f t="shared" si="3"/>
        <v>295.79160862122558</v>
      </c>
      <c r="G16" s="89"/>
      <c r="H16" s="89"/>
      <c r="I16" s="89"/>
    </row>
    <row r="17" spans="2:9" ht="12.75" customHeight="1" x14ac:dyDescent="0.2">
      <c r="B17" s="135">
        <v>4</v>
      </c>
      <c r="C17" s="85">
        <f t="shared" si="0"/>
        <v>2165.3100422738767</v>
      </c>
      <c r="D17" s="85">
        <f t="shared" si="1"/>
        <v>247.15312563241639</v>
      </c>
      <c r="E17" s="90">
        <f t="shared" si="2"/>
        <v>48.63848298880918</v>
      </c>
      <c r="F17" s="136">
        <f t="shared" si="3"/>
        <v>295.79160862122558</v>
      </c>
      <c r="G17" s="89"/>
      <c r="H17" s="89"/>
      <c r="I17" s="89"/>
    </row>
    <row r="18" spans="2:9" ht="12.75" customHeight="1" x14ac:dyDescent="0.2">
      <c r="B18" s="135">
        <v>5</v>
      </c>
      <c r="C18" s="85">
        <f t="shared" si="0"/>
        <v>1913.1739791787772</v>
      </c>
      <c r="D18" s="85">
        <f t="shared" si="1"/>
        <v>252.13606309509944</v>
      </c>
      <c r="E18" s="90">
        <f t="shared" si="2"/>
        <v>43.655545526126126</v>
      </c>
      <c r="F18" s="136">
        <f t="shared" si="3"/>
        <v>295.79160862122558</v>
      </c>
      <c r="G18" s="89"/>
      <c r="H18" s="89"/>
      <c r="I18" s="89"/>
    </row>
    <row r="19" spans="2:9" ht="12.75" customHeight="1" x14ac:dyDescent="0.2">
      <c r="B19" s="135">
        <v>6</v>
      </c>
      <c r="C19" s="85">
        <f t="shared" si="0"/>
        <v>1655.9545159394347</v>
      </c>
      <c r="D19" s="85">
        <f t="shared" si="1"/>
        <v>257.21946323934264</v>
      </c>
      <c r="E19" s="90">
        <f t="shared" si="2"/>
        <v>38.572145381882905</v>
      </c>
      <c r="F19" s="136">
        <f t="shared" si="3"/>
        <v>295.79160862122558</v>
      </c>
      <c r="G19" s="89"/>
      <c r="H19" s="89"/>
      <c r="I19" s="89"/>
    </row>
    <row r="20" spans="2:9" ht="12.75" customHeight="1" x14ac:dyDescent="0.2">
      <c r="B20" s="135">
        <v>7</v>
      </c>
      <c r="C20" s="85">
        <f t="shared" si="0"/>
        <v>1393.5491644123072</v>
      </c>
      <c r="D20" s="85">
        <f t="shared" si="1"/>
        <v>262.40535152712744</v>
      </c>
      <c r="E20" s="90">
        <f t="shared" si="2"/>
        <v>33.386257094098134</v>
      </c>
      <c r="F20" s="136">
        <f t="shared" si="3"/>
        <v>295.79160862122558</v>
      </c>
      <c r="G20" s="89"/>
      <c r="H20" s="89"/>
      <c r="I20" s="89"/>
    </row>
    <row r="21" spans="2:9" ht="12.75" customHeight="1" x14ac:dyDescent="0.2">
      <c r="B21" s="135">
        <v>8</v>
      </c>
      <c r="C21" s="85">
        <f t="shared" si="0"/>
        <v>1125.8533701558504</v>
      </c>
      <c r="D21" s="85">
        <f t="shared" si="1"/>
        <v>267.69579425645679</v>
      </c>
      <c r="E21" s="90">
        <f t="shared" si="2"/>
        <v>28.095814364768788</v>
      </c>
      <c r="F21" s="136">
        <f t="shared" si="3"/>
        <v>295.79160862122558</v>
      </c>
      <c r="G21" s="89"/>
      <c r="H21" s="89"/>
      <c r="I21" s="89"/>
    </row>
    <row r="22" spans="2:9" ht="12.75" customHeight="1" x14ac:dyDescent="0.2">
      <c r="B22" s="135">
        <v>9</v>
      </c>
      <c r="C22" s="85">
        <f t="shared" si="0"/>
        <v>852.76047077118619</v>
      </c>
      <c r="D22" s="85">
        <f t="shared" si="1"/>
        <v>273.09289938466418</v>
      </c>
      <c r="E22" s="90">
        <f t="shared" si="2"/>
        <v>22.698709236561424</v>
      </c>
      <c r="F22" s="136">
        <f t="shared" si="3"/>
        <v>295.79160862122558</v>
      </c>
      <c r="G22" s="89"/>
      <c r="H22" s="89"/>
      <c r="I22" s="89"/>
    </row>
    <row r="23" spans="2:9" ht="12.75" customHeight="1" x14ac:dyDescent="0.2">
      <c r="B23" s="135">
        <v>10</v>
      </c>
      <c r="C23" s="85">
        <f t="shared" si="0"/>
        <v>574.161653402865</v>
      </c>
      <c r="D23" s="85">
        <f t="shared" si="1"/>
        <v>278.59881736832119</v>
      </c>
      <c r="E23" s="90">
        <f t="shared" si="2"/>
        <v>17.192791252904357</v>
      </c>
      <c r="F23" s="136">
        <f t="shared" si="3"/>
        <v>295.79160862122558</v>
      </c>
      <c r="G23" s="89"/>
      <c r="H23" s="89"/>
      <c r="I23" s="89"/>
    </row>
    <row r="24" spans="2:9" ht="12.75" customHeight="1" x14ac:dyDescent="0.2">
      <c r="B24" s="135">
        <v>11</v>
      </c>
      <c r="C24" s="85">
        <f t="shared" si="0"/>
        <v>289.9459113827856</v>
      </c>
      <c r="D24" s="85">
        <f t="shared" si="1"/>
        <v>284.2157420200794</v>
      </c>
      <c r="E24" s="90">
        <f t="shared" si="2"/>
        <v>11.575866601146194</v>
      </c>
      <c r="F24" s="136">
        <f t="shared" si="3"/>
        <v>295.79160862122558</v>
      </c>
      <c r="G24" s="89"/>
      <c r="H24" s="89"/>
      <c r="I24" s="89"/>
    </row>
    <row r="25" spans="2:9" ht="12.75" customHeight="1" x14ac:dyDescent="0.2">
      <c r="B25" s="135">
        <v>12</v>
      </c>
      <c r="C25" s="85">
        <f t="shared" si="0"/>
        <v>-6.8212102632969618E-13</v>
      </c>
      <c r="D25" s="85">
        <f t="shared" si="1"/>
        <v>289.94591138278628</v>
      </c>
      <c r="E25" s="90">
        <f t="shared" si="2"/>
        <v>5.8456972384393202</v>
      </c>
      <c r="F25" s="136">
        <f t="shared" si="3"/>
        <v>295.79160862122558</v>
      </c>
      <c r="G25" s="89"/>
      <c r="H25" s="89"/>
      <c r="I25" s="89"/>
    </row>
    <row r="26" spans="2:9" s="309" customFormat="1" ht="12.75" customHeight="1" thickBot="1" x14ac:dyDescent="0.25">
      <c r="B26" s="329"/>
      <c r="C26" s="84"/>
      <c r="D26" s="84"/>
      <c r="E26" s="330"/>
      <c r="F26" s="330"/>
      <c r="G26" s="89"/>
      <c r="H26" s="89"/>
      <c r="I26" s="89"/>
    </row>
    <row r="27" spans="2:9" ht="12.75" customHeight="1" thickBot="1" x14ac:dyDescent="0.25">
      <c r="B27" s="82"/>
      <c r="C27" s="354" t="s">
        <v>276</v>
      </c>
      <c r="D27" s="355" t="s">
        <v>273</v>
      </c>
      <c r="E27" s="355" t="s">
        <v>274</v>
      </c>
      <c r="F27" s="356" t="s">
        <v>275</v>
      </c>
    </row>
    <row r="28" spans="2:9" s="332" customFormat="1" ht="12.75" customHeight="1" x14ac:dyDescent="0.2">
      <c r="B28" s="82"/>
      <c r="C28" s="345">
        <v>0</v>
      </c>
      <c r="D28" s="346">
        <f>D3</f>
        <v>3125</v>
      </c>
      <c r="E28" s="347"/>
      <c r="F28" s="348"/>
    </row>
    <row r="29" spans="2:9" ht="12.75" customHeight="1" x14ac:dyDescent="0.2">
      <c r="B29" s="86"/>
      <c r="C29" s="349">
        <v>1</v>
      </c>
      <c r="D29" s="85">
        <f>SUM(D14:D25)</f>
        <v>3125.0000000000009</v>
      </c>
      <c r="E29" s="85">
        <f>SUM(E14:E25)</f>
        <v>424.49930345470614</v>
      </c>
      <c r="F29" s="350">
        <f>SUM(F14:F25)</f>
        <v>3549.499303454706</v>
      </c>
    </row>
    <row r="30" spans="2:9" ht="12.75" customHeight="1" x14ac:dyDescent="0.2">
      <c r="C30" s="351">
        <v>2</v>
      </c>
      <c r="D30" s="331">
        <f>D29</f>
        <v>3125.0000000000009</v>
      </c>
      <c r="E30" s="331">
        <f>E29</f>
        <v>424.49930345470614</v>
      </c>
      <c r="F30" s="352">
        <f>F29</f>
        <v>3549.499303454706</v>
      </c>
    </row>
    <row r="31" spans="2:9" ht="12.75" customHeight="1" x14ac:dyDescent="0.2">
      <c r="C31" s="353">
        <v>3</v>
      </c>
      <c r="D31" s="331">
        <f t="shared" ref="D31" si="4">D30</f>
        <v>3125.0000000000009</v>
      </c>
      <c r="E31" s="331">
        <f t="shared" ref="E31" si="5">E30</f>
        <v>424.49930345470614</v>
      </c>
      <c r="F31" s="352">
        <f t="shared" ref="F31" si="6">F30</f>
        <v>3549.499303454706</v>
      </c>
    </row>
    <row r="32" spans="2:9" ht="12.75" customHeight="1" x14ac:dyDescent="0.2">
      <c r="B32" s="83"/>
      <c r="C32" s="83"/>
      <c r="D32" s="344"/>
      <c r="E32" s="83"/>
      <c r="F32" s="83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</sheetData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222"/>
  <sheetViews>
    <sheetView workbookViewId="0">
      <selection activeCell="H21" sqref="H21"/>
    </sheetView>
  </sheetViews>
  <sheetFormatPr baseColWidth="10" defaultColWidth="14.42578125" defaultRowHeight="15" customHeight="1" x14ac:dyDescent="0.2"/>
  <cols>
    <col min="1" max="1" width="10" customWidth="1"/>
    <col min="2" max="2" width="4.42578125" customWidth="1"/>
    <col min="3" max="3" width="24" customWidth="1"/>
    <col min="4" max="4" width="9.140625" customWidth="1"/>
    <col min="5" max="5" width="9.28515625" customWidth="1"/>
    <col min="6" max="6" width="8.42578125" customWidth="1"/>
    <col min="7" max="7" width="10" customWidth="1"/>
  </cols>
  <sheetData>
    <row r="1" spans="2:7" ht="12.75" customHeight="1" x14ac:dyDescent="0.2">
      <c r="B1" s="22"/>
    </row>
    <row r="2" spans="2:7" ht="12.75" customHeight="1" x14ac:dyDescent="0.2">
      <c r="B2" s="55"/>
    </row>
    <row r="3" spans="2:7" ht="12.75" customHeight="1" x14ac:dyDescent="0.2">
      <c r="C3" s="448" t="s">
        <v>159</v>
      </c>
      <c r="D3" s="449"/>
      <c r="E3" s="449"/>
      <c r="F3" s="450"/>
    </row>
    <row r="4" spans="2:7" ht="13.5" customHeight="1" thickBot="1" x14ac:dyDescent="0.25">
      <c r="C4" s="24"/>
      <c r="D4" s="24"/>
      <c r="E4" s="24"/>
      <c r="F4" s="24"/>
    </row>
    <row r="5" spans="2:7" ht="13.5" customHeight="1" thickBot="1" x14ac:dyDescent="0.25">
      <c r="C5" s="144" t="s">
        <v>34</v>
      </c>
      <c r="D5" s="145" t="s">
        <v>160</v>
      </c>
      <c r="E5" s="145" t="s">
        <v>161</v>
      </c>
      <c r="F5" s="145" t="s">
        <v>162</v>
      </c>
      <c r="G5" s="40"/>
    </row>
    <row r="6" spans="2:7" ht="12.75" customHeight="1" x14ac:dyDescent="0.2">
      <c r="C6" s="64" t="s">
        <v>163</v>
      </c>
      <c r="D6" s="71">
        <f>Proyeccion_Ventas!P21</f>
        <v>90000</v>
      </c>
      <c r="E6" s="71">
        <f>Proyeccion_Ventas!P22</f>
        <v>90000</v>
      </c>
      <c r="F6" s="71">
        <f>Proyeccion_Ventas!P23</f>
        <v>90000</v>
      </c>
    </row>
    <row r="7" spans="2:7" ht="12.75" customHeight="1" x14ac:dyDescent="0.2">
      <c r="C7" s="73" t="s">
        <v>164</v>
      </c>
      <c r="D7" s="74"/>
      <c r="E7" s="1"/>
      <c r="F7" s="1"/>
    </row>
    <row r="8" spans="2:7" ht="12.75" customHeight="1" x14ac:dyDescent="0.2">
      <c r="C8" s="73" t="s">
        <v>165</v>
      </c>
      <c r="D8" s="195">
        <f>Costos_Producción!C29-Costos_Producción!C28</f>
        <v>37500</v>
      </c>
      <c r="E8" s="195">
        <f>Costos_Producción!D29-Costos_Producción!D28</f>
        <v>37500</v>
      </c>
      <c r="F8" s="195">
        <f>Costos_Producción!E29-Costos_Producción!E28</f>
        <v>37500</v>
      </c>
    </row>
    <row r="9" spans="2:7" ht="12.75" customHeight="1" x14ac:dyDescent="0.2">
      <c r="C9" s="41" t="s">
        <v>166</v>
      </c>
      <c r="D9" s="44">
        <f>Costos_Producción!C28</f>
        <v>3685</v>
      </c>
      <c r="E9" s="44">
        <f>Costos_Producción!D28</f>
        <v>3685</v>
      </c>
      <c r="F9" s="44">
        <f>Costos_Producción!E28</f>
        <v>3685</v>
      </c>
    </row>
    <row r="10" spans="2:7" ht="12.75" customHeight="1" x14ac:dyDescent="0.2">
      <c r="C10" s="147" t="s">
        <v>167</v>
      </c>
      <c r="D10" s="148">
        <f>D6-D8-D9</f>
        <v>48815</v>
      </c>
      <c r="E10" s="148">
        <f t="shared" ref="E10:F10" si="0">E6-E8-E9</f>
        <v>48815</v>
      </c>
      <c r="F10" s="148">
        <f t="shared" si="0"/>
        <v>48815</v>
      </c>
    </row>
    <row r="11" spans="2:7" ht="12.75" customHeight="1" x14ac:dyDescent="0.2">
      <c r="C11" s="41" t="s">
        <v>168</v>
      </c>
      <c r="D11" s="1"/>
      <c r="E11" s="1"/>
      <c r="F11" s="1"/>
    </row>
    <row r="12" spans="2:7" ht="12.75" customHeight="1" x14ac:dyDescent="0.2">
      <c r="C12" s="73" t="s">
        <v>129</v>
      </c>
      <c r="D12" s="74">
        <f>Gastos_Operativos!C18</f>
        <v>37500</v>
      </c>
      <c r="E12" s="74">
        <f>Gastos_Operativos!D18</f>
        <v>37500</v>
      </c>
      <c r="F12" s="74">
        <f>Gastos_Operativos!E18</f>
        <v>37500</v>
      </c>
    </row>
    <row r="13" spans="2:7" ht="12.75" customHeight="1" x14ac:dyDescent="0.2">
      <c r="C13" s="73" t="s">
        <v>132</v>
      </c>
      <c r="D13" s="74">
        <f>Gastos_Operativos!C19</f>
        <v>1140</v>
      </c>
      <c r="E13" s="74">
        <f>Gastos_Operativos!D19</f>
        <v>1140</v>
      </c>
      <c r="F13" s="74">
        <f>Gastos_Operativos!E19</f>
        <v>1140</v>
      </c>
    </row>
    <row r="14" spans="2:7" ht="12.75" customHeight="1" x14ac:dyDescent="0.2">
      <c r="C14" s="41" t="s">
        <v>169</v>
      </c>
      <c r="D14" s="44">
        <f>Gastos_Operativos!C20</f>
        <v>1073.3333333333333</v>
      </c>
      <c r="E14" s="44">
        <f>Gastos_Operativos!D20</f>
        <v>1073.3333333333333</v>
      </c>
      <c r="F14" s="44">
        <f>Gastos_Operativos!E20</f>
        <v>1073.3333333333333</v>
      </c>
    </row>
    <row r="15" spans="2:7" s="309" customFormat="1" ht="12.75" customHeight="1" x14ac:dyDescent="0.2">
      <c r="C15" s="41" t="s">
        <v>191</v>
      </c>
      <c r="D15" s="44">
        <f>Flujo_Deuda!E29</f>
        <v>424.49930345470614</v>
      </c>
      <c r="E15" s="44">
        <f>Flujo_Deuda!E30</f>
        <v>424.49930345470614</v>
      </c>
      <c r="F15" s="44">
        <f>Flujo_Deuda!E31</f>
        <v>424.49930345470614</v>
      </c>
    </row>
    <row r="16" spans="2:7" ht="12.75" customHeight="1" x14ac:dyDescent="0.2">
      <c r="C16" s="147" t="s">
        <v>170</v>
      </c>
      <c r="D16" s="148">
        <f>D10-D12-D13-D14-D15</f>
        <v>8677.16736321196</v>
      </c>
      <c r="E16" s="148">
        <f t="shared" ref="E16:F16" si="1">E10-E12-E13-E14-E15</f>
        <v>8677.16736321196</v>
      </c>
      <c r="F16" s="148">
        <f t="shared" si="1"/>
        <v>8677.16736321196</v>
      </c>
    </row>
    <row r="17" spans="3:6" ht="13.5" customHeight="1" thickBot="1" x14ac:dyDescent="0.25">
      <c r="C17" s="65" t="s">
        <v>171</v>
      </c>
      <c r="D17" s="340">
        <f>50*12</f>
        <v>600</v>
      </c>
      <c r="E17" s="340">
        <f t="shared" ref="E17:F17" si="2">50*12</f>
        <v>600</v>
      </c>
      <c r="F17" s="340">
        <f t="shared" si="2"/>
        <v>600</v>
      </c>
    </row>
    <row r="18" spans="3:6" ht="13.5" customHeight="1" thickBot="1" x14ac:dyDescent="0.25">
      <c r="C18" s="144" t="s">
        <v>172</v>
      </c>
      <c r="D18" s="198">
        <f>D16-D17</f>
        <v>8077.16736321196</v>
      </c>
      <c r="E18" s="146">
        <f t="shared" ref="E18:F18" si="3">E16-E17</f>
        <v>8077.16736321196</v>
      </c>
      <c r="F18" s="146">
        <f t="shared" si="3"/>
        <v>8077.16736321196</v>
      </c>
    </row>
    <row r="19" spans="3:6" ht="12.75" customHeight="1" x14ac:dyDescent="0.2">
      <c r="C19" s="72" t="s">
        <v>287</v>
      </c>
    </row>
    <row r="20" spans="3:6" ht="12.75" customHeight="1" x14ac:dyDescent="0.2"/>
    <row r="21" spans="3:6" ht="12.75" customHeight="1" x14ac:dyDescent="0.2">
      <c r="C21" s="63" t="s">
        <v>173</v>
      </c>
      <c r="D21" s="20">
        <v>0.1</v>
      </c>
    </row>
    <row r="22" spans="3:6" ht="12.75" customHeight="1" x14ac:dyDescent="0.2">
      <c r="C22" s="63">
        <f>15*4400</f>
        <v>66000</v>
      </c>
    </row>
    <row r="23" spans="3:6" ht="12.75" customHeight="1" x14ac:dyDescent="0.2"/>
    <row r="24" spans="3:6" ht="12.75" customHeight="1" x14ac:dyDescent="0.2"/>
    <row r="25" spans="3:6" ht="12.75" customHeight="1" x14ac:dyDescent="0.2"/>
    <row r="26" spans="3:6" ht="12.75" customHeight="1" x14ac:dyDescent="0.2"/>
    <row r="27" spans="3:6" ht="12.75" customHeight="1" x14ac:dyDescent="0.2"/>
    <row r="28" spans="3:6" ht="12.75" customHeight="1" x14ac:dyDescent="0.2"/>
    <row r="29" spans="3:6" ht="12.75" customHeight="1" x14ac:dyDescent="0.2"/>
    <row r="30" spans="3:6" ht="12.75" customHeight="1" x14ac:dyDescent="0.2"/>
    <row r="31" spans="3:6" ht="12.75" customHeight="1" x14ac:dyDescent="0.2"/>
    <row r="32" spans="3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C3:F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D220"/>
  <sheetViews>
    <sheetView workbookViewId="0">
      <selection activeCell="I16" sqref="I16"/>
    </sheetView>
  </sheetViews>
  <sheetFormatPr baseColWidth="10" defaultColWidth="14.42578125" defaultRowHeight="15" customHeight="1" x14ac:dyDescent="0.2"/>
  <cols>
    <col min="1" max="1" width="10" customWidth="1"/>
    <col min="2" max="2" width="13.28515625" customWidth="1"/>
    <col min="3" max="6" width="10" customWidth="1"/>
  </cols>
  <sheetData>
    <row r="1" spans="2:4" ht="12.75" customHeight="1" x14ac:dyDescent="0.2"/>
    <row r="2" spans="2:4" ht="12.75" customHeight="1" x14ac:dyDescent="0.2"/>
    <row r="3" spans="2:4" ht="12.75" customHeight="1" x14ac:dyDescent="0.2"/>
    <row r="4" spans="2:4" ht="18.75" customHeight="1" x14ac:dyDescent="0.2">
      <c r="B4" s="219" t="s">
        <v>249</v>
      </c>
      <c r="C4" s="227"/>
    </row>
    <row r="5" spans="2:4" ht="12.75" customHeight="1" x14ac:dyDescent="0.2">
      <c r="B5" s="227"/>
      <c r="C5" s="227"/>
    </row>
    <row r="6" spans="2:4" ht="12.75" customHeight="1" x14ac:dyDescent="0.2">
      <c r="B6" s="22" t="s">
        <v>174</v>
      </c>
      <c r="C6" s="227"/>
    </row>
    <row r="7" spans="2:4" ht="12.75" customHeight="1" x14ac:dyDescent="0.2">
      <c r="B7" s="199" t="s">
        <v>238</v>
      </c>
      <c r="C7" s="210">
        <v>4.9500000000000002E-2</v>
      </c>
      <c r="D7" s="208" t="s">
        <v>175</v>
      </c>
    </row>
    <row r="8" spans="2:4" ht="12.75" customHeight="1" x14ac:dyDescent="0.2">
      <c r="B8" s="199" t="s">
        <v>240</v>
      </c>
      <c r="C8" s="199">
        <v>3.9</v>
      </c>
      <c r="D8" s="208" t="s">
        <v>206</v>
      </c>
    </row>
    <row r="9" spans="2:4" ht="12.75" customHeight="1" x14ac:dyDescent="0.2">
      <c r="B9" s="199" t="s">
        <v>239</v>
      </c>
      <c r="C9" s="210">
        <v>4.6399999999999997E-2</v>
      </c>
      <c r="D9" s="208" t="s">
        <v>175</v>
      </c>
    </row>
    <row r="10" spans="2:4" ht="12.75" customHeight="1" x14ac:dyDescent="0.2">
      <c r="B10" s="199" t="s">
        <v>232</v>
      </c>
      <c r="C10" s="210">
        <v>1.7399999999999999E-2</v>
      </c>
      <c r="D10" s="208" t="s">
        <v>176</v>
      </c>
    </row>
    <row r="11" spans="2:4" ht="12.75" customHeight="1" x14ac:dyDescent="0.2">
      <c r="B11" s="225"/>
      <c r="C11" s="202"/>
      <c r="D11" s="209"/>
    </row>
    <row r="12" spans="2:4" ht="12.75" customHeight="1" x14ac:dyDescent="0.25">
      <c r="B12" s="217" t="s">
        <v>241</v>
      </c>
      <c r="C12" s="218">
        <f>C7+C8*C9+C10</f>
        <v>0.24786</v>
      </c>
      <c r="D12" s="208" t="s">
        <v>177</v>
      </c>
    </row>
    <row r="13" spans="2:4" ht="12.75" customHeight="1" x14ac:dyDescent="0.2"/>
    <row r="14" spans="2:4" ht="12.75" customHeight="1" x14ac:dyDescent="0.2"/>
    <row r="15" spans="2:4" ht="12.75" customHeight="1" x14ac:dyDescent="0.2"/>
    <row r="16" spans="2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</sheetData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K222"/>
  <sheetViews>
    <sheetView workbookViewId="0">
      <selection activeCell="G16" sqref="G16"/>
    </sheetView>
  </sheetViews>
  <sheetFormatPr baseColWidth="10" defaultColWidth="14.42578125" defaultRowHeight="15" customHeight="1" x14ac:dyDescent="0.2"/>
  <cols>
    <col min="1" max="1" width="10" customWidth="1"/>
    <col min="2" max="2" width="15.42578125" customWidth="1"/>
    <col min="3" max="3" width="23.85546875" customWidth="1"/>
    <col min="4" max="4" width="10" customWidth="1"/>
    <col min="5" max="5" width="18.140625" customWidth="1"/>
    <col min="6" max="6" width="10" customWidth="1"/>
    <col min="7" max="7" width="10.140625" customWidth="1"/>
    <col min="8" max="8" width="9.42578125" customWidth="1"/>
    <col min="9" max="10" width="10" customWidth="1"/>
    <col min="11" max="11" width="14.85546875" customWidth="1"/>
  </cols>
  <sheetData>
    <row r="1" spans="2:11" ht="13.5" customHeight="1" x14ac:dyDescent="0.2"/>
    <row r="2" spans="2:11" ht="13.5" customHeight="1" x14ac:dyDescent="0.25">
      <c r="B2" s="451" t="s">
        <v>178</v>
      </c>
      <c r="C2" s="452"/>
      <c r="D2" s="452"/>
      <c r="E2" s="453"/>
      <c r="F2" s="209"/>
      <c r="G2" s="454" t="s">
        <v>179</v>
      </c>
      <c r="H2" s="452"/>
      <c r="I2" s="452"/>
      <c r="J2" s="452"/>
      <c r="K2" s="453"/>
    </row>
    <row r="3" spans="2:11" ht="12.75" customHeight="1" x14ac:dyDescent="0.2">
      <c r="B3" s="209"/>
      <c r="C3" s="209"/>
      <c r="D3" s="209"/>
      <c r="E3" s="209"/>
      <c r="F3" s="209"/>
      <c r="G3" s="209"/>
      <c r="H3" s="209"/>
      <c r="I3" s="209"/>
      <c r="J3" s="209"/>
      <c r="K3" s="209"/>
    </row>
    <row r="4" spans="2:11" ht="15.75" customHeight="1" x14ac:dyDescent="0.3">
      <c r="B4" s="211" t="s">
        <v>245</v>
      </c>
      <c r="C4" s="209"/>
      <c r="D4" s="209"/>
      <c r="E4" s="209"/>
      <c r="F4" s="209"/>
      <c r="G4" s="212" t="s">
        <v>246</v>
      </c>
      <c r="H4" s="209"/>
      <c r="I4" s="209"/>
      <c r="J4" s="209"/>
      <c r="K4" s="209"/>
    </row>
    <row r="5" spans="2:11" ht="12.75" customHeight="1" x14ac:dyDescent="0.2">
      <c r="B5" s="209"/>
      <c r="C5" s="209"/>
      <c r="D5" s="209"/>
      <c r="E5" s="209"/>
      <c r="F5" s="209"/>
      <c r="G5" s="209"/>
      <c r="H5" s="209"/>
      <c r="I5" s="209"/>
      <c r="J5" s="209"/>
      <c r="K5" s="209"/>
    </row>
    <row r="6" spans="2:11" ht="15.75" customHeight="1" x14ac:dyDescent="0.2">
      <c r="B6" s="213" t="s">
        <v>180</v>
      </c>
      <c r="C6" s="209"/>
      <c r="D6" s="209"/>
      <c r="E6" s="209"/>
      <c r="F6" s="209"/>
      <c r="G6" s="213" t="s">
        <v>181</v>
      </c>
      <c r="H6" s="209"/>
      <c r="I6" s="209"/>
      <c r="J6" s="209"/>
      <c r="K6" s="209"/>
    </row>
    <row r="7" spans="2:11" ht="15.75" customHeight="1" x14ac:dyDescent="0.2">
      <c r="B7" s="203" t="s">
        <v>230</v>
      </c>
      <c r="C7" s="200">
        <v>4.9500000000000002E-2</v>
      </c>
      <c r="D7" s="209"/>
      <c r="E7" s="209"/>
      <c r="F7" s="209"/>
      <c r="G7" s="203" t="s">
        <v>235</v>
      </c>
      <c r="H7" s="473">
        <f>Inversión_Inicial!D46</f>
        <v>0.84378905273681581</v>
      </c>
      <c r="I7" s="209"/>
      <c r="J7" s="209"/>
      <c r="K7" s="209"/>
    </row>
    <row r="8" spans="2:11" ht="15.75" customHeight="1" x14ac:dyDescent="0.2">
      <c r="B8" s="203" t="s">
        <v>247</v>
      </c>
      <c r="C8" s="201">
        <f>C22</f>
        <v>4.619192461492891</v>
      </c>
      <c r="D8" s="209"/>
      <c r="E8" s="209"/>
      <c r="F8" s="209"/>
      <c r="G8" s="203" t="s">
        <v>236</v>
      </c>
      <c r="H8" s="214">
        <f>C12</f>
        <v>0.28123053021327016</v>
      </c>
      <c r="I8" s="209"/>
      <c r="J8" s="209"/>
      <c r="K8" s="209"/>
    </row>
    <row r="9" spans="2:11" ht="15.75" customHeight="1" x14ac:dyDescent="0.2">
      <c r="B9" s="203" t="s">
        <v>231</v>
      </c>
      <c r="C9" s="200">
        <v>4.6399999999999997E-2</v>
      </c>
      <c r="D9" s="209"/>
      <c r="E9" s="209"/>
      <c r="F9" s="209"/>
      <c r="G9" s="203" t="s">
        <v>237</v>
      </c>
      <c r="H9" s="473">
        <f>Inversión_Inicial!D45</f>
        <v>0.15621094726318421</v>
      </c>
      <c r="I9" s="209"/>
      <c r="J9" s="209"/>
      <c r="K9" s="209"/>
    </row>
    <row r="10" spans="2:11" ht="15.75" customHeight="1" x14ac:dyDescent="0.2">
      <c r="B10" s="203" t="s">
        <v>232</v>
      </c>
      <c r="C10" s="200">
        <f>Ku!C10</f>
        <v>1.7399999999999999E-2</v>
      </c>
      <c r="D10" s="209"/>
      <c r="E10" s="209"/>
      <c r="F10" s="209"/>
      <c r="G10" s="203" t="s">
        <v>243</v>
      </c>
      <c r="H10" s="214">
        <f>Resumen!H10</f>
        <v>0.3075</v>
      </c>
      <c r="I10" s="209"/>
      <c r="J10" s="209"/>
      <c r="K10" s="209"/>
    </row>
    <row r="11" spans="2:11" ht="15.75" customHeight="1" x14ac:dyDescent="0.2">
      <c r="B11" s="213"/>
      <c r="C11" s="216"/>
      <c r="D11" s="209"/>
      <c r="E11" s="209"/>
      <c r="F11" s="209"/>
      <c r="G11" s="203" t="s">
        <v>229</v>
      </c>
      <c r="H11" s="215">
        <f>Resumen!H11</f>
        <v>3.8999999999999998E-3</v>
      </c>
      <c r="I11" s="209"/>
      <c r="J11" s="209"/>
      <c r="K11" s="209"/>
    </row>
    <row r="12" spans="2:11" ht="15.75" customHeight="1" x14ac:dyDescent="0.25">
      <c r="B12" s="217" t="s">
        <v>236</v>
      </c>
      <c r="C12" s="218">
        <f>C7+C8*(C9)+C10</f>
        <v>0.28123053021327016</v>
      </c>
      <c r="D12" s="202"/>
      <c r="E12" s="202"/>
      <c r="F12" s="209"/>
      <c r="G12" s="212"/>
      <c r="H12" s="209"/>
      <c r="I12" s="209"/>
      <c r="J12" s="209"/>
      <c r="K12" s="209"/>
    </row>
    <row r="13" spans="2:11" ht="16.5" customHeight="1" x14ac:dyDescent="0.25">
      <c r="B13" s="219"/>
      <c r="C13" s="220"/>
      <c r="D13" s="202"/>
      <c r="E13" s="202"/>
      <c r="F13" s="209"/>
      <c r="G13" s="221" t="s">
        <v>182</v>
      </c>
      <c r="H13" s="207">
        <f>H7*H8+H9*H10</f>
        <v>0.28533410897275685</v>
      </c>
      <c r="I13" s="209"/>
      <c r="J13" s="209"/>
      <c r="K13" s="209"/>
    </row>
    <row r="14" spans="2:11" ht="16.5" customHeight="1" x14ac:dyDescent="0.2">
      <c r="B14" s="455" t="s">
        <v>183</v>
      </c>
      <c r="C14" s="456"/>
      <c r="D14" s="456"/>
      <c r="E14" s="457"/>
      <c r="F14" s="209"/>
      <c r="G14" s="212"/>
      <c r="H14" s="209"/>
      <c r="I14" s="209"/>
      <c r="J14" s="209"/>
      <c r="K14" s="209"/>
    </row>
    <row r="15" spans="2:11" ht="18.75" customHeight="1" x14ac:dyDescent="0.2">
      <c r="B15" s="222" t="s">
        <v>248</v>
      </c>
      <c r="C15" s="202"/>
      <c r="D15" s="202"/>
      <c r="E15" s="202"/>
      <c r="F15" s="209"/>
      <c r="G15" s="209"/>
      <c r="H15" s="209"/>
      <c r="I15" s="209"/>
      <c r="J15" s="209"/>
      <c r="K15" s="209"/>
    </row>
    <row r="16" spans="2:11" ht="15.75" customHeight="1" x14ac:dyDescent="0.2">
      <c r="B16" s="219" t="s">
        <v>242</v>
      </c>
      <c r="C16" s="202"/>
      <c r="D16" s="202"/>
      <c r="E16" s="202"/>
      <c r="F16" s="209"/>
      <c r="G16" s="209"/>
      <c r="H16" s="209"/>
      <c r="I16" s="209"/>
      <c r="J16" s="209"/>
      <c r="K16" s="209"/>
    </row>
    <row r="17" spans="2:11" ht="15.75" customHeight="1" x14ac:dyDescent="0.2">
      <c r="B17" s="219"/>
      <c r="C17" s="202"/>
      <c r="D17" s="202"/>
      <c r="E17" s="202"/>
      <c r="F17" s="209"/>
      <c r="G17" s="209"/>
      <c r="H17" s="209"/>
      <c r="I17" s="209"/>
      <c r="J17" s="209"/>
      <c r="K17" s="209"/>
    </row>
    <row r="18" spans="2:11" ht="19.5" customHeight="1" x14ac:dyDescent="0.2">
      <c r="B18" s="203" t="s">
        <v>233</v>
      </c>
      <c r="C18" s="199">
        <f>Ku!C8</f>
        <v>3.9</v>
      </c>
      <c r="D18" s="202" t="s">
        <v>311</v>
      </c>
      <c r="E18" s="202"/>
      <c r="F18" s="209"/>
      <c r="G18" s="209"/>
      <c r="H18" s="209"/>
      <c r="I18" s="209"/>
      <c r="J18" s="209"/>
      <c r="K18" s="209"/>
    </row>
    <row r="19" spans="2:11" ht="18.75" customHeight="1" x14ac:dyDescent="0.2">
      <c r="B19" s="203" t="s">
        <v>234</v>
      </c>
      <c r="C19" s="223">
        <f>Inversión_Inicial!E45/Inversión_Inicial!E46</f>
        <v>0.18513033175355451</v>
      </c>
      <c r="D19" s="202"/>
      <c r="E19" s="202"/>
      <c r="F19" s="209"/>
      <c r="G19" s="209"/>
      <c r="H19" s="209"/>
      <c r="I19" s="209"/>
      <c r="J19" s="209"/>
      <c r="K19" s="209"/>
    </row>
    <row r="20" spans="2:11" ht="15.75" customHeight="1" x14ac:dyDescent="0.2">
      <c r="B20" s="203" t="s">
        <v>229</v>
      </c>
      <c r="C20" s="210">
        <f>Resumen!H11</f>
        <v>3.8999999999999998E-3</v>
      </c>
      <c r="D20" s="224"/>
      <c r="E20" s="202"/>
      <c r="F20" s="209"/>
      <c r="G20" s="209"/>
      <c r="H20" s="209"/>
      <c r="I20" s="209"/>
      <c r="J20" s="209"/>
      <c r="K20" s="209"/>
    </row>
    <row r="21" spans="2:11" ht="12.75" customHeight="1" x14ac:dyDescent="0.25">
      <c r="B21" s="204"/>
      <c r="C21" s="225"/>
      <c r="D21" s="202"/>
      <c r="E21" s="202"/>
      <c r="F21" s="209"/>
      <c r="G21" s="209"/>
      <c r="H21" s="209"/>
      <c r="I21" s="209"/>
      <c r="J21" s="209"/>
      <c r="K21" s="209"/>
    </row>
    <row r="22" spans="2:11" ht="15.75" customHeight="1" x14ac:dyDescent="0.2">
      <c r="B22" s="205" t="s">
        <v>184</v>
      </c>
      <c r="C22" s="226">
        <f>C18*(1+C19*(1-C20))</f>
        <v>4.619192461492891</v>
      </c>
      <c r="D22" s="202"/>
      <c r="E22" s="202"/>
      <c r="F22" s="209"/>
      <c r="G22" s="209"/>
      <c r="H22" s="209"/>
      <c r="I22" s="209"/>
      <c r="J22" s="209"/>
      <c r="K22" s="209"/>
    </row>
    <row r="23" spans="2:11" ht="12.75" customHeight="1" x14ac:dyDescent="0.2"/>
    <row r="24" spans="2:11" ht="12.75" customHeight="1" x14ac:dyDescent="0.2"/>
    <row r="25" spans="2:11" ht="12.75" customHeight="1" x14ac:dyDescent="0.2"/>
    <row r="26" spans="2:11" ht="12.75" customHeight="1" x14ac:dyDescent="0.2"/>
    <row r="27" spans="2:11" ht="12.75" customHeight="1" x14ac:dyDescent="0.2"/>
    <row r="28" spans="2:11" ht="12.75" customHeight="1" x14ac:dyDescent="0.2"/>
    <row r="29" spans="2:11" ht="12.75" customHeight="1" x14ac:dyDescent="0.2"/>
    <row r="30" spans="2:11" ht="12.75" customHeight="1" x14ac:dyDescent="0.2"/>
    <row r="31" spans="2:11" ht="12.75" customHeight="1" x14ac:dyDescent="0.2"/>
    <row r="32" spans="2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3">
    <mergeCell ref="B2:E2"/>
    <mergeCell ref="G2:K2"/>
    <mergeCell ref="B14:E1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220"/>
  <sheetViews>
    <sheetView topLeftCell="A13" workbookViewId="0">
      <selection activeCell="D29" sqref="D29"/>
    </sheetView>
  </sheetViews>
  <sheetFormatPr baseColWidth="10" defaultColWidth="14.42578125" defaultRowHeight="15" customHeight="1" x14ac:dyDescent="0.2"/>
  <cols>
    <col min="1" max="2" width="10" customWidth="1"/>
    <col min="3" max="3" width="36.28515625" customWidth="1"/>
    <col min="4" max="4" width="8.28515625" customWidth="1"/>
    <col min="5" max="5" width="8.5703125" customWidth="1"/>
    <col min="6" max="6" width="8.140625" customWidth="1"/>
    <col min="7" max="7" width="8.7109375" customWidth="1"/>
  </cols>
  <sheetData>
    <row r="1" spans="2:7" ht="12.75" customHeight="1" x14ac:dyDescent="0.2">
      <c r="B1" s="22" t="s">
        <v>185</v>
      </c>
    </row>
    <row r="2" spans="2:7" ht="12.75" customHeight="1" x14ac:dyDescent="0.2">
      <c r="B2" s="22"/>
    </row>
    <row r="3" spans="2:7" ht="12.75" customHeight="1" x14ac:dyDescent="0.2">
      <c r="C3" s="386" t="s">
        <v>186</v>
      </c>
      <c r="D3" s="379"/>
      <c r="E3" s="379"/>
      <c r="F3" s="379"/>
      <c r="G3" s="387"/>
    </row>
    <row r="4" spans="2:7" ht="13.5" customHeight="1" x14ac:dyDescent="0.2">
      <c r="C4" s="24"/>
      <c r="D4" s="24"/>
      <c r="E4" s="24"/>
      <c r="F4" s="24"/>
      <c r="G4" s="24"/>
    </row>
    <row r="5" spans="2:7" ht="13.5" customHeight="1" x14ac:dyDescent="0.2">
      <c r="C5" s="363" t="s">
        <v>34</v>
      </c>
      <c r="D5" s="363" t="s">
        <v>187</v>
      </c>
      <c r="E5" s="363" t="s">
        <v>160</v>
      </c>
      <c r="F5" s="363" t="s">
        <v>161</v>
      </c>
      <c r="G5" s="363" t="s">
        <v>162</v>
      </c>
    </row>
    <row r="6" spans="2:7" ht="12.75" customHeight="1" x14ac:dyDescent="0.25">
      <c r="C6" s="364" t="s">
        <v>293</v>
      </c>
      <c r="D6" s="365">
        <f>-Inversión_Inicial!F18</f>
        <v>-13660</v>
      </c>
      <c r="E6" s="366"/>
      <c r="F6" s="367"/>
      <c r="G6" s="367"/>
    </row>
    <row r="7" spans="2:7" ht="12.75" customHeight="1" x14ac:dyDescent="0.25">
      <c r="C7" s="364" t="s">
        <v>294</v>
      </c>
      <c r="D7" s="365">
        <f>-Inversión_Inicial!F25</f>
        <v>-3220</v>
      </c>
      <c r="E7" s="366"/>
      <c r="F7" s="367"/>
      <c r="G7" s="367"/>
    </row>
    <row r="8" spans="2:7" ht="12.75" customHeight="1" x14ac:dyDescent="0.25">
      <c r="C8" s="364" t="s">
        <v>295</v>
      </c>
      <c r="D8" s="365">
        <f>-Inversión_Inicial!F42</f>
        <v>-3125</v>
      </c>
      <c r="E8" s="366"/>
      <c r="F8" s="367"/>
      <c r="G8" s="367"/>
    </row>
    <row r="9" spans="2:7" ht="12.75" customHeight="1" x14ac:dyDescent="0.25">
      <c r="C9" s="364" t="s">
        <v>296</v>
      </c>
      <c r="D9" s="365"/>
      <c r="E9" s="366"/>
      <c r="F9" s="367"/>
      <c r="G9" s="365">
        <f>-SUM(D8:F8)</f>
        <v>3125</v>
      </c>
    </row>
    <row r="10" spans="2:7" ht="12.75" customHeight="1" x14ac:dyDescent="0.25">
      <c r="C10" s="364" t="s">
        <v>297</v>
      </c>
      <c r="D10" s="368"/>
      <c r="E10" s="369"/>
      <c r="F10" s="364"/>
      <c r="G10" s="365">
        <f>Depreciación_VR!H7</f>
        <v>2605</v>
      </c>
    </row>
    <row r="11" spans="2:7" ht="12.75" customHeight="1" x14ac:dyDescent="0.2">
      <c r="C11" s="370" t="s">
        <v>303</v>
      </c>
      <c r="D11" s="371">
        <f>SUM(D6:D10)</f>
        <v>-20005</v>
      </c>
      <c r="E11" s="371">
        <f t="shared" ref="E11:G11" si="0">SUM(E6:E10)</f>
        <v>0</v>
      </c>
      <c r="F11" s="371">
        <f t="shared" si="0"/>
        <v>0</v>
      </c>
      <c r="G11" s="371">
        <f t="shared" si="0"/>
        <v>5730</v>
      </c>
    </row>
    <row r="12" spans="2:7" ht="12.75" customHeight="1" x14ac:dyDescent="0.25">
      <c r="C12" s="364" t="s">
        <v>188</v>
      </c>
      <c r="D12" s="365"/>
      <c r="E12" s="365">
        <f>'Estado de Resultados'!D6</f>
        <v>90000</v>
      </c>
      <c r="F12" s="365">
        <f>'Estado de Resultados'!E6</f>
        <v>90000</v>
      </c>
      <c r="G12" s="365">
        <f>'Estado de Resultados'!F6</f>
        <v>90000</v>
      </c>
    </row>
    <row r="13" spans="2:7" ht="12.75" customHeight="1" x14ac:dyDescent="0.25">
      <c r="C13" s="364" t="s">
        <v>189</v>
      </c>
      <c r="D13" s="365"/>
      <c r="E13" s="368">
        <f>-'Estado de Resultados'!D8</f>
        <v>-37500</v>
      </c>
      <c r="F13" s="368">
        <f>-'Estado de Resultados'!E8</f>
        <v>-37500</v>
      </c>
      <c r="G13" s="368">
        <f>-'Estado de Resultados'!F8</f>
        <v>-37500</v>
      </c>
    </row>
    <row r="14" spans="2:7" ht="12.75" customHeight="1" x14ac:dyDescent="0.25">
      <c r="C14" s="364" t="s">
        <v>292</v>
      </c>
      <c r="D14" s="365"/>
      <c r="E14" s="365">
        <f>-('Estado de Resultados'!D12+'Estado de Resultados'!D13)</f>
        <v>-38640</v>
      </c>
      <c r="F14" s="365">
        <f>-('Estado de Resultados'!E12+'Estado de Resultados'!E13)</f>
        <v>-38640</v>
      </c>
      <c r="G14" s="365">
        <f>-('Estado de Resultados'!F12+'Estado de Resultados'!F13)</f>
        <v>-38640</v>
      </c>
    </row>
    <row r="15" spans="2:7" ht="12.75" customHeight="1" x14ac:dyDescent="0.25">
      <c r="C15" s="364" t="s">
        <v>289</v>
      </c>
      <c r="D15" s="365"/>
      <c r="E15" s="365">
        <f>-'Estado de Resultados'!D17</f>
        <v>-600</v>
      </c>
      <c r="F15" s="365">
        <f>-'Estado de Resultados'!E17</f>
        <v>-600</v>
      </c>
      <c r="G15" s="365">
        <f>-'Estado de Resultados'!F17</f>
        <v>-600</v>
      </c>
    </row>
    <row r="16" spans="2:7" ht="13.5" customHeight="1" x14ac:dyDescent="0.2">
      <c r="C16" s="370" t="s">
        <v>288</v>
      </c>
      <c r="D16" s="371"/>
      <c r="E16" s="371">
        <f>SUM(E12:E15)</f>
        <v>13260</v>
      </c>
      <c r="F16" s="371">
        <f>SUM(F12:F15)</f>
        <v>13260</v>
      </c>
      <c r="G16" s="371">
        <f>SUM(G12:G15)</f>
        <v>13260</v>
      </c>
    </row>
    <row r="17" spans="3:7" ht="13.5" customHeight="1" x14ac:dyDescent="0.2">
      <c r="C17" s="372" t="s">
        <v>298</v>
      </c>
      <c r="D17" s="373">
        <f>D11+D16</f>
        <v>-20005</v>
      </c>
      <c r="E17" s="373">
        <f>E11+E16</f>
        <v>13260</v>
      </c>
      <c r="F17" s="373">
        <f>F11+F16</f>
        <v>13260</v>
      </c>
      <c r="G17" s="373">
        <f>G11+G16</f>
        <v>18990</v>
      </c>
    </row>
    <row r="18" spans="3:7" ht="12.75" customHeight="1" x14ac:dyDescent="0.25">
      <c r="C18" s="364" t="s">
        <v>190</v>
      </c>
      <c r="D18" s="365">
        <f>Flujo_Deuda!D3</f>
        <v>3125</v>
      </c>
      <c r="E18" s="365">
        <f>D18</f>
        <v>3125</v>
      </c>
      <c r="F18" s="365">
        <f>E18</f>
        <v>3125</v>
      </c>
      <c r="G18" s="365"/>
    </row>
    <row r="19" spans="3:7" ht="12.75" customHeight="1" x14ac:dyDescent="0.25">
      <c r="C19" s="364" t="s">
        <v>299</v>
      </c>
      <c r="D19" s="365"/>
      <c r="E19" s="365">
        <f>-Flujo_Deuda!D29</f>
        <v>-3125.0000000000009</v>
      </c>
      <c r="F19" s="365">
        <f>-Flujo_Deuda!D30</f>
        <v>-3125.0000000000009</v>
      </c>
      <c r="G19" s="365">
        <f>-Flujo_Deuda!D31</f>
        <v>-3125.0000000000009</v>
      </c>
    </row>
    <row r="20" spans="3:7" ht="12.75" customHeight="1" x14ac:dyDescent="0.25">
      <c r="C20" s="364" t="s">
        <v>300</v>
      </c>
      <c r="D20" s="365"/>
      <c r="E20" s="365">
        <f>-Flujo_Deuda!E29</f>
        <v>-424.49930345470614</v>
      </c>
      <c r="F20" s="365">
        <f>-Flujo_Deuda!E30</f>
        <v>-424.49930345470614</v>
      </c>
      <c r="G20" s="365">
        <f>-Flujo_Deuda!E31</f>
        <v>-424.49930345470614</v>
      </c>
    </row>
    <row r="21" spans="3:7" ht="13.5" customHeight="1" x14ac:dyDescent="0.2">
      <c r="C21" s="370" t="s">
        <v>302</v>
      </c>
      <c r="D21" s="371">
        <f>SUM(D18:D20)</f>
        <v>3125</v>
      </c>
      <c r="E21" s="371">
        <f>SUM(E18:E20)</f>
        <v>-424.49930345470705</v>
      </c>
      <c r="F21" s="371">
        <f>SUM(F18:F20)</f>
        <v>-424.49930345470705</v>
      </c>
      <c r="G21" s="371">
        <f>SUM(G18:G20)</f>
        <v>-3549.4993034547069</v>
      </c>
    </row>
    <row r="22" spans="3:7" ht="13.5" customHeight="1" x14ac:dyDescent="0.2">
      <c r="C22" s="372" t="s">
        <v>301</v>
      </c>
      <c r="D22" s="373">
        <f>D17+D21</f>
        <v>-16880</v>
      </c>
      <c r="E22" s="373">
        <f>E17+E21</f>
        <v>12835.500696545292</v>
      </c>
      <c r="F22" s="373">
        <f>F17+F21</f>
        <v>12835.500696545292</v>
      </c>
      <c r="G22" s="373">
        <f>G17+G21</f>
        <v>15440.500696545292</v>
      </c>
    </row>
    <row r="23" spans="3:7" s="343" customFormat="1" ht="13.5" customHeight="1" x14ac:dyDescent="0.2">
      <c r="C23" s="374" t="s">
        <v>290</v>
      </c>
      <c r="D23" s="359"/>
      <c r="E23" s="359"/>
      <c r="F23" s="359"/>
      <c r="G23" s="359"/>
    </row>
    <row r="24" spans="3:7" ht="12.75" customHeight="1" x14ac:dyDescent="0.2">
      <c r="C24" s="362" t="s">
        <v>291</v>
      </c>
      <c r="D24" s="360"/>
      <c r="E24" s="361"/>
      <c r="F24" s="361"/>
      <c r="G24" s="361"/>
    </row>
    <row r="25" spans="3:7" ht="12.75" customHeight="1" x14ac:dyDescent="0.2"/>
    <row r="26" spans="3:7" ht="12.75" customHeight="1" x14ac:dyDescent="0.2"/>
    <row r="27" spans="3:7" ht="12.75" customHeight="1" x14ac:dyDescent="0.2"/>
    <row r="28" spans="3:7" ht="12.75" customHeight="1" x14ac:dyDescent="0.2"/>
    <row r="29" spans="3:7" ht="12.75" customHeight="1" x14ac:dyDescent="0.2"/>
    <row r="30" spans="3:7" ht="12.75" customHeight="1" x14ac:dyDescent="0.2"/>
    <row r="31" spans="3:7" ht="12.75" customHeight="1" x14ac:dyDescent="0.2"/>
    <row r="32" spans="3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</sheetData>
  <mergeCells count="1">
    <mergeCell ref="C3:G3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3"/>
  <sheetViews>
    <sheetView tabSelected="1" topLeftCell="A4" workbookViewId="0">
      <selection activeCell="C15" sqref="C15:E22"/>
    </sheetView>
  </sheetViews>
  <sheetFormatPr baseColWidth="10" defaultRowHeight="12.75" x14ac:dyDescent="0.2"/>
  <cols>
    <col min="1" max="1" width="3.5703125" style="76" customWidth="1"/>
    <col min="2" max="2" width="3.28515625" style="76" customWidth="1"/>
    <col min="3" max="3" width="21.42578125" style="76" customWidth="1"/>
    <col min="4" max="4" width="11.28515625" style="76" customWidth="1"/>
    <col min="5" max="5" width="5.42578125" style="76" customWidth="1"/>
    <col min="6" max="16384" width="11.42578125" style="76"/>
  </cols>
  <sheetData>
    <row r="1" spans="1:10" ht="13.5" thickBot="1" x14ac:dyDescent="0.25">
      <c r="B1" s="75"/>
      <c r="C1" s="458" t="s">
        <v>194</v>
      </c>
      <c r="D1" s="459"/>
    </row>
    <row r="2" spans="1:10" ht="16.5" customHeight="1" x14ac:dyDescent="0.2">
      <c r="C2" s="180" t="s">
        <v>195</v>
      </c>
      <c r="D2" s="181">
        <f>Ku!C12</f>
        <v>0.24786</v>
      </c>
      <c r="E2" s="78"/>
      <c r="J2" s="79" t="s">
        <v>196</v>
      </c>
    </row>
    <row r="3" spans="1:10" ht="15.75" customHeight="1" x14ac:dyDescent="0.35">
      <c r="C3" s="182" t="s">
        <v>197</v>
      </c>
      <c r="D3" s="183">
        <f>D2*((1+D4)/(1+D5))</f>
        <v>0.25004699999999996</v>
      </c>
      <c r="E3" s="78"/>
      <c r="J3" s="80" t="s">
        <v>198</v>
      </c>
    </row>
    <row r="4" spans="1:10" ht="14.25" customHeight="1" x14ac:dyDescent="0.2">
      <c r="C4" s="182" t="s">
        <v>199</v>
      </c>
      <c r="D4" s="184">
        <f>[2]Resumen!H8</f>
        <v>2.9000000000000001E-2</v>
      </c>
      <c r="E4" s="76" t="s">
        <v>200</v>
      </c>
    </row>
    <row r="5" spans="1:10" ht="15.75" customHeight="1" x14ac:dyDescent="0.2">
      <c r="C5" s="182" t="s">
        <v>201</v>
      </c>
      <c r="D5" s="184">
        <v>0.02</v>
      </c>
      <c r="E5" s="78"/>
    </row>
    <row r="6" spans="1:10" ht="14.25" customHeight="1" x14ac:dyDescent="0.2">
      <c r="C6" s="182" t="s">
        <v>202</v>
      </c>
      <c r="D6" s="185">
        <f xml:space="preserve"> ((1+D3)/(1+D4)) - 1</f>
        <v>0.21481729834791063</v>
      </c>
      <c r="E6" s="78"/>
      <c r="J6" s="79" t="s">
        <v>203</v>
      </c>
    </row>
    <row r="7" spans="1:10" ht="12" customHeight="1" x14ac:dyDescent="0.2">
      <c r="C7" s="186"/>
      <c r="D7" s="187"/>
      <c r="E7" s="78"/>
      <c r="J7" s="79" t="s">
        <v>204</v>
      </c>
    </row>
    <row r="8" spans="1:10" x14ac:dyDescent="0.2">
      <c r="C8" s="302" t="s">
        <v>244</v>
      </c>
      <c r="D8" s="303">
        <f>NPV(D6,'Flujos de Caja'!E17:G17)</f>
        <v>30492.637816178365</v>
      </c>
      <c r="E8" s="77" t="s">
        <v>128</v>
      </c>
    </row>
    <row r="9" spans="1:10" x14ac:dyDescent="0.2">
      <c r="C9" s="304"/>
      <c r="D9" s="305"/>
      <c r="E9" s="78"/>
    </row>
    <row r="10" spans="1:10" ht="13.5" thickBot="1" x14ac:dyDescent="0.25">
      <c r="C10" s="306" t="s">
        <v>13</v>
      </c>
      <c r="D10" s="307">
        <f>IRR('Flujos de Caja'!D17:G17)</f>
        <v>0.51441707222458222</v>
      </c>
      <c r="E10" s="78" t="s">
        <v>4</v>
      </c>
    </row>
    <row r="12" spans="1:10" ht="13.5" thickBot="1" x14ac:dyDescent="0.25">
      <c r="B12" s="75"/>
    </row>
    <row r="13" spans="1:10" x14ac:dyDescent="0.2">
      <c r="C13" s="460" t="s">
        <v>205</v>
      </c>
      <c r="D13" s="461"/>
    </row>
    <row r="14" spans="1:10" ht="15" x14ac:dyDescent="0.25">
      <c r="A14" s="462"/>
      <c r="B14" s="463"/>
      <c r="C14" s="464"/>
      <c r="D14" s="464"/>
      <c r="E14" s="463"/>
      <c r="F14" s="463"/>
    </row>
    <row r="15" spans="1:10" ht="15" x14ac:dyDescent="0.25">
      <c r="A15" s="462"/>
      <c r="B15" s="463"/>
      <c r="C15" s="468" t="s">
        <v>304</v>
      </c>
      <c r="D15" s="468" t="s">
        <v>305</v>
      </c>
      <c r="E15" s="469"/>
      <c r="F15" s="463"/>
    </row>
    <row r="16" spans="1:10" ht="20.25" customHeight="1" x14ac:dyDescent="0.25">
      <c r="A16" s="462"/>
      <c r="B16" s="463"/>
      <c r="C16" s="467" t="s">
        <v>308</v>
      </c>
      <c r="D16" s="474">
        <f>'Ke y Kwacc'!H13</f>
        <v>0.28533410897275685</v>
      </c>
      <c r="E16" s="463"/>
      <c r="F16" s="463"/>
    </row>
    <row r="17" spans="1:6" ht="15" x14ac:dyDescent="0.25">
      <c r="A17" s="462"/>
      <c r="B17" s="463"/>
      <c r="C17" s="467" t="s">
        <v>310</v>
      </c>
      <c r="D17" s="475">
        <f xml:space="preserve">  D16*((1+D4)/(1+D5))</f>
        <v>0.28785176287545766</v>
      </c>
      <c r="E17" s="463"/>
      <c r="F17" s="463"/>
    </row>
    <row r="18" spans="1:6" ht="15" x14ac:dyDescent="0.25">
      <c r="A18" s="462"/>
      <c r="B18" s="463"/>
      <c r="C18" s="467" t="s">
        <v>309</v>
      </c>
      <c r="D18" s="474">
        <f>((1+D17)/(1+D4))-1</f>
        <v>0.25155662087022135</v>
      </c>
      <c r="E18" s="463"/>
      <c r="F18" s="463"/>
    </row>
    <row r="19" spans="1:6" ht="15" x14ac:dyDescent="0.25">
      <c r="A19" s="462"/>
      <c r="B19" s="463"/>
      <c r="C19" s="465"/>
      <c r="D19" s="465"/>
      <c r="E19" s="463"/>
      <c r="F19" s="463"/>
    </row>
    <row r="20" spans="1:6" ht="15" x14ac:dyDescent="0.25">
      <c r="A20" s="462"/>
      <c r="B20" s="463"/>
      <c r="C20" s="470" t="s">
        <v>307</v>
      </c>
      <c r="D20" s="471">
        <f>NPV(D18,'Flujos de Caja'!E17:G17)+'Flujos de Caja'!D17</f>
        <v>8741.7562355868868</v>
      </c>
      <c r="E20" s="469" t="s">
        <v>128</v>
      </c>
      <c r="F20" s="463"/>
    </row>
    <row r="21" spans="1:6" ht="15" x14ac:dyDescent="0.25">
      <c r="A21" s="462"/>
      <c r="B21" s="463"/>
      <c r="C21" s="466"/>
      <c r="D21" s="464"/>
      <c r="E21" s="463"/>
      <c r="F21" s="463"/>
    </row>
    <row r="22" spans="1:6" ht="15" x14ac:dyDescent="0.25">
      <c r="A22" s="462"/>
      <c r="B22" s="463"/>
      <c r="C22" s="470" t="s">
        <v>306</v>
      </c>
      <c r="D22" s="472">
        <f>IRR('Flujos de Caja'!D22:G22)</f>
        <v>0.59596715781487752</v>
      </c>
      <c r="E22" s="469" t="s">
        <v>4</v>
      </c>
      <c r="F22" s="463"/>
    </row>
    <row r="23" spans="1:6" x14ac:dyDescent="0.2">
      <c r="A23" s="462"/>
      <c r="B23" s="462"/>
      <c r="C23" s="462"/>
      <c r="D23" s="462"/>
      <c r="E23" s="462"/>
      <c r="F23" s="462"/>
    </row>
  </sheetData>
  <mergeCells count="2">
    <mergeCell ref="C1:D1"/>
    <mergeCell ref="C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topLeftCell="A16" workbookViewId="0">
      <selection activeCell="H22" sqref="H22"/>
    </sheetView>
  </sheetViews>
  <sheetFormatPr baseColWidth="10" defaultRowHeight="12.75" x14ac:dyDescent="0.2"/>
  <cols>
    <col min="1" max="16384" width="11.42578125" style="76"/>
  </cols>
  <sheetData>
    <row r="1" spans="1:12" ht="13.5" thickBot="1" x14ac:dyDescent="0.25">
      <c r="B1" s="172" t="s">
        <v>223</v>
      </c>
      <c r="C1" s="173" t="s">
        <v>10</v>
      </c>
      <c r="D1" s="174" t="s">
        <v>13</v>
      </c>
      <c r="E1" s="173" t="s">
        <v>11</v>
      </c>
      <c r="F1" s="175" t="s">
        <v>14</v>
      </c>
    </row>
    <row r="2" spans="1:12" x14ac:dyDescent="0.2">
      <c r="B2" s="149"/>
      <c r="C2" s="150">
        <v>70009</v>
      </c>
      <c r="D2" s="151">
        <v>1.383</v>
      </c>
      <c r="E2" s="167">
        <v>70313</v>
      </c>
      <c r="F2" s="152">
        <v>1.3939999999999999</v>
      </c>
    </row>
    <row r="4" spans="1:12" ht="13.5" thickBot="1" x14ac:dyDescent="0.25">
      <c r="B4" s="382" t="s">
        <v>225</v>
      </c>
      <c r="C4" s="383"/>
      <c r="D4" s="383"/>
      <c r="E4" s="383"/>
      <c r="F4" s="383"/>
    </row>
    <row r="5" spans="1:12" ht="26.25" thickBot="1" x14ac:dyDescent="0.25">
      <c r="B5" s="176" t="s">
        <v>224</v>
      </c>
      <c r="C5" s="177" t="s">
        <v>10</v>
      </c>
      <c r="D5" s="178" t="s">
        <v>13</v>
      </c>
      <c r="E5" s="177" t="s">
        <v>11</v>
      </c>
      <c r="F5" s="179" t="s">
        <v>14</v>
      </c>
    </row>
    <row r="6" spans="1:12" x14ac:dyDescent="0.2">
      <c r="A6" s="153"/>
      <c r="B6" s="154">
        <v>280</v>
      </c>
      <c r="C6" s="155">
        <v>101801</v>
      </c>
      <c r="D6" s="156">
        <v>2.12</v>
      </c>
      <c r="E6" s="155">
        <v>102105</v>
      </c>
      <c r="F6" s="157">
        <v>2.13</v>
      </c>
      <c r="I6" s="8" t="s">
        <v>10</v>
      </c>
      <c r="J6" s="9">
        <f>+Resumen!C13</f>
        <v>30492.637816178365</v>
      </c>
      <c r="K6" s="10" t="s">
        <v>11</v>
      </c>
      <c r="L6" s="11">
        <f>+Resumen!E13</f>
        <v>8741.7562355868868</v>
      </c>
    </row>
    <row r="7" spans="1:12" x14ac:dyDescent="0.2">
      <c r="B7" s="158">
        <v>270</v>
      </c>
      <c r="C7" s="159">
        <v>91204</v>
      </c>
      <c r="D7" s="160">
        <v>1.87</v>
      </c>
      <c r="E7" s="159">
        <v>91508</v>
      </c>
      <c r="F7" s="161">
        <v>1.88</v>
      </c>
      <c r="I7" s="13"/>
      <c r="J7" s="14"/>
      <c r="K7" s="14"/>
      <c r="L7" s="15"/>
    </row>
    <row r="8" spans="1:12" ht="13.5" thickBot="1" x14ac:dyDescent="0.25">
      <c r="B8" s="158">
        <v>260</v>
      </c>
      <c r="C8" s="159">
        <v>80606</v>
      </c>
      <c r="D8" s="160">
        <v>1.63</v>
      </c>
      <c r="E8" s="159">
        <v>80910</v>
      </c>
      <c r="F8" s="161">
        <v>1.64</v>
      </c>
      <c r="I8" s="16" t="s">
        <v>13</v>
      </c>
      <c r="J8" s="17">
        <f>+Resumen!C14</f>
        <v>0.51441707222458222</v>
      </c>
      <c r="K8" s="18" t="s">
        <v>14</v>
      </c>
      <c r="L8" s="19">
        <f>+Resumen!E14</f>
        <v>0.59596715781487752</v>
      </c>
    </row>
    <row r="9" spans="1:12" x14ac:dyDescent="0.2">
      <c r="B9" s="162">
        <v>250</v>
      </c>
      <c r="C9" s="192">
        <v>70009</v>
      </c>
      <c r="D9" s="286">
        <v>1.383</v>
      </c>
      <c r="E9" s="193">
        <v>70313</v>
      </c>
      <c r="F9" s="287">
        <v>1.3939999999999999</v>
      </c>
    </row>
    <row r="10" spans="1:12" x14ac:dyDescent="0.2">
      <c r="B10" s="158">
        <v>240</v>
      </c>
      <c r="C10" s="159">
        <v>59411</v>
      </c>
      <c r="D10" s="160">
        <v>1.135</v>
      </c>
      <c r="E10" s="159">
        <v>59715</v>
      </c>
      <c r="F10" s="161">
        <v>1.1459999999999999</v>
      </c>
    </row>
    <row r="11" spans="1:12" x14ac:dyDescent="0.2">
      <c r="B11" s="158">
        <v>230</v>
      </c>
      <c r="C11" s="159">
        <v>48814</v>
      </c>
      <c r="D11" s="160">
        <v>0.88500000000000001</v>
      </c>
      <c r="E11" s="159">
        <v>49118</v>
      </c>
      <c r="F11" s="161">
        <v>0.89500000000000002</v>
      </c>
    </row>
    <row r="12" spans="1:12" ht="13.5" thickBot="1" x14ac:dyDescent="0.25">
      <c r="B12" s="165">
        <v>220</v>
      </c>
      <c r="C12" s="166">
        <v>38216</v>
      </c>
      <c r="D12" s="288">
        <v>0.63</v>
      </c>
      <c r="E12" s="166">
        <v>38520</v>
      </c>
      <c r="F12" s="289">
        <v>0.64</v>
      </c>
    </row>
    <row r="15" spans="1:12" ht="13.5" thickBot="1" x14ac:dyDescent="0.25">
      <c r="B15" s="382" t="s">
        <v>254</v>
      </c>
      <c r="C15" s="383"/>
      <c r="D15" s="383"/>
      <c r="E15" s="383"/>
      <c r="F15" s="383"/>
    </row>
    <row r="16" spans="1:12" ht="39" thickBot="1" x14ac:dyDescent="0.25">
      <c r="B16" s="172" t="s">
        <v>256</v>
      </c>
      <c r="C16" s="173" t="s">
        <v>10</v>
      </c>
      <c r="D16" s="174" t="s">
        <v>13</v>
      </c>
      <c r="E16" s="173" t="s">
        <v>11</v>
      </c>
      <c r="F16" s="175" t="s">
        <v>14</v>
      </c>
    </row>
    <row r="17" spans="2:6" x14ac:dyDescent="0.2">
      <c r="B17" s="188">
        <v>45</v>
      </c>
      <c r="C17" s="150">
        <v>45006</v>
      </c>
      <c r="D17" s="151">
        <v>0.75</v>
      </c>
      <c r="E17" s="167">
        <v>45310</v>
      </c>
      <c r="F17" s="152">
        <v>0.76500000000000001</v>
      </c>
    </row>
    <row r="18" spans="2:6" x14ac:dyDescent="0.2">
      <c r="B18" s="189">
        <v>40</v>
      </c>
      <c r="C18" s="168">
        <v>53340</v>
      </c>
      <c r="D18" s="163">
        <v>0.96</v>
      </c>
      <c r="E18" s="159">
        <v>53644</v>
      </c>
      <c r="F18" s="164">
        <v>0.97</v>
      </c>
    </row>
    <row r="19" spans="2:6" x14ac:dyDescent="0.2">
      <c r="B19" s="189">
        <v>35</v>
      </c>
      <c r="C19" s="168">
        <v>61674</v>
      </c>
      <c r="D19" s="160">
        <v>1.17</v>
      </c>
      <c r="E19" s="159">
        <v>61979</v>
      </c>
      <c r="F19" s="164">
        <v>1.18</v>
      </c>
    </row>
    <row r="20" spans="2:6" x14ac:dyDescent="0.2">
      <c r="B20" s="190">
        <v>30</v>
      </c>
      <c r="C20" s="192">
        <v>70009</v>
      </c>
      <c r="D20" s="286">
        <v>1.383</v>
      </c>
      <c r="E20" s="193">
        <v>70313</v>
      </c>
      <c r="F20" s="287">
        <v>1.3939999999999999</v>
      </c>
    </row>
    <row r="21" spans="2:6" x14ac:dyDescent="0.2">
      <c r="B21" s="189">
        <v>25</v>
      </c>
      <c r="C21" s="168">
        <v>78343</v>
      </c>
      <c r="D21" s="160">
        <v>1.6</v>
      </c>
      <c r="E21" s="159">
        <v>78647</v>
      </c>
      <c r="F21" s="161">
        <v>1.61</v>
      </c>
    </row>
    <row r="22" spans="2:6" x14ac:dyDescent="0.2">
      <c r="B22" s="189">
        <v>20</v>
      </c>
      <c r="C22" s="168">
        <v>86677</v>
      </c>
      <c r="D22" s="160">
        <v>1.82</v>
      </c>
      <c r="E22" s="159">
        <v>86982</v>
      </c>
      <c r="F22" s="161">
        <v>1.833</v>
      </c>
    </row>
    <row r="23" spans="2:6" ht="13.5" thickBot="1" x14ac:dyDescent="0.25">
      <c r="B23" s="191">
        <v>15</v>
      </c>
      <c r="C23" s="169">
        <v>95012</v>
      </c>
      <c r="D23" s="170">
        <v>20.14</v>
      </c>
      <c r="E23" s="166">
        <v>95316</v>
      </c>
      <c r="F23" s="171">
        <v>2.06</v>
      </c>
    </row>
  </sheetData>
  <mergeCells count="2">
    <mergeCell ref="B15:F15"/>
    <mergeCell ref="B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2:L13"/>
  <sheetViews>
    <sheetView showGridLines="0" workbookViewId="0">
      <selection activeCell="E15" sqref="E15"/>
    </sheetView>
  </sheetViews>
  <sheetFormatPr baseColWidth="10" defaultRowHeight="12.75" outlineLevelRow="1" outlineLevelCol="1" x14ac:dyDescent="0.2"/>
  <cols>
    <col min="1" max="2" width="11.42578125" style="76"/>
    <col min="3" max="3" width="25.7109375" style="76" customWidth="1"/>
    <col min="4" max="6" width="14.5703125" style="76" customWidth="1" outlineLevel="1"/>
    <col min="7" max="258" width="11.42578125" style="76"/>
    <col min="259" max="259" width="17.42578125" style="76" bestFit="1" customWidth="1"/>
    <col min="260" max="262" width="14.5703125" style="76" bestFit="1" customWidth="1"/>
    <col min="263" max="514" width="11.42578125" style="76"/>
    <col min="515" max="515" width="17.42578125" style="76" bestFit="1" customWidth="1"/>
    <col min="516" max="518" width="14.5703125" style="76" bestFit="1" customWidth="1"/>
    <col min="519" max="770" width="11.42578125" style="76"/>
    <col min="771" max="771" width="17.42578125" style="76" bestFit="1" customWidth="1"/>
    <col min="772" max="774" width="14.5703125" style="76" bestFit="1" customWidth="1"/>
    <col min="775" max="1026" width="11.42578125" style="76"/>
    <col min="1027" max="1027" width="17.42578125" style="76" bestFit="1" customWidth="1"/>
    <col min="1028" max="1030" width="14.5703125" style="76" bestFit="1" customWidth="1"/>
    <col min="1031" max="1282" width="11.42578125" style="76"/>
    <col min="1283" max="1283" width="17.42578125" style="76" bestFit="1" customWidth="1"/>
    <col min="1284" max="1286" width="14.5703125" style="76" bestFit="1" customWidth="1"/>
    <col min="1287" max="1538" width="11.42578125" style="76"/>
    <col min="1539" max="1539" width="17.42578125" style="76" bestFit="1" customWidth="1"/>
    <col min="1540" max="1542" width="14.5703125" style="76" bestFit="1" customWidth="1"/>
    <col min="1543" max="1794" width="11.42578125" style="76"/>
    <col min="1795" max="1795" width="17.42578125" style="76" bestFit="1" customWidth="1"/>
    <col min="1796" max="1798" width="14.5703125" style="76" bestFit="1" customWidth="1"/>
    <col min="1799" max="2050" width="11.42578125" style="76"/>
    <col min="2051" max="2051" width="17.42578125" style="76" bestFit="1" customWidth="1"/>
    <col min="2052" max="2054" width="14.5703125" style="76" bestFit="1" customWidth="1"/>
    <col min="2055" max="2306" width="11.42578125" style="76"/>
    <col min="2307" max="2307" width="17.42578125" style="76" bestFit="1" customWidth="1"/>
    <col min="2308" max="2310" width="14.5703125" style="76" bestFit="1" customWidth="1"/>
    <col min="2311" max="2562" width="11.42578125" style="76"/>
    <col min="2563" max="2563" width="17.42578125" style="76" bestFit="1" customWidth="1"/>
    <col min="2564" max="2566" width="14.5703125" style="76" bestFit="1" customWidth="1"/>
    <col min="2567" max="2818" width="11.42578125" style="76"/>
    <col min="2819" max="2819" width="17.42578125" style="76" bestFit="1" customWidth="1"/>
    <col min="2820" max="2822" width="14.5703125" style="76" bestFit="1" customWidth="1"/>
    <col min="2823" max="3074" width="11.42578125" style="76"/>
    <col min="3075" max="3075" width="17.42578125" style="76" bestFit="1" customWidth="1"/>
    <col min="3076" max="3078" width="14.5703125" style="76" bestFit="1" customWidth="1"/>
    <col min="3079" max="3330" width="11.42578125" style="76"/>
    <col min="3331" max="3331" width="17.42578125" style="76" bestFit="1" customWidth="1"/>
    <col min="3332" max="3334" width="14.5703125" style="76" bestFit="1" customWidth="1"/>
    <col min="3335" max="3586" width="11.42578125" style="76"/>
    <col min="3587" max="3587" width="17.42578125" style="76" bestFit="1" customWidth="1"/>
    <col min="3588" max="3590" width="14.5703125" style="76" bestFit="1" customWidth="1"/>
    <col min="3591" max="3842" width="11.42578125" style="76"/>
    <col min="3843" max="3843" width="17.42578125" style="76" bestFit="1" customWidth="1"/>
    <col min="3844" max="3846" width="14.5703125" style="76" bestFit="1" customWidth="1"/>
    <col min="3847" max="4098" width="11.42578125" style="76"/>
    <col min="4099" max="4099" width="17.42578125" style="76" bestFit="1" customWidth="1"/>
    <col min="4100" max="4102" width="14.5703125" style="76" bestFit="1" customWidth="1"/>
    <col min="4103" max="4354" width="11.42578125" style="76"/>
    <col min="4355" max="4355" width="17.42578125" style="76" bestFit="1" customWidth="1"/>
    <col min="4356" max="4358" width="14.5703125" style="76" bestFit="1" customWidth="1"/>
    <col min="4359" max="4610" width="11.42578125" style="76"/>
    <col min="4611" max="4611" width="17.42578125" style="76" bestFit="1" customWidth="1"/>
    <col min="4612" max="4614" width="14.5703125" style="76" bestFit="1" customWidth="1"/>
    <col min="4615" max="4866" width="11.42578125" style="76"/>
    <col min="4867" max="4867" width="17.42578125" style="76" bestFit="1" customWidth="1"/>
    <col min="4868" max="4870" width="14.5703125" style="76" bestFit="1" customWidth="1"/>
    <col min="4871" max="5122" width="11.42578125" style="76"/>
    <col min="5123" max="5123" width="17.42578125" style="76" bestFit="1" customWidth="1"/>
    <col min="5124" max="5126" width="14.5703125" style="76" bestFit="1" customWidth="1"/>
    <col min="5127" max="5378" width="11.42578125" style="76"/>
    <col min="5379" max="5379" width="17.42578125" style="76" bestFit="1" customWidth="1"/>
    <col min="5380" max="5382" width="14.5703125" style="76" bestFit="1" customWidth="1"/>
    <col min="5383" max="5634" width="11.42578125" style="76"/>
    <col min="5635" max="5635" width="17.42578125" style="76" bestFit="1" customWidth="1"/>
    <col min="5636" max="5638" width="14.5703125" style="76" bestFit="1" customWidth="1"/>
    <col min="5639" max="5890" width="11.42578125" style="76"/>
    <col min="5891" max="5891" width="17.42578125" style="76" bestFit="1" customWidth="1"/>
    <col min="5892" max="5894" width="14.5703125" style="76" bestFit="1" customWidth="1"/>
    <col min="5895" max="6146" width="11.42578125" style="76"/>
    <col min="6147" max="6147" width="17.42578125" style="76" bestFit="1" customWidth="1"/>
    <col min="6148" max="6150" width="14.5703125" style="76" bestFit="1" customWidth="1"/>
    <col min="6151" max="6402" width="11.42578125" style="76"/>
    <col min="6403" max="6403" width="17.42578125" style="76" bestFit="1" customWidth="1"/>
    <col min="6404" max="6406" width="14.5703125" style="76" bestFit="1" customWidth="1"/>
    <col min="6407" max="6658" width="11.42578125" style="76"/>
    <col min="6659" max="6659" width="17.42578125" style="76" bestFit="1" customWidth="1"/>
    <col min="6660" max="6662" width="14.5703125" style="76" bestFit="1" customWidth="1"/>
    <col min="6663" max="6914" width="11.42578125" style="76"/>
    <col min="6915" max="6915" width="17.42578125" style="76" bestFit="1" customWidth="1"/>
    <col min="6916" max="6918" width="14.5703125" style="76" bestFit="1" customWidth="1"/>
    <col min="6919" max="7170" width="11.42578125" style="76"/>
    <col min="7171" max="7171" width="17.42578125" style="76" bestFit="1" customWidth="1"/>
    <col min="7172" max="7174" width="14.5703125" style="76" bestFit="1" customWidth="1"/>
    <col min="7175" max="7426" width="11.42578125" style="76"/>
    <col min="7427" max="7427" width="17.42578125" style="76" bestFit="1" customWidth="1"/>
    <col min="7428" max="7430" width="14.5703125" style="76" bestFit="1" customWidth="1"/>
    <col min="7431" max="7682" width="11.42578125" style="76"/>
    <col min="7683" max="7683" width="17.42578125" style="76" bestFit="1" customWidth="1"/>
    <col min="7684" max="7686" width="14.5703125" style="76" bestFit="1" customWidth="1"/>
    <col min="7687" max="7938" width="11.42578125" style="76"/>
    <col min="7939" max="7939" width="17.42578125" style="76" bestFit="1" customWidth="1"/>
    <col min="7940" max="7942" width="14.5703125" style="76" bestFit="1" customWidth="1"/>
    <col min="7943" max="8194" width="11.42578125" style="76"/>
    <col min="8195" max="8195" width="17.42578125" style="76" bestFit="1" customWidth="1"/>
    <col min="8196" max="8198" width="14.5703125" style="76" bestFit="1" customWidth="1"/>
    <col min="8199" max="8450" width="11.42578125" style="76"/>
    <col min="8451" max="8451" width="17.42578125" style="76" bestFit="1" customWidth="1"/>
    <col min="8452" max="8454" width="14.5703125" style="76" bestFit="1" customWidth="1"/>
    <col min="8455" max="8706" width="11.42578125" style="76"/>
    <col min="8707" max="8707" width="17.42578125" style="76" bestFit="1" customWidth="1"/>
    <col min="8708" max="8710" width="14.5703125" style="76" bestFit="1" customWidth="1"/>
    <col min="8711" max="8962" width="11.42578125" style="76"/>
    <col min="8963" max="8963" width="17.42578125" style="76" bestFit="1" customWidth="1"/>
    <col min="8964" max="8966" width="14.5703125" style="76" bestFit="1" customWidth="1"/>
    <col min="8967" max="9218" width="11.42578125" style="76"/>
    <col min="9219" max="9219" width="17.42578125" style="76" bestFit="1" customWidth="1"/>
    <col min="9220" max="9222" width="14.5703125" style="76" bestFit="1" customWidth="1"/>
    <col min="9223" max="9474" width="11.42578125" style="76"/>
    <col min="9475" max="9475" width="17.42578125" style="76" bestFit="1" customWidth="1"/>
    <col min="9476" max="9478" width="14.5703125" style="76" bestFit="1" customWidth="1"/>
    <col min="9479" max="9730" width="11.42578125" style="76"/>
    <col min="9731" max="9731" width="17.42578125" style="76" bestFit="1" customWidth="1"/>
    <col min="9732" max="9734" width="14.5703125" style="76" bestFit="1" customWidth="1"/>
    <col min="9735" max="9986" width="11.42578125" style="76"/>
    <col min="9987" max="9987" width="17.42578125" style="76" bestFit="1" customWidth="1"/>
    <col min="9988" max="9990" width="14.5703125" style="76" bestFit="1" customWidth="1"/>
    <col min="9991" max="10242" width="11.42578125" style="76"/>
    <col min="10243" max="10243" width="17.42578125" style="76" bestFit="1" customWidth="1"/>
    <col min="10244" max="10246" width="14.5703125" style="76" bestFit="1" customWidth="1"/>
    <col min="10247" max="10498" width="11.42578125" style="76"/>
    <col min="10499" max="10499" width="17.42578125" style="76" bestFit="1" customWidth="1"/>
    <col min="10500" max="10502" width="14.5703125" style="76" bestFit="1" customWidth="1"/>
    <col min="10503" max="10754" width="11.42578125" style="76"/>
    <col min="10755" max="10755" width="17.42578125" style="76" bestFit="1" customWidth="1"/>
    <col min="10756" max="10758" width="14.5703125" style="76" bestFit="1" customWidth="1"/>
    <col min="10759" max="11010" width="11.42578125" style="76"/>
    <col min="11011" max="11011" width="17.42578125" style="76" bestFit="1" customWidth="1"/>
    <col min="11012" max="11014" width="14.5703125" style="76" bestFit="1" customWidth="1"/>
    <col min="11015" max="11266" width="11.42578125" style="76"/>
    <col min="11267" max="11267" width="17.42578125" style="76" bestFit="1" customWidth="1"/>
    <col min="11268" max="11270" width="14.5703125" style="76" bestFit="1" customWidth="1"/>
    <col min="11271" max="11522" width="11.42578125" style="76"/>
    <col min="11523" max="11523" width="17.42578125" style="76" bestFit="1" customWidth="1"/>
    <col min="11524" max="11526" width="14.5703125" style="76" bestFit="1" customWidth="1"/>
    <col min="11527" max="11778" width="11.42578125" style="76"/>
    <col min="11779" max="11779" width="17.42578125" style="76" bestFit="1" customWidth="1"/>
    <col min="11780" max="11782" width="14.5703125" style="76" bestFit="1" customWidth="1"/>
    <col min="11783" max="12034" width="11.42578125" style="76"/>
    <col min="12035" max="12035" width="17.42578125" style="76" bestFit="1" customWidth="1"/>
    <col min="12036" max="12038" width="14.5703125" style="76" bestFit="1" customWidth="1"/>
    <col min="12039" max="12290" width="11.42578125" style="76"/>
    <col min="12291" max="12291" width="17.42578125" style="76" bestFit="1" customWidth="1"/>
    <col min="12292" max="12294" width="14.5703125" style="76" bestFit="1" customWidth="1"/>
    <col min="12295" max="12546" width="11.42578125" style="76"/>
    <col min="12547" max="12547" width="17.42578125" style="76" bestFit="1" customWidth="1"/>
    <col min="12548" max="12550" width="14.5703125" style="76" bestFit="1" customWidth="1"/>
    <col min="12551" max="12802" width="11.42578125" style="76"/>
    <col min="12803" max="12803" width="17.42578125" style="76" bestFit="1" customWidth="1"/>
    <col min="12804" max="12806" width="14.5703125" style="76" bestFit="1" customWidth="1"/>
    <col min="12807" max="13058" width="11.42578125" style="76"/>
    <col min="13059" max="13059" width="17.42578125" style="76" bestFit="1" customWidth="1"/>
    <col min="13060" max="13062" width="14.5703125" style="76" bestFit="1" customWidth="1"/>
    <col min="13063" max="13314" width="11.42578125" style="76"/>
    <col min="13315" max="13315" width="17.42578125" style="76" bestFit="1" customWidth="1"/>
    <col min="13316" max="13318" width="14.5703125" style="76" bestFit="1" customWidth="1"/>
    <col min="13319" max="13570" width="11.42578125" style="76"/>
    <col min="13571" max="13571" width="17.42578125" style="76" bestFit="1" customWidth="1"/>
    <col min="13572" max="13574" width="14.5703125" style="76" bestFit="1" customWidth="1"/>
    <col min="13575" max="13826" width="11.42578125" style="76"/>
    <col min="13827" max="13827" width="17.42578125" style="76" bestFit="1" customWidth="1"/>
    <col min="13828" max="13830" width="14.5703125" style="76" bestFit="1" customWidth="1"/>
    <col min="13831" max="14082" width="11.42578125" style="76"/>
    <col min="14083" max="14083" width="17.42578125" style="76" bestFit="1" customWidth="1"/>
    <col min="14084" max="14086" width="14.5703125" style="76" bestFit="1" customWidth="1"/>
    <col min="14087" max="14338" width="11.42578125" style="76"/>
    <col min="14339" max="14339" width="17.42578125" style="76" bestFit="1" customWidth="1"/>
    <col min="14340" max="14342" width="14.5703125" style="76" bestFit="1" customWidth="1"/>
    <col min="14343" max="14594" width="11.42578125" style="76"/>
    <col min="14595" max="14595" width="17.42578125" style="76" bestFit="1" customWidth="1"/>
    <col min="14596" max="14598" width="14.5703125" style="76" bestFit="1" customWidth="1"/>
    <col min="14599" max="14850" width="11.42578125" style="76"/>
    <col min="14851" max="14851" width="17.42578125" style="76" bestFit="1" customWidth="1"/>
    <col min="14852" max="14854" width="14.5703125" style="76" bestFit="1" customWidth="1"/>
    <col min="14855" max="15106" width="11.42578125" style="76"/>
    <col min="15107" max="15107" width="17.42578125" style="76" bestFit="1" customWidth="1"/>
    <col min="15108" max="15110" width="14.5703125" style="76" bestFit="1" customWidth="1"/>
    <col min="15111" max="15362" width="11.42578125" style="76"/>
    <col min="15363" max="15363" width="17.42578125" style="76" bestFit="1" customWidth="1"/>
    <col min="15364" max="15366" width="14.5703125" style="76" bestFit="1" customWidth="1"/>
    <col min="15367" max="15618" width="11.42578125" style="76"/>
    <col min="15619" max="15619" width="17.42578125" style="76" bestFit="1" customWidth="1"/>
    <col min="15620" max="15622" width="14.5703125" style="76" bestFit="1" customWidth="1"/>
    <col min="15623" max="15874" width="11.42578125" style="76"/>
    <col min="15875" max="15875" width="17.42578125" style="76" bestFit="1" customWidth="1"/>
    <col min="15876" max="15878" width="14.5703125" style="76" bestFit="1" customWidth="1"/>
    <col min="15879" max="16130" width="11.42578125" style="76"/>
    <col min="16131" max="16131" width="17.42578125" style="76" bestFit="1" customWidth="1"/>
    <col min="16132" max="16134" width="14.5703125" style="76" bestFit="1" customWidth="1"/>
    <col min="16135" max="16384" width="11.42578125" style="76"/>
  </cols>
  <sheetData>
    <row r="2" spans="2:12" ht="15" x14ac:dyDescent="0.25">
      <c r="B2" s="384" t="s">
        <v>216</v>
      </c>
      <c r="C2" s="384"/>
      <c r="D2" s="384"/>
      <c r="E2" s="384"/>
      <c r="F2" s="384"/>
    </row>
    <row r="3" spans="2:12" ht="15" collapsed="1" x14ac:dyDescent="0.25">
      <c r="B3" s="290"/>
      <c r="C3" s="290"/>
      <c r="D3" s="291" t="s">
        <v>217</v>
      </c>
      <c r="E3" s="291" t="s">
        <v>218</v>
      </c>
      <c r="F3" s="291" t="s">
        <v>219</v>
      </c>
    </row>
    <row r="4" spans="2:12" ht="22.5" hidden="1" outlineLevel="1" x14ac:dyDescent="0.2">
      <c r="B4" s="292"/>
      <c r="C4" s="292"/>
      <c r="D4" s="293"/>
      <c r="E4" s="294" t="s">
        <v>220</v>
      </c>
      <c r="F4" s="294" t="s">
        <v>220</v>
      </c>
    </row>
    <row r="5" spans="2:12" x14ac:dyDescent="0.2">
      <c r="B5" s="295" t="s">
        <v>221</v>
      </c>
      <c r="C5" s="295"/>
      <c r="D5" s="293"/>
      <c r="E5" s="293"/>
      <c r="F5" s="293"/>
    </row>
    <row r="6" spans="2:12" outlineLevel="1" x14ac:dyDescent="0.2">
      <c r="B6" s="292"/>
      <c r="C6" s="292" t="s">
        <v>224</v>
      </c>
      <c r="D6" s="296">
        <v>250</v>
      </c>
      <c r="E6" s="296">
        <v>300</v>
      </c>
      <c r="F6" s="296">
        <v>200</v>
      </c>
    </row>
    <row r="7" spans="2:12" outlineLevel="1" x14ac:dyDescent="0.2">
      <c r="B7" s="292"/>
      <c r="C7" s="292" t="s">
        <v>257</v>
      </c>
      <c r="D7" s="297">
        <v>30</v>
      </c>
      <c r="E7" s="297">
        <v>20</v>
      </c>
      <c r="F7" s="297">
        <v>40</v>
      </c>
    </row>
    <row r="8" spans="2:12" x14ac:dyDescent="0.2">
      <c r="B8" s="295" t="s">
        <v>222</v>
      </c>
      <c r="C8" s="295"/>
      <c r="D8" s="293"/>
      <c r="E8" s="293"/>
      <c r="F8" s="293"/>
    </row>
    <row r="9" spans="2:12" outlineLevel="1" x14ac:dyDescent="0.2">
      <c r="B9" s="292"/>
      <c r="C9" s="292" t="s">
        <v>10</v>
      </c>
      <c r="D9" s="298">
        <v>70009</v>
      </c>
      <c r="E9" s="298">
        <v>122996</v>
      </c>
      <c r="F9" s="299">
        <v>17021</v>
      </c>
    </row>
    <row r="10" spans="2:12" ht="13.5" outlineLevel="1" thickBot="1" x14ac:dyDescent="0.25">
      <c r="B10" s="292"/>
      <c r="C10" s="292" t="s">
        <v>13</v>
      </c>
      <c r="D10" s="300">
        <v>1.383</v>
      </c>
      <c r="E10" s="301">
        <v>2.609</v>
      </c>
      <c r="F10" s="301">
        <v>9.4E-2</v>
      </c>
    </row>
    <row r="11" spans="2:12" outlineLevel="1" x14ac:dyDescent="0.2">
      <c r="B11" s="292"/>
      <c r="C11" s="292" t="s">
        <v>11</v>
      </c>
      <c r="D11" s="298">
        <v>70313</v>
      </c>
      <c r="E11" s="298">
        <v>123300</v>
      </c>
      <c r="F11" s="299">
        <v>17325</v>
      </c>
      <c r="I11" s="8" t="s">
        <v>10</v>
      </c>
      <c r="J11" s="9">
        <f>+Resumen!C13</f>
        <v>30492.637816178365</v>
      </c>
      <c r="K11" s="10" t="s">
        <v>11</v>
      </c>
      <c r="L11" s="11">
        <f>+Resumen!E13</f>
        <v>8741.7562355868868</v>
      </c>
    </row>
    <row r="12" spans="2:12" outlineLevel="1" x14ac:dyDescent="0.2">
      <c r="B12" s="292"/>
      <c r="C12" s="292" t="s">
        <v>14</v>
      </c>
      <c r="D12" s="300">
        <v>1.3939999999999999</v>
      </c>
      <c r="E12" s="301">
        <v>2.621</v>
      </c>
      <c r="F12" s="301">
        <v>0.10299999999999999</v>
      </c>
      <c r="I12" s="13"/>
      <c r="J12" s="14"/>
      <c r="K12" s="14"/>
      <c r="L12" s="15"/>
    </row>
    <row r="13" spans="2:12" ht="13.5" thickBot="1" x14ac:dyDescent="0.25">
      <c r="I13" s="16" t="s">
        <v>13</v>
      </c>
      <c r="J13" s="17">
        <f>+Resumen!C14</f>
        <v>0.51441707222458222</v>
      </c>
      <c r="K13" s="18" t="s">
        <v>14</v>
      </c>
      <c r="L13" s="19">
        <f>+Resumen!E14</f>
        <v>0.59596715781487752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6"/>
  <sheetViews>
    <sheetView topLeftCell="A16" zoomScale="115" zoomScaleNormal="115" workbookViewId="0">
      <selection activeCell="E11" sqref="E11"/>
    </sheetView>
  </sheetViews>
  <sheetFormatPr baseColWidth="10" defaultColWidth="14.42578125" defaultRowHeight="15" customHeight="1" x14ac:dyDescent="0.2"/>
  <cols>
    <col min="1" max="1" width="6.28515625" customWidth="1"/>
    <col min="2" max="2" width="5.7109375" customWidth="1"/>
    <col min="3" max="3" width="6.5703125" customWidth="1"/>
    <col min="4" max="4" width="8" customWidth="1"/>
    <col min="5" max="5" width="7.5703125" customWidth="1"/>
    <col min="6" max="6" width="8" customWidth="1"/>
    <col min="7" max="7" width="7.85546875" customWidth="1"/>
    <col min="8" max="8" width="7.5703125" customWidth="1"/>
    <col min="9" max="9" width="8" customWidth="1"/>
    <col min="10" max="10" width="8.85546875" customWidth="1"/>
    <col min="11" max="12" width="8.140625" customWidth="1"/>
    <col min="13" max="13" width="7.42578125" customWidth="1"/>
    <col min="14" max="14" width="8.28515625" customWidth="1"/>
    <col min="15" max="15" width="8.42578125" customWidth="1"/>
    <col min="16" max="26" width="10" customWidth="1"/>
  </cols>
  <sheetData>
    <row r="1" spans="1:26" ht="12.75" customHeight="1" x14ac:dyDescent="0.2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26" ht="12.75" customHeight="1" x14ac:dyDescent="0.2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26" ht="12.75" customHeight="1" x14ac:dyDescent="0.2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26" ht="12.75" customHeight="1" x14ac:dyDescent="0.2">
      <c r="B4" s="385" t="s">
        <v>15</v>
      </c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</row>
    <row r="5" spans="1:26" ht="13.5" customHeight="1" x14ac:dyDescent="0.2"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26" ht="24.75" customHeight="1" x14ac:dyDescent="0.2">
      <c r="A6" s="23"/>
      <c r="B6" s="103" t="s">
        <v>16</v>
      </c>
      <c r="C6" s="103" t="s">
        <v>17</v>
      </c>
      <c r="D6" s="103" t="s">
        <v>18</v>
      </c>
      <c r="E6" s="103" t="s">
        <v>19</v>
      </c>
      <c r="F6" s="103" t="s">
        <v>20</v>
      </c>
      <c r="G6" s="103" t="s">
        <v>21</v>
      </c>
      <c r="H6" s="103" t="s">
        <v>22</v>
      </c>
      <c r="I6" s="103" t="s">
        <v>23</v>
      </c>
      <c r="J6" s="103" t="s">
        <v>24</v>
      </c>
      <c r="K6" s="103" t="s">
        <v>25</v>
      </c>
      <c r="L6" s="103" t="s">
        <v>26</v>
      </c>
      <c r="M6" s="103" t="s">
        <v>27</v>
      </c>
      <c r="N6" s="103" t="s">
        <v>28</v>
      </c>
      <c r="O6" s="103" t="s">
        <v>29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" customHeight="1" x14ac:dyDescent="0.2">
      <c r="A7" s="23"/>
      <c r="B7" s="87">
        <v>1</v>
      </c>
      <c r="C7" s="88">
        <v>30</v>
      </c>
      <c r="D7" s="88">
        <v>35</v>
      </c>
      <c r="E7" s="88">
        <v>40</v>
      </c>
      <c r="F7" s="88">
        <v>45</v>
      </c>
      <c r="G7" s="88">
        <v>50</v>
      </c>
      <c r="H7" s="88">
        <v>55</v>
      </c>
      <c r="I7" s="88">
        <v>60</v>
      </c>
      <c r="J7" s="88">
        <v>60</v>
      </c>
      <c r="K7" s="88">
        <v>60</v>
      </c>
      <c r="L7" s="88">
        <v>60</v>
      </c>
      <c r="M7" s="88">
        <v>60</v>
      </c>
      <c r="N7" s="88">
        <v>60</v>
      </c>
      <c r="O7" s="88">
        <f t="shared" ref="O7:O9" si="0">SUM(C7:N7)</f>
        <v>615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8.75" customHeight="1" x14ac:dyDescent="0.2">
      <c r="A8" s="23"/>
      <c r="B8" s="87">
        <v>2</v>
      </c>
      <c r="C8" s="88">
        <v>60</v>
      </c>
      <c r="D8" s="88">
        <v>60</v>
      </c>
      <c r="E8" s="88">
        <v>60</v>
      </c>
      <c r="F8" s="88">
        <v>60</v>
      </c>
      <c r="G8" s="88">
        <v>60</v>
      </c>
      <c r="H8" s="88">
        <v>60</v>
      </c>
      <c r="I8" s="88">
        <v>60</v>
      </c>
      <c r="J8" s="88">
        <v>60</v>
      </c>
      <c r="K8" s="88">
        <v>60</v>
      </c>
      <c r="L8" s="88">
        <v>60</v>
      </c>
      <c r="M8" s="88">
        <v>60</v>
      </c>
      <c r="N8" s="88">
        <v>60</v>
      </c>
      <c r="O8" s="88">
        <f t="shared" si="0"/>
        <v>720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">
      <c r="B9" s="87">
        <v>3</v>
      </c>
      <c r="C9" s="88">
        <v>60</v>
      </c>
      <c r="D9" s="88">
        <v>60</v>
      </c>
      <c r="E9" s="88">
        <v>60</v>
      </c>
      <c r="F9" s="88">
        <v>60</v>
      </c>
      <c r="G9" s="88">
        <v>60</v>
      </c>
      <c r="H9" s="88">
        <v>60</v>
      </c>
      <c r="I9" s="88">
        <v>60</v>
      </c>
      <c r="J9" s="88">
        <v>60</v>
      </c>
      <c r="K9" s="88">
        <v>60</v>
      </c>
      <c r="L9" s="88">
        <v>60</v>
      </c>
      <c r="M9" s="88">
        <v>60</v>
      </c>
      <c r="N9" s="88">
        <v>60</v>
      </c>
      <c r="O9" s="88">
        <f t="shared" si="0"/>
        <v>720</v>
      </c>
    </row>
    <row r="10" spans="1:26" ht="12.75" customHeight="1" x14ac:dyDescent="0.2"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26" ht="12.75" customHeight="1" x14ac:dyDescent="0.2"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26" ht="12.75" customHeight="1" x14ac:dyDescent="0.2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26" ht="12.75" customHeight="1" x14ac:dyDescent="0.2"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26" ht="12.75" customHeight="1" x14ac:dyDescent="0.2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26" ht="12.75" customHeight="1" x14ac:dyDescent="0.2">
      <c r="B15" s="103" t="s">
        <v>16</v>
      </c>
      <c r="C15" s="103" t="s">
        <v>17</v>
      </c>
      <c r="D15" s="103" t="s">
        <v>18</v>
      </c>
      <c r="E15" s="103" t="s">
        <v>19</v>
      </c>
      <c r="F15" s="103" t="s">
        <v>20</v>
      </c>
      <c r="G15" s="103" t="s">
        <v>21</v>
      </c>
      <c r="H15" s="103" t="s">
        <v>22</v>
      </c>
      <c r="I15" s="103" t="s">
        <v>23</v>
      </c>
      <c r="J15" s="103" t="s">
        <v>24</v>
      </c>
      <c r="K15" s="103" t="s">
        <v>25</v>
      </c>
      <c r="L15" s="103" t="s">
        <v>26</v>
      </c>
      <c r="M15" s="103" t="s">
        <v>27</v>
      </c>
      <c r="N15" s="103" t="s">
        <v>28</v>
      </c>
      <c r="O15" s="103" t="s">
        <v>29</v>
      </c>
    </row>
    <row r="16" spans="1:26" ht="12.75" customHeight="1" x14ac:dyDescent="0.2">
      <c r="B16" s="87">
        <v>1</v>
      </c>
      <c r="C16" s="88">
        <f>Resumen!$H$14</f>
        <v>30</v>
      </c>
      <c r="D16" s="88">
        <f>Resumen!$H$14</f>
        <v>30</v>
      </c>
      <c r="E16" s="88">
        <f>Resumen!$H$14</f>
        <v>30</v>
      </c>
      <c r="F16" s="88">
        <f>Resumen!$H$14</f>
        <v>30</v>
      </c>
      <c r="G16" s="88">
        <f>Resumen!$H$14</f>
        <v>30</v>
      </c>
      <c r="H16" s="88">
        <f>Resumen!$H$14</f>
        <v>30</v>
      </c>
      <c r="I16" s="88">
        <f>Resumen!$H$14</f>
        <v>30</v>
      </c>
      <c r="J16" s="88">
        <f>Resumen!$H$14</f>
        <v>30</v>
      </c>
      <c r="K16" s="88">
        <f>Resumen!$H$14</f>
        <v>30</v>
      </c>
      <c r="L16" s="88">
        <f>Resumen!$H$14</f>
        <v>30</v>
      </c>
      <c r="M16" s="88">
        <f>Resumen!$H$14</f>
        <v>30</v>
      </c>
      <c r="N16" s="88">
        <f>Resumen!$H$14</f>
        <v>30</v>
      </c>
      <c r="O16" s="88">
        <f t="shared" ref="O16:O18" si="1">SUM(C16:N16)</f>
        <v>360</v>
      </c>
    </row>
    <row r="17" spans="2:15" ht="12.75" customHeight="1" x14ac:dyDescent="0.2">
      <c r="B17" s="87">
        <v>2</v>
      </c>
      <c r="C17" s="88">
        <f>Resumen!$H$14</f>
        <v>30</v>
      </c>
      <c r="D17" s="88">
        <f>Resumen!$H$14</f>
        <v>30</v>
      </c>
      <c r="E17" s="88">
        <f>Resumen!$H$14</f>
        <v>30</v>
      </c>
      <c r="F17" s="88">
        <f>Resumen!$H$14</f>
        <v>30</v>
      </c>
      <c r="G17" s="88">
        <f>Resumen!$H$14</f>
        <v>30</v>
      </c>
      <c r="H17" s="88">
        <f>Resumen!$H$14</f>
        <v>30</v>
      </c>
      <c r="I17" s="88">
        <f>Resumen!$H$14</f>
        <v>30</v>
      </c>
      <c r="J17" s="88">
        <f>Resumen!$H$14</f>
        <v>30</v>
      </c>
      <c r="K17" s="88">
        <f>Resumen!$H$14</f>
        <v>30</v>
      </c>
      <c r="L17" s="88">
        <f>Resumen!$H$14</f>
        <v>30</v>
      </c>
      <c r="M17" s="88">
        <f>Resumen!$H$14</f>
        <v>30</v>
      </c>
      <c r="N17" s="88">
        <f>Resumen!$H$14</f>
        <v>30</v>
      </c>
      <c r="O17" s="88">
        <f t="shared" si="1"/>
        <v>360</v>
      </c>
    </row>
    <row r="18" spans="2:15" ht="12.75" customHeight="1" x14ac:dyDescent="0.2">
      <c r="B18" s="87">
        <v>3</v>
      </c>
      <c r="C18" s="88">
        <f>Resumen!$H$14</f>
        <v>30</v>
      </c>
      <c r="D18" s="88">
        <f>Resumen!$H$14</f>
        <v>30</v>
      </c>
      <c r="E18" s="88">
        <f>Resumen!$H$14</f>
        <v>30</v>
      </c>
      <c r="F18" s="88">
        <f>Resumen!$H$14</f>
        <v>30</v>
      </c>
      <c r="G18" s="88">
        <f>Resumen!$H$14</f>
        <v>30</v>
      </c>
      <c r="H18" s="88">
        <f>Resumen!$H$14</f>
        <v>30</v>
      </c>
      <c r="I18" s="88">
        <f>Resumen!$H$14</f>
        <v>30</v>
      </c>
      <c r="J18" s="88">
        <f>Resumen!$H$14</f>
        <v>30</v>
      </c>
      <c r="K18" s="88">
        <f>Resumen!$H$14</f>
        <v>30</v>
      </c>
      <c r="L18" s="88">
        <f>Resumen!$H$14</f>
        <v>30</v>
      </c>
      <c r="M18" s="88">
        <f>Resumen!$H$14</f>
        <v>30</v>
      </c>
      <c r="N18" s="88">
        <f>Resumen!$H$14</f>
        <v>30</v>
      </c>
      <c r="O18" s="88">
        <f t="shared" si="1"/>
        <v>360</v>
      </c>
    </row>
    <row r="19" spans="2:15" ht="12.75" customHeight="1" x14ac:dyDescent="0.2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2:15" ht="12.75" customHeight="1" x14ac:dyDescent="0.2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2:15" ht="12.75" customHeight="1" x14ac:dyDescent="0.2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15" ht="12.75" customHeight="1" x14ac:dyDescent="0.2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ht="12.75" customHeight="1" x14ac:dyDescent="0.2"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2:15" ht="12.75" customHeight="1" x14ac:dyDescent="0.2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2:15" ht="12.75" customHeight="1" x14ac:dyDescent="0.2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15" ht="12.75" customHeight="1" x14ac:dyDescent="0.2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2:15" ht="12.75" customHeight="1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15" ht="12.75" customHeight="1" x14ac:dyDescent="0.2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15" ht="12.75" customHeight="1" x14ac:dyDescent="0.2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 ht="12.75" customHeight="1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2:15" ht="12.75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2:15" ht="12.75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3:15" ht="12.75" customHeight="1" x14ac:dyDescent="0.2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3:15" ht="12.75" customHeight="1" x14ac:dyDescent="0.2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3:15" ht="12.75" customHeight="1" x14ac:dyDescent="0.2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3:15" ht="12.75" customHeight="1" x14ac:dyDescent="0.2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3:15" ht="12.75" customHeight="1" x14ac:dyDescent="0.2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3:15" ht="12.75" customHeight="1" x14ac:dyDescent="0.2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3:15" ht="12.75" customHeight="1" x14ac:dyDescent="0.2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3:15" ht="12.75" customHeight="1" x14ac:dyDescent="0.2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3:15" ht="12.75" customHeight="1" x14ac:dyDescent="0.2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3:15" ht="12.75" customHeight="1" x14ac:dyDescent="0.2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3:15" ht="12.75" customHeight="1" x14ac:dyDescent="0.2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3:15" ht="12.75" customHeight="1" x14ac:dyDescent="0.2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3:15" ht="12.75" customHeight="1" x14ac:dyDescent="0.2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3:15" ht="12.75" customHeight="1" x14ac:dyDescent="0.2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3:15" ht="12.75" customHeight="1" x14ac:dyDescent="0.2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3:15" ht="12.75" customHeight="1" x14ac:dyDescent="0.2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3:15" ht="12.75" customHeight="1" x14ac:dyDescent="0.2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3:15" ht="12.75" customHeight="1" x14ac:dyDescent="0.2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3:15" ht="12.75" customHeight="1" x14ac:dyDescent="0.2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3:15" ht="12.75" customHeight="1" x14ac:dyDescent="0.2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3:15" ht="12.75" customHeight="1" x14ac:dyDescent="0.2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3:15" ht="12.75" customHeight="1" x14ac:dyDescent="0.2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3:15" ht="12.75" customHeight="1" x14ac:dyDescent="0.2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3:15" ht="12.75" customHeight="1" x14ac:dyDescent="0.2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3:15" ht="12.75" customHeight="1" x14ac:dyDescent="0.2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3:15" ht="12.75" customHeight="1" x14ac:dyDescent="0.2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3:15" ht="12.75" customHeight="1" x14ac:dyDescent="0.2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3:15" ht="12.75" customHeight="1" x14ac:dyDescent="0.2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3:15" ht="12.75" customHeight="1" x14ac:dyDescent="0.2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3:15" ht="12.75" customHeight="1" x14ac:dyDescent="0.2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3:15" ht="12.75" customHeight="1" x14ac:dyDescent="0.2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3:15" ht="12.75" customHeight="1" x14ac:dyDescent="0.2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3:15" ht="12.75" customHeight="1" x14ac:dyDescent="0.2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3:15" ht="12.75" customHeight="1" x14ac:dyDescent="0.2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3:15" ht="12.75" customHeight="1" x14ac:dyDescent="0.2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3:15" ht="12.75" customHeight="1" x14ac:dyDescent="0.2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3:15" ht="12.75" customHeight="1" x14ac:dyDescent="0.2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3:15" ht="12.75" customHeight="1" x14ac:dyDescent="0.2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3:15" ht="12.75" customHeight="1" x14ac:dyDescent="0.2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3:15" ht="12.75" customHeight="1" x14ac:dyDescent="0.2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3:15" ht="12.75" customHeight="1" x14ac:dyDescent="0.2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3:15" ht="12.75" customHeight="1" x14ac:dyDescent="0.2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3:15" ht="12.75" customHeight="1" x14ac:dyDescent="0.2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3:15" ht="12.75" customHeight="1" x14ac:dyDescent="0.2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3:15" ht="12.75" customHeight="1" x14ac:dyDescent="0.2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3:15" ht="12.75" customHeight="1" x14ac:dyDescent="0.2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3:15" ht="12.75" customHeight="1" x14ac:dyDescent="0.2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3:15" ht="12.75" customHeight="1" x14ac:dyDescent="0.2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3:15" ht="12.75" customHeight="1" x14ac:dyDescent="0.2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3:15" ht="12.75" customHeight="1" x14ac:dyDescent="0.2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3:15" ht="12.75" customHeight="1" x14ac:dyDescent="0.2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3:15" ht="12.75" customHeight="1" x14ac:dyDescent="0.2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3:15" ht="12.75" customHeight="1" x14ac:dyDescent="0.2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3:15" ht="12.75" customHeight="1" x14ac:dyDescent="0.2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spans="3:15" ht="12.75" customHeight="1" x14ac:dyDescent="0.2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3:15" ht="12.75" customHeight="1" x14ac:dyDescent="0.2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3:15" ht="12.75" customHeight="1" x14ac:dyDescent="0.2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3:15" ht="12.75" customHeight="1" x14ac:dyDescent="0.2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3:15" ht="12.75" customHeight="1" x14ac:dyDescent="0.2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spans="3:15" ht="12.75" customHeight="1" x14ac:dyDescent="0.2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spans="3:15" ht="12.75" customHeight="1" x14ac:dyDescent="0.2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3:15" ht="12.75" customHeight="1" x14ac:dyDescent="0.2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spans="3:15" ht="12.75" customHeight="1" x14ac:dyDescent="0.2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spans="3:15" ht="12.75" customHeight="1" x14ac:dyDescent="0.2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3:15" ht="12.75" customHeight="1" x14ac:dyDescent="0.2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spans="3:15" ht="12.75" customHeight="1" x14ac:dyDescent="0.2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3:15" ht="12.75" customHeight="1" x14ac:dyDescent="0.2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spans="3:15" ht="12.75" customHeight="1" x14ac:dyDescent="0.2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3:15" ht="12.75" customHeight="1" x14ac:dyDescent="0.2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3:15" ht="12.75" customHeight="1" x14ac:dyDescent="0.2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3:15" ht="12.75" customHeight="1" x14ac:dyDescent="0.2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3:15" ht="12.75" customHeight="1" x14ac:dyDescent="0.2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3:15" ht="12.75" customHeight="1" x14ac:dyDescent="0.2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3:15" ht="12.75" customHeight="1" x14ac:dyDescent="0.2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3:15" ht="12.75" customHeight="1" x14ac:dyDescent="0.2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3:15" ht="12.75" customHeight="1" x14ac:dyDescent="0.2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3:15" ht="12.75" customHeight="1" x14ac:dyDescent="0.2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3:15" ht="12.75" customHeight="1" x14ac:dyDescent="0.2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3:15" ht="12.75" customHeight="1" x14ac:dyDescent="0.2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3:15" ht="12.75" customHeight="1" x14ac:dyDescent="0.2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3:15" ht="12.75" customHeight="1" x14ac:dyDescent="0.2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3:15" ht="12.75" customHeight="1" x14ac:dyDescent="0.2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3:15" ht="12.75" customHeight="1" x14ac:dyDescent="0.2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3:15" ht="12.75" customHeight="1" x14ac:dyDescent="0.2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3:15" ht="12.75" customHeight="1" x14ac:dyDescent="0.2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3:15" ht="12.75" customHeight="1" x14ac:dyDescent="0.2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3:15" ht="12.75" customHeight="1" x14ac:dyDescent="0.2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3:15" ht="12.75" customHeight="1" x14ac:dyDescent="0.2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3:15" ht="12.75" customHeight="1" x14ac:dyDescent="0.2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3:15" ht="12.75" customHeight="1" x14ac:dyDescent="0.2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3:15" ht="12.75" customHeight="1" x14ac:dyDescent="0.2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3:15" ht="12.75" customHeight="1" x14ac:dyDescent="0.2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3:15" ht="12.75" customHeight="1" x14ac:dyDescent="0.2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3:15" ht="12.75" customHeight="1" x14ac:dyDescent="0.2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3:15" ht="12.75" customHeight="1" x14ac:dyDescent="0.2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3:15" ht="12.75" customHeight="1" x14ac:dyDescent="0.2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3:15" ht="12.75" customHeight="1" x14ac:dyDescent="0.2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3:15" ht="12.75" customHeight="1" x14ac:dyDescent="0.2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3:15" ht="12.75" customHeight="1" x14ac:dyDescent="0.2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3:15" ht="12.75" customHeight="1" x14ac:dyDescent="0.2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3:15" ht="12.75" customHeight="1" x14ac:dyDescent="0.2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3:15" ht="12.75" customHeight="1" x14ac:dyDescent="0.2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3:15" ht="12.75" customHeight="1" x14ac:dyDescent="0.2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3:15" ht="12.75" customHeight="1" x14ac:dyDescent="0.2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3:15" ht="12.75" customHeight="1" x14ac:dyDescent="0.2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3:15" ht="12.75" customHeight="1" x14ac:dyDescent="0.2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3:15" ht="12.75" customHeight="1" x14ac:dyDescent="0.2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3:15" ht="12.75" customHeight="1" x14ac:dyDescent="0.2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3:15" ht="12.75" customHeight="1" x14ac:dyDescent="0.2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3:15" ht="12.75" customHeight="1" x14ac:dyDescent="0.2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3:15" ht="12.75" customHeight="1" x14ac:dyDescent="0.2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3:15" ht="12.75" customHeight="1" x14ac:dyDescent="0.2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3:15" ht="12.75" customHeight="1" x14ac:dyDescent="0.2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3:15" ht="12.75" customHeight="1" x14ac:dyDescent="0.2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3:15" ht="12.75" customHeight="1" x14ac:dyDescent="0.2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3:15" ht="12.75" customHeight="1" x14ac:dyDescent="0.2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3:15" ht="12.75" customHeight="1" x14ac:dyDescent="0.2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3:15" ht="12.75" customHeight="1" x14ac:dyDescent="0.2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3:15" ht="12.75" customHeight="1" x14ac:dyDescent="0.2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3:15" ht="12.75" customHeight="1" x14ac:dyDescent="0.2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3:15" ht="12.75" customHeight="1" x14ac:dyDescent="0.2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3:15" ht="12.75" customHeight="1" x14ac:dyDescent="0.2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3:15" ht="12.75" customHeight="1" x14ac:dyDescent="0.2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3:15" ht="12.75" customHeight="1" x14ac:dyDescent="0.2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3:15" ht="12.75" customHeight="1" x14ac:dyDescent="0.2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3:15" ht="12.75" customHeight="1" x14ac:dyDescent="0.2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3:15" ht="12.75" customHeight="1" x14ac:dyDescent="0.2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3:15" ht="12.75" customHeight="1" x14ac:dyDescent="0.2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3:15" ht="12.75" customHeight="1" x14ac:dyDescent="0.2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3:15" ht="12.75" customHeight="1" x14ac:dyDescent="0.2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3:15" ht="12.75" customHeight="1" x14ac:dyDescent="0.2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3:15" ht="12.75" customHeight="1" x14ac:dyDescent="0.2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3:15" ht="12.75" customHeight="1" x14ac:dyDescent="0.2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3:15" ht="12.75" customHeight="1" x14ac:dyDescent="0.2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3:15" ht="12.75" customHeight="1" x14ac:dyDescent="0.2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3:15" ht="12.75" customHeight="1" x14ac:dyDescent="0.2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3:15" ht="12.75" customHeight="1" x14ac:dyDescent="0.2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3:15" ht="12.75" customHeight="1" x14ac:dyDescent="0.2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3:15" ht="12.75" customHeight="1" x14ac:dyDescent="0.2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3:15" ht="12.75" customHeight="1" x14ac:dyDescent="0.2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3:15" ht="12.75" customHeight="1" x14ac:dyDescent="0.2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3:15" ht="12.75" customHeight="1" x14ac:dyDescent="0.2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3:15" ht="12.75" customHeight="1" x14ac:dyDescent="0.2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3:15" ht="12.75" customHeight="1" x14ac:dyDescent="0.2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3:15" ht="12.75" customHeight="1" x14ac:dyDescent="0.2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3:15" ht="12.75" customHeight="1" x14ac:dyDescent="0.2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3:15" ht="12.75" customHeight="1" x14ac:dyDescent="0.2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3:15" ht="12.75" customHeight="1" x14ac:dyDescent="0.2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3:15" ht="12.75" customHeight="1" x14ac:dyDescent="0.2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3:15" ht="12.75" customHeight="1" x14ac:dyDescent="0.2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3:15" ht="12.75" customHeight="1" x14ac:dyDescent="0.2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3:15" ht="12.75" customHeight="1" x14ac:dyDescent="0.2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3:15" ht="12.75" customHeight="1" x14ac:dyDescent="0.2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3:15" ht="12.75" customHeight="1" x14ac:dyDescent="0.2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3:15" ht="12.75" customHeight="1" x14ac:dyDescent="0.2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3:15" ht="12.75" customHeight="1" x14ac:dyDescent="0.2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3:15" ht="12.75" customHeight="1" x14ac:dyDescent="0.2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3:15" ht="12.75" customHeight="1" x14ac:dyDescent="0.2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3:15" ht="12.75" customHeight="1" x14ac:dyDescent="0.2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3:15" ht="12.75" customHeight="1" x14ac:dyDescent="0.2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3:15" ht="12.75" customHeight="1" x14ac:dyDescent="0.2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3:15" ht="12.75" customHeight="1" x14ac:dyDescent="0.2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3:15" ht="12.75" customHeight="1" x14ac:dyDescent="0.2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3:15" ht="12.75" customHeight="1" x14ac:dyDescent="0.2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3:15" ht="12.75" customHeight="1" x14ac:dyDescent="0.2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3:15" ht="12.75" customHeight="1" x14ac:dyDescent="0.2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3:15" ht="12.75" customHeight="1" x14ac:dyDescent="0.2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3:15" ht="12.75" customHeight="1" x14ac:dyDescent="0.2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3:15" ht="12.75" customHeight="1" x14ac:dyDescent="0.2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3:15" ht="12.75" customHeight="1" x14ac:dyDescent="0.2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3:15" ht="12.75" customHeight="1" x14ac:dyDescent="0.2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3:15" ht="12.75" customHeight="1" x14ac:dyDescent="0.2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3:15" ht="12.75" customHeight="1" x14ac:dyDescent="0.2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3:15" ht="12.75" customHeight="1" x14ac:dyDescent="0.2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3:15" ht="12.75" customHeight="1" x14ac:dyDescent="0.2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3:15" ht="12.75" customHeight="1" x14ac:dyDescent="0.2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3:15" ht="12.75" customHeight="1" x14ac:dyDescent="0.2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3:15" ht="12.75" customHeight="1" x14ac:dyDescent="0.2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3:15" ht="12.75" customHeight="1" x14ac:dyDescent="0.2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3:15" ht="12.75" customHeight="1" x14ac:dyDescent="0.2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3:15" ht="12.75" customHeight="1" x14ac:dyDescent="0.2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3:15" ht="12.75" customHeight="1" x14ac:dyDescent="0.2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3:15" ht="12.75" customHeight="1" x14ac:dyDescent="0.2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3:15" ht="12.75" customHeight="1" x14ac:dyDescent="0.2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</sheetData>
  <mergeCells count="1">
    <mergeCell ref="B4:O4"/>
  </mergeCells>
  <pageMargins left="0.7" right="0.7" top="0.75" bottom="0.75" header="0" footer="0"/>
  <pageSetup orientation="landscape"/>
  <ignoredErrors>
    <ignoredError sqref="O7:O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20"/>
  <sheetViews>
    <sheetView topLeftCell="A7" zoomScale="130" zoomScaleNormal="130" workbookViewId="0">
      <selection activeCell="C25" sqref="C25"/>
    </sheetView>
  </sheetViews>
  <sheetFormatPr baseColWidth="10" defaultColWidth="14.42578125" defaultRowHeight="15" customHeight="1" x14ac:dyDescent="0.2"/>
  <cols>
    <col min="1" max="1" width="6.28515625" customWidth="1"/>
    <col min="2" max="2" width="5.7109375" customWidth="1"/>
    <col min="3" max="3" width="6.5703125" customWidth="1"/>
    <col min="4" max="4" width="8" customWidth="1"/>
    <col min="5" max="5" width="7.5703125" customWidth="1"/>
    <col min="6" max="6" width="8" customWidth="1"/>
    <col min="7" max="7" width="7.85546875" customWidth="1"/>
    <col min="8" max="8" width="7.5703125" customWidth="1"/>
    <col min="9" max="9" width="8" customWidth="1"/>
    <col min="10" max="10" width="8.85546875" customWidth="1"/>
    <col min="11" max="12" width="8.140625" customWidth="1"/>
    <col min="13" max="13" width="7.42578125" customWidth="1"/>
    <col min="14" max="14" width="8.28515625" customWidth="1"/>
    <col min="15" max="15" width="8.42578125" customWidth="1"/>
    <col min="16" max="16" width="8.5703125" customWidth="1"/>
  </cols>
  <sheetData>
    <row r="1" spans="2:16" ht="12.75" customHeight="1" x14ac:dyDescent="0.2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6" ht="12.75" customHeight="1" x14ac:dyDescent="0.2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16" ht="12.75" customHeight="1" x14ac:dyDescent="0.2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16" ht="12.75" customHeight="1" x14ac:dyDescent="0.2"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6" ht="12.75" customHeight="1" x14ac:dyDescent="0.2"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2:16" ht="12.75" customHeight="1" x14ac:dyDescent="0.2"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6" ht="12.75" customHeight="1" x14ac:dyDescent="0.2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6" ht="12.75" customHeight="1" x14ac:dyDescent="0.2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2:16" ht="12.75" customHeight="1" x14ac:dyDescent="0.2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6" ht="12.75" customHeight="1" x14ac:dyDescent="0.2">
      <c r="B10" s="386" t="s">
        <v>30</v>
      </c>
      <c r="C10" s="379"/>
      <c r="D10" s="379"/>
      <c r="E10" s="379"/>
      <c r="F10" s="379"/>
      <c r="G10" s="379"/>
      <c r="H10" s="379"/>
      <c r="I10" s="379"/>
      <c r="J10" s="379"/>
      <c r="K10" s="379"/>
      <c r="L10" s="379"/>
      <c r="M10" s="379"/>
      <c r="N10" s="379"/>
      <c r="O10" s="379"/>
      <c r="P10" s="387"/>
    </row>
    <row r="11" spans="2:16" ht="12.75" customHeight="1" x14ac:dyDescent="0.2"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4"/>
    </row>
    <row r="12" spans="2:16" ht="12.75" customHeight="1" x14ac:dyDescent="0.2">
      <c r="B12" s="386" t="s">
        <v>31</v>
      </c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87"/>
    </row>
    <row r="13" spans="2:16" ht="12.75" customHeight="1" thickBot="1" x14ac:dyDescent="0.25">
      <c r="B13" s="94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4"/>
    </row>
    <row r="14" spans="2:16" ht="12.75" customHeight="1" x14ac:dyDescent="0.2">
      <c r="B14" s="91" t="s">
        <v>16</v>
      </c>
      <c r="C14" s="92" t="s">
        <v>32</v>
      </c>
      <c r="D14" s="92" t="s">
        <v>17</v>
      </c>
      <c r="E14" s="92" t="s">
        <v>18</v>
      </c>
      <c r="F14" s="92" t="s">
        <v>19</v>
      </c>
      <c r="G14" s="92" t="s">
        <v>20</v>
      </c>
      <c r="H14" s="92" t="s">
        <v>21</v>
      </c>
      <c r="I14" s="92" t="s">
        <v>22</v>
      </c>
      <c r="J14" s="92" t="s">
        <v>23</v>
      </c>
      <c r="K14" s="92" t="s">
        <v>24</v>
      </c>
      <c r="L14" s="92" t="s">
        <v>25</v>
      </c>
      <c r="M14" s="92" t="s">
        <v>26</v>
      </c>
      <c r="N14" s="92" t="s">
        <v>27</v>
      </c>
      <c r="O14" s="92" t="s">
        <v>28</v>
      </c>
      <c r="P14" s="93" t="s">
        <v>29</v>
      </c>
    </row>
    <row r="15" spans="2:16" ht="12.75" customHeight="1" x14ac:dyDescent="0.2">
      <c r="B15" s="96">
        <v>1</v>
      </c>
      <c r="C15" s="97">
        <f>+Resumen!H12</f>
        <v>250</v>
      </c>
      <c r="D15" s="98">
        <f>$C$15*Ventas_Unidades!C7</f>
        <v>7500</v>
      </c>
      <c r="E15" s="98">
        <f>$C$15*Ventas_Unidades!D7</f>
        <v>8750</v>
      </c>
      <c r="F15" s="98">
        <f>$C$15*Ventas_Unidades!E7</f>
        <v>10000</v>
      </c>
      <c r="G15" s="98">
        <f>$C$15*Ventas_Unidades!F7</f>
        <v>11250</v>
      </c>
      <c r="H15" s="98">
        <f>$C$15*Ventas_Unidades!G7</f>
        <v>12500</v>
      </c>
      <c r="I15" s="98">
        <f>$C$15*Ventas_Unidades!H7</f>
        <v>13750</v>
      </c>
      <c r="J15" s="98">
        <f>$C$15*Ventas_Unidades!I7</f>
        <v>15000</v>
      </c>
      <c r="K15" s="98">
        <f>$C$15*Ventas_Unidades!J7</f>
        <v>15000</v>
      </c>
      <c r="L15" s="98">
        <f>$C$15*Ventas_Unidades!K7</f>
        <v>15000</v>
      </c>
      <c r="M15" s="98">
        <f>$C$15*Ventas_Unidades!L7</f>
        <v>15000</v>
      </c>
      <c r="N15" s="98">
        <f>$C$15*Ventas_Unidades!M7</f>
        <v>15000</v>
      </c>
      <c r="O15" s="98">
        <f>$C$15*Ventas_Unidades!N7</f>
        <v>15000</v>
      </c>
      <c r="P15" s="99">
        <f t="shared" ref="P15:P17" si="0">SUM(D15:O15)</f>
        <v>153750</v>
      </c>
    </row>
    <row r="16" spans="2:16" ht="12.75" customHeight="1" x14ac:dyDescent="0.2">
      <c r="B16" s="96">
        <v>2</v>
      </c>
      <c r="C16" s="97">
        <f>+Resumen!H12</f>
        <v>250</v>
      </c>
      <c r="D16" s="98">
        <f>$C$16*Ventas_Unidades!C8</f>
        <v>15000</v>
      </c>
      <c r="E16" s="98">
        <f>$C$16*Ventas_Unidades!D8</f>
        <v>15000</v>
      </c>
      <c r="F16" s="98">
        <f>$C$16*Ventas_Unidades!E8</f>
        <v>15000</v>
      </c>
      <c r="G16" s="98">
        <f>$C$16*Ventas_Unidades!F8</f>
        <v>15000</v>
      </c>
      <c r="H16" s="98">
        <f>$C$16*Ventas_Unidades!G8</f>
        <v>15000</v>
      </c>
      <c r="I16" s="98">
        <f>$C$16*Ventas_Unidades!H8</f>
        <v>15000</v>
      </c>
      <c r="J16" s="98">
        <f>$C$16*Ventas_Unidades!I8</f>
        <v>15000</v>
      </c>
      <c r="K16" s="98">
        <f>$C$16*Ventas_Unidades!J8</f>
        <v>15000</v>
      </c>
      <c r="L16" s="98">
        <f>$C$16*Ventas_Unidades!K8</f>
        <v>15000</v>
      </c>
      <c r="M16" s="98">
        <f>$C$16*Ventas_Unidades!L8</f>
        <v>15000</v>
      </c>
      <c r="N16" s="98">
        <f>$C$16*Ventas_Unidades!M8</f>
        <v>15000</v>
      </c>
      <c r="O16" s="98">
        <f>$C$16*Ventas_Unidades!N8</f>
        <v>15000</v>
      </c>
      <c r="P16" s="99">
        <f t="shared" si="0"/>
        <v>180000</v>
      </c>
    </row>
    <row r="17" spans="2:16" ht="12.75" customHeight="1" thickBot="1" x14ac:dyDescent="0.25">
      <c r="B17" s="100">
        <v>3</v>
      </c>
      <c r="C17" s="97">
        <f>+Resumen!H12</f>
        <v>250</v>
      </c>
      <c r="D17" s="101">
        <f>$C$17*Ventas_Unidades!C9</f>
        <v>15000</v>
      </c>
      <c r="E17" s="101">
        <f>$C$17*Ventas_Unidades!D9</f>
        <v>15000</v>
      </c>
      <c r="F17" s="101">
        <f>$C$17*Ventas_Unidades!E9</f>
        <v>15000</v>
      </c>
      <c r="G17" s="101">
        <f>$C$17*Ventas_Unidades!F9</f>
        <v>15000</v>
      </c>
      <c r="H17" s="101">
        <f>$C$17*Ventas_Unidades!G9</f>
        <v>15000</v>
      </c>
      <c r="I17" s="101">
        <f>$C$17*Ventas_Unidades!H9</f>
        <v>15000</v>
      </c>
      <c r="J17" s="101">
        <f>$C$17*Ventas_Unidades!I9</f>
        <v>15000</v>
      </c>
      <c r="K17" s="101">
        <f>$C$17*Ventas_Unidades!J9</f>
        <v>15000</v>
      </c>
      <c r="L17" s="101">
        <f>$C$17*Ventas_Unidades!K9</f>
        <v>15000</v>
      </c>
      <c r="M17" s="101">
        <f>$C$17*Ventas_Unidades!L9</f>
        <v>15000</v>
      </c>
      <c r="N17" s="101">
        <f>$C$17*Ventas_Unidades!M9</f>
        <v>15000</v>
      </c>
      <c r="O17" s="101">
        <f>$C$17*Ventas_Unidades!N9</f>
        <v>15000</v>
      </c>
      <c r="P17" s="102">
        <f t="shared" si="0"/>
        <v>180000</v>
      </c>
    </row>
    <row r="18" spans="2:16" ht="12.75" customHeight="1" x14ac:dyDescent="0.2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2:16" ht="12.75" customHeight="1" thickBot="1" x14ac:dyDescent="0.25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2:16" ht="12.75" customHeight="1" x14ac:dyDescent="0.2">
      <c r="B20" s="91" t="s">
        <v>16</v>
      </c>
      <c r="C20" s="92" t="s">
        <v>32</v>
      </c>
      <c r="D20" s="92" t="s">
        <v>17</v>
      </c>
      <c r="E20" s="92" t="s">
        <v>18</v>
      </c>
      <c r="F20" s="92" t="s">
        <v>19</v>
      </c>
      <c r="G20" s="92" t="s">
        <v>20</v>
      </c>
      <c r="H20" s="92" t="s">
        <v>21</v>
      </c>
      <c r="I20" s="92" t="s">
        <v>22</v>
      </c>
      <c r="J20" s="92" t="s">
        <v>23</v>
      </c>
      <c r="K20" s="92" t="s">
        <v>24</v>
      </c>
      <c r="L20" s="92" t="s">
        <v>25</v>
      </c>
      <c r="M20" s="92" t="s">
        <v>26</v>
      </c>
      <c r="N20" s="92" t="s">
        <v>27</v>
      </c>
      <c r="O20" s="92" t="s">
        <v>28</v>
      </c>
      <c r="P20" s="93" t="s">
        <v>29</v>
      </c>
    </row>
    <row r="21" spans="2:16" ht="12.75" customHeight="1" x14ac:dyDescent="0.2">
      <c r="B21" s="96">
        <v>1</v>
      </c>
      <c r="C21" s="97">
        <f>C15</f>
        <v>250</v>
      </c>
      <c r="D21" s="98">
        <f>Ventas_Unidades!C16*Proyeccion_Ventas!$C$22</f>
        <v>7500</v>
      </c>
      <c r="E21" s="98">
        <f>Ventas_Unidades!D16*Proyeccion_Ventas!$C$22</f>
        <v>7500</v>
      </c>
      <c r="F21" s="98">
        <f>Ventas_Unidades!E16*Proyeccion_Ventas!$C$22</f>
        <v>7500</v>
      </c>
      <c r="G21" s="98">
        <f>Ventas_Unidades!F16*Proyeccion_Ventas!$C$22</f>
        <v>7500</v>
      </c>
      <c r="H21" s="98">
        <f>Ventas_Unidades!G16*Proyeccion_Ventas!$C$22</f>
        <v>7500</v>
      </c>
      <c r="I21" s="98">
        <f>Ventas_Unidades!H16*Proyeccion_Ventas!$C$22</f>
        <v>7500</v>
      </c>
      <c r="J21" s="98">
        <f>Ventas_Unidades!I16*Proyeccion_Ventas!$C$22</f>
        <v>7500</v>
      </c>
      <c r="K21" s="98">
        <f>Ventas_Unidades!J16*Proyeccion_Ventas!$C$22</f>
        <v>7500</v>
      </c>
      <c r="L21" s="98">
        <f>Ventas_Unidades!K16*Proyeccion_Ventas!$C$22</f>
        <v>7500</v>
      </c>
      <c r="M21" s="98">
        <f>Ventas_Unidades!L16*Proyeccion_Ventas!$C$22</f>
        <v>7500</v>
      </c>
      <c r="N21" s="98">
        <f>Ventas_Unidades!M16*Proyeccion_Ventas!$C$22</f>
        <v>7500</v>
      </c>
      <c r="O21" s="98">
        <f>Ventas_Unidades!N16*Proyeccion_Ventas!$C$22</f>
        <v>7500</v>
      </c>
      <c r="P21" s="99">
        <f t="shared" ref="P21:P23" si="1">SUM(D21:O21)</f>
        <v>90000</v>
      </c>
    </row>
    <row r="22" spans="2:16" ht="12.75" customHeight="1" x14ac:dyDescent="0.2">
      <c r="B22" s="96">
        <v>2</v>
      </c>
      <c r="C22" s="97">
        <f t="shared" ref="C22:C23" si="2">C16</f>
        <v>250</v>
      </c>
      <c r="D22" s="98">
        <f>Ventas_Unidades!C17*Proyeccion_Ventas!$C$22</f>
        <v>7500</v>
      </c>
      <c r="E22" s="98">
        <f>Ventas_Unidades!D17*Proyeccion_Ventas!$C$22</f>
        <v>7500</v>
      </c>
      <c r="F22" s="98">
        <f>Ventas_Unidades!E17*Proyeccion_Ventas!$C$22</f>
        <v>7500</v>
      </c>
      <c r="G22" s="98">
        <f>Ventas_Unidades!F17*Proyeccion_Ventas!$C$22</f>
        <v>7500</v>
      </c>
      <c r="H22" s="98">
        <f>Ventas_Unidades!G17*Proyeccion_Ventas!$C$22</f>
        <v>7500</v>
      </c>
      <c r="I22" s="98">
        <f>Ventas_Unidades!H17*Proyeccion_Ventas!$C$22</f>
        <v>7500</v>
      </c>
      <c r="J22" s="98">
        <f>Ventas_Unidades!I17*Proyeccion_Ventas!$C$22</f>
        <v>7500</v>
      </c>
      <c r="K22" s="98">
        <f>Ventas_Unidades!J17*Proyeccion_Ventas!$C$22</f>
        <v>7500</v>
      </c>
      <c r="L22" s="98">
        <f>Ventas_Unidades!K17*Proyeccion_Ventas!$C$22</f>
        <v>7500</v>
      </c>
      <c r="M22" s="98">
        <f>Ventas_Unidades!L17*Proyeccion_Ventas!$C$22</f>
        <v>7500</v>
      </c>
      <c r="N22" s="98">
        <f>Ventas_Unidades!M17*Proyeccion_Ventas!$C$22</f>
        <v>7500</v>
      </c>
      <c r="O22" s="98">
        <f>Ventas_Unidades!N17*Proyeccion_Ventas!$C$22</f>
        <v>7500</v>
      </c>
      <c r="P22" s="99">
        <f t="shared" si="1"/>
        <v>90000</v>
      </c>
    </row>
    <row r="23" spans="2:16" ht="12.75" customHeight="1" thickBot="1" x14ac:dyDescent="0.25">
      <c r="B23" s="100">
        <v>3</v>
      </c>
      <c r="C23" s="97">
        <f t="shared" si="2"/>
        <v>250</v>
      </c>
      <c r="D23" s="98">
        <f>Ventas_Unidades!C18*Proyeccion_Ventas!$C$22</f>
        <v>7500</v>
      </c>
      <c r="E23" s="98">
        <f>Ventas_Unidades!D18*Proyeccion_Ventas!$C$22</f>
        <v>7500</v>
      </c>
      <c r="F23" s="98">
        <f>Ventas_Unidades!E18*Proyeccion_Ventas!$C$22</f>
        <v>7500</v>
      </c>
      <c r="G23" s="98">
        <f>Ventas_Unidades!F18*Proyeccion_Ventas!$C$22</f>
        <v>7500</v>
      </c>
      <c r="H23" s="98">
        <f>Ventas_Unidades!G18*Proyeccion_Ventas!$C$22</f>
        <v>7500</v>
      </c>
      <c r="I23" s="98">
        <f>Ventas_Unidades!H18*Proyeccion_Ventas!$C$22</f>
        <v>7500</v>
      </c>
      <c r="J23" s="98">
        <f>Ventas_Unidades!I18*Proyeccion_Ventas!$C$22</f>
        <v>7500</v>
      </c>
      <c r="K23" s="98">
        <f>Ventas_Unidades!J18*Proyeccion_Ventas!$C$22</f>
        <v>7500</v>
      </c>
      <c r="L23" s="98">
        <f>Ventas_Unidades!K18*Proyeccion_Ventas!$C$22</f>
        <v>7500</v>
      </c>
      <c r="M23" s="98">
        <f>Ventas_Unidades!L18*Proyeccion_Ventas!$C$22</f>
        <v>7500</v>
      </c>
      <c r="N23" s="98">
        <f>Ventas_Unidades!M18*Proyeccion_Ventas!$C$22</f>
        <v>7500</v>
      </c>
      <c r="O23" s="98">
        <f>Ventas_Unidades!N18*Proyeccion_Ventas!$C$22</f>
        <v>7500</v>
      </c>
      <c r="P23" s="102">
        <f t="shared" si="1"/>
        <v>90000</v>
      </c>
    </row>
    <row r="24" spans="2:16" ht="12.75" customHeight="1" x14ac:dyDescent="0.2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2:16" ht="12.75" customHeight="1" x14ac:dyDescent="0.2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16" ht="12.75" customHeight="1" x14ac:dyDescent="0.2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2:16" ht="12.75" customHeight="1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16" ht="12.75" customHeight="1" x14ac:dyDescent="0.2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16" ht="12.75" customHeight="1" x14ac:dyDescent="0.2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6" ht="12.75" customHeight="1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2:16" ht="12.75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2:16" ht="12.75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3:15" ht="12.75" customHeight="1" x14ac:dyDescent="0.2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3:15" ht="12.75" customHeight="1" x14ac:dyDescent="0.2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3:15" ht="12.75" customHeight="1" x14ac:dyDescent="0.2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3:15" ht="12.75" customHeight="1" x14ac:dyDescent="0.2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3:15" ht="12.75" customHeight="1" x14ac:dyDescent="0.2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3:15" ht="12.75" customHeight="1" x14ac:dyDescent="0.2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3:15" ht="12.75" customHeight="1" x14ac:dyDescent="0.2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3:15" ht="12.75" customHeight="1" x14ac:dyDescent="0.2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3:15" ht="12.75" customHeight="1" x14ac:dyDescent="0.2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3:15" ht="12.75" customHeight="1" x14ac:dyDescent="0.2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3:15" ht="12.75" customHeight="1" x14ac:dyDescent="0.2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3:15" ht="12.75" customHeight="1" x14ac:dyDescent="0.2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3:15" ht="12.75" customHeight="1" x14ac:dyDescent="0.2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3:15" ht="12.75" customHeight="1" x14ac:dyDescent="0.2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3:15" ht="12.75" customHeight="1" x14ac:dyDescent="0.2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3:15" ht="12.75" customHeight="1" x14ac:dyDescent="0.2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3:15" ht="12.75" customHeight="1" x14ac:dyDescent="0.2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3:15" ht="12.75" customHeight="1" x14ac:dyDescent="0.2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3:15" ht="12.75" customHeight="1" x14ac:dyDescent="0.2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3:15" ht="12.75" customHeight="1" x14ac:dyDescent="0.2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3:15" ht="12.75" customHeight="1" x14ac:dyDescent="0.2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3:15" ht="12.75" customHeight="1" x14ac:dyDescent="0.2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3:15" ht="12.75" customHeight="1" x14ac:dyDescent="0.2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3:15" ht="12.75" customHeight="1" x14ac:dyDescent="0.2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3:15" ht="12.75" customHeight="1" x14ac:dyDescent="0.2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3:15" ht="12.75" customHeight="1" x14ac:dyDescent="0.2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3:15" ht="12.75" customHeight="1" x14ac:dyDescent="0.2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3:15" ht="12.75" customHeight="1" x14ac:dyDescent="0.2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3:15" ht="12.75" customHeight="1" x14ac:dyDescent="0.2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3:15" ht="12.75" customHeight="1" x14ac:dyDescent="0.2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3:15" ht="12.75" customHeight="1" x14ac:dyDescent="0.2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3:15" ht="12.75" customHeight="1" x14ac:dyDescent="0.2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3:15" ht="12.75" customHeight="1" x14ac:dyDescent="0.2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3:15" ht="12.75" customHeight="1" x14ac:dyDescent="0.2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3:15" ht="12.75" customHeight="1" x14ac:dyDescent="0.2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3:15" ht="12.75" customHeight="1" x14ac:dyDescent="0.2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3:15" ht="12.75" customHeight="1" x14ac:dyDescent="0.2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3:15" ht="12.75" customHeight="1" x14ac:dyDescent="0.2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3:15" ht="12.75" customHeight="1" x14ac:dyDescent="0.2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3:15" ht="12.75" customHeight="1" x14ac:dyDescent="0.2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3:15" ht="12.75" customHeight="1" x14ac:dyDescent="0.2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3:15" ht="12.75" customHeight="1" x14ac:dyDescent="0.2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3:15" ht="12.75" customHeight="1" x14ac:dyDescent="0.2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3:15" ht="12.75" customHeight="1" x14ac:dyDescent="0.2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3:15" ht="12.75" customHeight="1" x14ac:dyDescent="0.2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3:15" ht="12.75" customHeight="1" x14ac:dyDescent="0.2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3:15" ht="12.75" customHeight="1" x14ac:dyDescent="0.2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3:15" ht="12.75" customHeight="1" x14ac:dyDescent="0.2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3:15" ht="12.75" customHeight="1" x14ac:dyDescent="0.2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3:15" ht="12.75" customHeight="1" x14ac:dyDescent="0.2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3:15" ht="12.75" customHeight="1" x14ac:dyDescent="0.2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3:15" ht="12.75" customHeight="1" x14ac:dyDescent="0.2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3:15" ht="12.75" customHeight="1" x14ac:dyDescent="0.2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3:15" ht="12.75" customHeight="1" x14ac:dyDescent="0.2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spans="3:15" ht="12.75" customHeight="1" x14ac:dyDescent="0.2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3:15" ht="12.75" customHeight="1" x14ac:dyDescent="0.2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3:15" ht="12.75" customHeight="1" x14ac:dyDescent="0.2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3:15" ht="12.75" customHeight="1" x14ac:dyDescent="0.2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3:15" ht="12.75" customHeight="1" x14ac:dyDescent="0.2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spans="3:15" ht="12.75" customHeight="1" x14ac:dyDescent="0.2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spans="3:15" ht="12.75" customHeight="1" x14ac:dyDescent="0.2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3:15" ht="12.75" customHeight="1" x14ac:dyDescent="0.2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spans="3:15" ht="12.75" customHeight="1" x14ac:dyDescent="0.2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spans="3:15" ht="12.75" customHeight="1" x14ac:dyDescent="0.2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3:15" ht="12.75" customHeight="1" x14ac:dyDescent="0.2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spans="3:15" ht="12.75" customHeight="1" x14ac:dyDescent="0.2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3:15" ht="12.75" customHeight="1" x14ac:dyDescent="0.2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spans="3:15" ht="12.75" customHeight="1" x14ac:dyDescent="0.2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3:15" ht="12.75" customHeight="1" x14ac:dyDescent="0.2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3:15" ht="12.75" customHeight="1" x14ac:dyDescent="0.2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3:15" ht="12.75" customHeight="1" x14ac:dyDescent="0.2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3:15" ht="12.75" customHeight="1" x14ac:dyDescent="0.2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3:15" ht="12.75" customHeight="1" x14ac:dyDescent="0.2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3:15" ht="12.75" customHeight="1" x14ac:dyDescent="0.2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3:15" ht="12.75" customHeight="1" x14ac:dyDescent="0.2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3:15" ht="12.75" customHeight="1" x14ac:dyDescent="0.2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3:15" ht="12.75" customHeight="1" x14ac:dyDescent="0.2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3:15" ht="12.75" customHeight="1" x14ac:dyDescent="0.2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3:15" ht="12.75" customHeight="1" x14ac:dyDescent="0.2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3:15" ht="12.75" customHeight="1" x14ac:dyDescent="0.2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3:15" ht="12.75" customHeight="1" x14ac:dyDescent="0.2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3:15" ht="12.75" customHeight="1" x14ac:dyDescent="0.2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3:15" ht="12.75" customHeight="1" x14ac:dyDescent="0.2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3:15" ht="12.75" customHeight="1" x14ac:dyDescent="0.2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3:15" ht="12.75" customHeight="1" x14ac:dyDescent="0.2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3:15" ht="12.75" customHeight="1" x14ac:dyDescent="0.2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3:15" ht="12.75" customHeight="1" x14ac:dyDescent="0.2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3:15" ht="12.75" customHeight="1" x14ac:dyDescent="0.2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3:15" ht="12.75" customHeight="1" x14ac:dyDescent="0.2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3:15" ht="12.75" customHeight="1" x14ac:dyDescent="0.2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3:15" ht="12.75" customHeight="1" x14ac:dyDescent="0.2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3:15" ht="12.75" customHeight="1" x14ac:dyDescent="0.2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3:15" ht="12.75" customHeight="1" x14ac:dyDescent="0.2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3:15" ht="12.75" customHeight="1" x14ac:dyDescent="0.2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3:15" ht="12.75" customHeight="1" x14ac:dyDescent="0.2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3:15" ht="12.75" customHeight="1" x14ac:dyDescent="0.2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3:15" ht="12.75" customHeight="1" x14ac:dyDescent="0.2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3:15" ht="12.75" customHeight="1" x14ac:dyDescent="0.2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3:15" ht="12.75" customHeight="1" x14ac:dyDescent="0.2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3:15" ht="12.75" customHeight="1" x14ac:dyDescent="0.2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3:15" ht="12.75" customHeight="1" x14ac:dyDescent="0.2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3:15" ht="12.75" customHeight="1" x14ac:dyDescent="0.2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3:15" ht="12.75" customHeight="1" x14ac:dyDescent="0.2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3:15" ht="12.75" customHeight="1" x14ac:dyDescent="0.2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3:15" ht="12.75" customHeight="1" x14ac:dyDescent="0.2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3:15" ht="12.75" customHeight="1" x14ac:dyDescent="0.2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3:15" ht="12.75" customHeight="1" x14ac:dyDescent="0.2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3:15" ht="12.75" customHeight="1" x14ac:dyDescent="0.2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3:15" ht="12.75" customHeight="1" x14ac:dyDescent="0.2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3:15" ht="12.75" customHeight="1" x14ac:dyDescent="0.2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3:15" ht="12.75" customHeight="1" x14ac:dyDescent="0.2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3:15" ht="12.75" customHeight="1" x14ac:dyDescent="0.2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3:15" ht="12.75" customHeight="1" x14ac:dyDescent="0.2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3:15" ht="12.75" customHeight="1" x14ac:dyDescent="0.2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3:15" ht="12.75" customHeight="1" x14ac:dyDescent="0.2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3:15" ht="12.75" customHeight="1" x14ac:dyDescent="0.2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3:15" ht="12.75" customHeight="1" x14ac:dyDescent="0.2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3:15" ht="12.75" customHeight="1" x14ac:dyDescent="0.2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3:15" ht="12.75" customHeight="1" x14ac:dyDescent="0.2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3:15" ht="12.75" customHeight="1" x14ac:dyDescent="0.2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3:15" ht="12.75" customHeight="1" x14ac:dyDescent="0.2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3:15" ht="12.75" customHeight="1" x14ac:dyDescent="0.2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3:15" ht="12.75" customHeight="1" x14ac:dyDescent="0.2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3:15" ht="12.75" customHeight="1" x14ac:dyDescent="0.2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3:15" ht="12.75" customHeight="1" x14ac:dyDescent="0.2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3:15" ht="12.75" customHeight="1" x14ac:dyDescent="0.2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3:15" ht="12.75" customHeight="1" x14ac:dyDescent="0.2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3:15" ht="12.75" customHeight="1" x14ac:dyDescent="0.2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3:15" ht="12.75" customHeight="1" x14ac:dyDescent="0.2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3:15" ht="12.75" customHeight="1" x14ac:dyDescent="0.2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3:15" ht="12.75" customHeight="1" x14ac:dyDescent="0.2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3:15" ht="12.75" customHeight="1" x14ac:dyDescent="0.2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3:15" ht="12.75" customHeight="1" x14ac:dyDescent="0.2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3:15" ht="12.75" customHeight="1" x14ac:dyDescent="0.2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3:15" ht="12.75" customHeight="1" x14ac:dyDescent="0.2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3:15" ht="12.75" customHeight="1" x14ac:dyDescent="0.2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3:15" ht="12.75" customHeight="1" x14ac:dyDescent="0.2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3:15" ht="12.75" customHeight="1" x14ac:dyDescent="0.2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3:15" ht="12.75" customHeight="1" x14ac:dyDescent="0.2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3:15" ht="12.75" customHeight="1" x14ac:dyDescent="0.2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3:15" ht="12.75" customHeight="1" x14ac:dyDescent="0.2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3:15" ht="12.75" customHeight="1" x14ac:dyDescent="0.2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3:15" ht="12.75" customHeight="1" x14ac:dyDescent="0.2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3:15" ht="12.75" customHeight="1" x14ac:dyDescent="0.2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3:15" ht="12.75" customHeight="1" x14ac:dyDescent="0.2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3:15" ht="12.75" customHeight="1" x14ac:dyDescent="0.2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3:15" ht="12.75" customHeight="1" x14ac:dyDescent="0.2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3:15" ht="12.75" customHeight="1" x14ac:dyDescent="0.2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3:15" ht="12.75" customHeight="1" x14ac:dyDescent="0.2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3:15" ht="12.75" customHeight="1" x14ac:dyDescent="0.2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3:15" ht="12.75" customHeight="1" x14ac:dyDescent="0.2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3:15" ht="12.75" customHeight="1" x14ac:dyDescent="0.2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3:15" ht="12.75" customHeight="1" x14ac:dyDescent="0.2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3:15" ht="12.75" customHeight="1" x14ac:dyDescent="0.2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3:15" ht="12.75" customHeight="1" x14ac:dyDescent="0.2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3:15" ht="12.75" customHeight="1" x14ac:dyDescent="0.2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3:15" ht="12.75" customHeight="1" x14ac:dyDescent="0.2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3:15" ht="12.75" customHeight="1" x14ac:dyDescent="0.2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3:15" ht="12.75" customHeight="1" x14ac:dyDescent="0.2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3:15" ht="12.75" customHeight="1" x14ac:dyDescent="0.2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3:15" ht="12.75" customHeight="1" x14ac:dyDescent="0.2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3:15" ht="12.75" customHeight="1" x14ac:dyDescent="0.2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3:15" ht="12.75" customHeight="1" x14ac:dyDescent="0.2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3:15" ht="12.75" customHeight="1" x14ac:dyDescent="0.2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3:15" ht="12.75" customHeight="1" x14ac:dyDescent="0.2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3:15" ht="12.75" customHeight="1" x14ac:dyDescent="0.2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3:15" ht="12.75" customHeight="1" x14ac:dyDescent="0.2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3:15" ht="12.75" customHeight="1" x14ac:dyDescent="0.2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3:15" ht="12.75" customHeight="1" x14ac:dyDescent="0.2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3:15" ht="12.75" customHeight="1" x14ac:dyDescent="0.2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3:15" ht="12.75" customHeight="1" x14ac:dyDescent="0.2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3:15" ht="12.75" customHeight="1" x14ac:dyDescent="0.2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3:15" ht="12.75" customHeight="1" x14ac:dyDescent="0.2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3:15" ht="12.75" customHeight="1" x14ac:dyDescent="0.2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3:15" ht="12.75" customHeight="1" x14ac:dyDescent="0.2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3:15" ht="12.75" customHeight="1" x14ac:dyDescent="0.2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3:15" ht="12.75" customHeight="1" x14ac:dyDescent="0.2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3:15" ht="12.75" customHeight="1" x14ac:dyDescent="0.2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3:15" ht="12.75" customHeight="1" x14ac:dyDescent="0.2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3:15" ht="12.75" customHeight="1" x14ac:dyDescent="0.2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3:15" ht="12.75" customHeight="1" x14ac:dyDescent="0.2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3:15" ht="12.75" customHeight="1" x14ac:dyDescent="0.2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3:15" ht="12.75" customHeight="1" x14ac:dyDescent="0.2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3:15" ht="12.75" customHeight="1" x14ac:dyDescent="0.2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3:15" ht="12.75" customHeight="1" x14ac:dyDescent="0.2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3:15" ht="12.75" customHeight="1" x14ac:dyDescent="0.2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3:15" ht="12.75" customHeight="1" x14ac:dyDescent="0.2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3:15" ht="12.75" customHeight="1" x14ac:dyDescent="0.2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</sheetData>
  <mergeCells count="2">
    <mergeCell ref="B10:P10"/>
    <mergeCell ref="B12:P1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47"/>
  <sheetViews>
    <sheetView topLeftCell="A30" zoomScale="115" zoomScaleNormal="115" workbookViewId="0">
      <selection activeCell="D45" sqref="D45"/>
    </sheetView>
  </sheetViews>
  <sheetFormatPr baseColWidth="10" defaultColWidth="14.42578125" defaultRowHeight="15" customHeight="1" x14ac:dyDescent="0.2"/>
  <cols>
    <col min="1" max="1" width="4.5703125" customWidth="1"/>
    <col min="2" max="2" width="27.42578125" customWidth="1"/>
    <col min="3" max="3" width="10.7109375" customWidth="1"/>
    <col min="4" max="4" width="12.5703125" customWidth="1"/>
    <col min="5" max="5" width="14.140625" customWidth="1"/>
    <col min="6" max="6" width="10.140625" customWidth="1"/>
    <col min="7" max="7" width="5.85546875" customWidth="1"/>
    <col min="8" max="21" width="10" customWidth="1"/>
  </cols>
  <sheetData>
    <row r="1" spans="1:21" ht="12.75" customHeight="1" x14ac:dyDescent="0.2">
      <c r="G1" s="25"/>
    </row>
    <row r="2" spans="1:21" ht="13.5" customHeight="1" thickBot="1" x14ac:dyDescent="0.25">
      <c r="B2" s="400" t="s">
        <v>33</v>
      </c>
      <c r="C2" s="401"/>
      <c r="D2" s="401"/>
      <c r="E2" s="401"/>
      <c r="F2" s="401"/>
      <c r="G2" s="25"/>
    </row>
    <row r="3" spans="1:21" ht="25.5" customHeight="1" thickBot="1" x14ac:dyDescent="0.25">
      <c r="A3" s="27"/>
      <c r="B3" s="239" t="s">
        <v>34</v>
      </c>
      <c r="C3" s="240" t="s">
        <v>35</v>
      </c>
      <c r="D3" s="240" t="s">
        <v>36</v>
      </c>
      <c r="E3" s="240" t="s">
        <v>37</v>
      </c>
      <c r="F3" s="241" t="s">
        <v>38</v>
      </c>
      <c r="G3" s="2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2.75" hidden="1" customHeight="1" x14ac:dyDescent="0.2">
      <c r="A4" s="27"/>
      <c r="B4" s="242" t="s">
        <v>39</v>
      </c>
      <c r="C4" s="243"/>
      <c r="D4" s="244"/>
      <c r="E4" s="244"/>
      <c r="F4" s="245">
        <f>F18+F25</f>
        <v>16880</v>
      </c>
      <c r="G4" s="28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2.75" hidden="1" customHeight="1" x14ac:dyDescent="0.2">
      <c r="B5" s="246" t="s">
        <v>40</v>
      </c>
      <c r="C5" s="104"/>
      <c r="D5" s="105"/>
      <c r="E5" s="105"/>
      <c r="F5" s="247"/>
    </row>
    <row r="6" spans="1:21" ht="12.75" customHeight="1" x14ac:dyDescent="0.2">
      <c r="B6" s="402" t="s">
        <v>193</v>
      </c>
      <c r="C6" s="403"/>
      <c r="D6" s="403"/>
      <c r="E6" s="403"/>
      <c r="F6" s="116">
        <f>SUM(F7:F11)</f>
        <v>8450</v>
      </c>
    </row>
    <row r="7" spans="1:21" ht="12" customHeight="1" x14ac:dyDescent="0.2">
      <c r="B7" s="248" t="s">
        <v>41</v>
      </c>
      <c r="C7" s="249">
        <v>2500</v>
      </c>
      <c r="D7" s="250">
        <v>1</v>
      </c>
      <c r="E7" s="250" t="s">
        <v>42</v>
      </c>
      <c r="F7" s="197">
        <f t="shared" ref="F7:F11" si="0">C7*D7</f>
        <v>2500</v>
      </c>
    </row>
    <row r="8" spans="1:21" ht="13.5" customHeight="1" x14ac:dyDescent="0.2">
      <c r="B8" s="248" t="s">
        <v>43</v>
      </c>
      <c r="C8" s="249">
        <v>650</v>
      </c>
      <c r="D8" s="250">
        <v>1</v>
      </c>
      <c r="E8" s="250" t="s">
        <v>42</v>
      </c>
      <c r="F8" s="197">
        <f t="shared" si="0"/>
        <v>650</v>
      </c>
    </row>
    <row r="9" spans="1:21" ht="13.5" customHeight="1" x14ac:dyDescent="0.2">
      <c r="B9" s="248" t="s">
        <v>44</v>
      </c>
      <c r="C9" s="249">
        <v>1500</v>
      </c>
      <c r="D9" s="250">
        <v>1</v>
      </c>
      <c r="E9" s="250" t="s">
        <v>42</v>
      </c>
      <c r="F9" s="197">
        <f t="shared" si="0"/>
        <v>1500</v>
      </c>
    </row>
    <row r="10" spans="1:21" ht="13.5" customHeight="1" x14ac:dyDescent="0.2">
      <c r="B10" s="248" t="s">
        <v>45</v>
      </c>
      <c r="C10" s="249">
        <v>600</v>
      </c>
      <c r="D10" s="250">
        <v>1</v>
      </c>
      <c r="E10" s="250" t="s">
        <v>42</v>
      </c>
      <c r="F10" s="197">
        <f t="shared" si="0"/>
        <v>600</v>
      </c>
    </row>
    <row r="11" spans="1:21" ht="13.5" customHeight="1" x14ac:dyDescent="0.2">
      <c r="B11" s="248" t="s">
        <v>46</v>
      </c>
      <c r="C11" s="249">
        <v>3200</v>
      </c>
      <c r="D11" s="250">
        <v>1</v>
      </c>
      <c r="E11" s="250" t="s">
        <v>42</v>
      </c>
      <c r="F11" s="197">
        <f t="shared" si="0"/>
        <v>3200</v>
      </c>
    </row>
    <row r="12" spans="1:21" ht="12.75" customHeight="1" x14ac:dyDescent="0.2">
      <c r="B12" s="402" t="s">
        <v>47</v>
      </c>
      <c r="C12" s="403"/>
      <c r="D12" s="403"/>
      <c r="E12" s="403"/>
      <c r="F12" s="116">
        <f>SUM(F13:F17)</f>
        <v>5210</v>
      </c>
    </row>
    <row r="13" spans="1:21" ht="11.25" customHeight="1" x14ac:dyDescent="0.2">
      <c r="B13" s="248" t="s">
        <v>48</v>
      </c>
      <c r="C13" s="249">
        <v>130</v>
      </c>
      <c r="D13" s="250">
        <v>30</v>
      </c>
      <c r="E13" s="250" t="s">
        <v>42</v>
      </c>
      <c r="F13" s="197">
        <f t="shared" ref="F13:F17" si="1">C13*D13</f>
        <v>3900</v>
      </c>
    </row>
    <row r="14" spans="1:21" ht="13.5" customHeight="1" x14ac:dyDescent="0.2">
      <c r="B14" s="248" t="s">
        <v>49</v>
      </c>
      <c r="C14" s="249">
        <v>800</v>
      </c>
      <c r="D14" s="250">
        <v>1</v>
      </c>
      <c r="E14" s="250" t="s">
        <v>42</v>
      </c>
      <c r="F14" s="197">
        <f t="shared" si="1"/>
        <v>800</v>
      </c>
    </row>
    <row r="15" spans="1:21" ht="12" customHeight="1" x14ac:dyDescent="0.2">
      <c r="B15" s="248" t="s">
        <v>50</v>
      </c>
      <c r="C15" s="249">
        <v>260</v>
      </c>
      <c r="D15" s="250">
        <v>1</v>
      </c>
      <c r="E15" s="250" t="s">
        <v>42</v>
      </c>
      <c r="F15" s="197">
        <f t="shared" si="1"/>
        <v>260</v>
      </c>
    </row>
    <row r="16" spans="1:21" ht="12" customHeight="1" x14ac:dyDescent="0.2">
      <c r="B16" s="248" t="s">
        <v>51</v>
      </c>
      <c r="C16" s="249">
        <v>50</v>
      </c>
      <c r="D16" s="250">
        <v>1</v>
      </c>
      <c r="E16" s="250" t="s">
        <v>42</v>
      </c>
      <c r="F16" s="197">
        <f t="shared" si="1"/>
        <v>50</v>
      </c>
    </row>
    <row r="17" spans="2:6" ht="15.75" customHeight="1" x14ac:dyDescent="0.2">
      <c r="B17" s="248" t="s">
        <v>52</v>
      </c>
      <c r="C17" s="249">
        <v>200</v>
      </c>
      <c r="D17" s="250">
        <v>1</v>
      </c>
      <c r="E17" s="250" t="s">
        <v>42</v>
      </c>
      <c r="F17" s="197">
        <f t="shared" si="1"/>
        <v>200</v>
      </c>
    </row>
    <row r="18" spans="2:6" ht="18" customHeight="1" x14ac:dyDescent="0.2">
      <c r="B18" s="394" t="s">
        <v>53</v>
      </c>
      <c r="C18" s="395"/>
      <c r="D18" s="395"/>
      <c r="E18" s="396"/>
      <c r="F18" s="106">
        <f>F6+F12</f>
        <v>13660</v>
      </c>
    </row>
    <row r="19" spans="2:6" ht="16.5" customHeight="1" x14ac:dyDescent="0.2">
      <c r="B19" s="246" t="s">
        <v>54</v>
      </c>
      <c r="C19" s="251"/>
      <c r="D19" s="252"/>
      <c r="E19" s="252"/>
      <c r="F19" s="253"/>
    </row>
    <row r="20" spans="2:6" ht="18" customHeight="1" x14ac:dyDescent="0.2">
      <c r="B20" s="248" t="s">
        <v>55</v>
      </c>
      <c r="C20" s="254">
        <v>150</v>
      </c>
      <c r="D20" s="250">
        <v>1</v>
      </c>
      <c r="E20" s="250" t="s">
        <v>56</v>
      </c>
      <c r="F20" s="197">
        <f t="shared" ref="F20:F24" si="2">C20*D20</f>
        <v>150</v>
      </c>
    </row>
    <row r="21" spans="2:6" ht="18" customHeight="1" x14ac:dyDescent="0.2">
      <c r="B21" s="248" t="s">
        <v>57</v>
      </c>
      <c r="C21" s="254">
        <v>220</v>
      </c>
      <c r="D21" s="250">
        <v>1</v>
      </c>
      <c r="E21" s="250" t="s">
        <v>56</v>
      </c>
      <c r="F21" s="197">
        <f t="shared" si="2"/>
        <v>220</v>
      </c>
    </row>
    <row r="22" spans="2:6" ht="18" customHeight="1" x14ac:dyDescent="0.2">
      <c r="B22" s="248" t="s">
        <v>58</v>
      </c>
      <c r="C22" s="254">
        <v>2000</v>
      </c>
      <c r="D22" s="250">
        <v>1</v>
      </c>
      <c r="E22" s="250" t="s">
        <v>56</v>
      </c>
      <c r="F22" s="197">
        <f t="shared" si="2"/>
        <v>2000</v>
      </c>
    </row>
    <row r="23" spans="2:6" ht="18" customHeight="1" x14ac:dyDescent="0.2">
      <c r="B23" s="248" t="s">
        <v>59</v>
      </c>
      <c r="C23" s="254">
        <v>500</v>
      </c>
      <c r="D23" s="250">
        <v>1</v>
      </c>
      <c r="E23" s="250" t="s">
        <v>56</v>
      </c>
      <c r="F23" s="197">
        <f t="shared" si="2"/>
        <v>500</v>
      </c>
    </row>
    <row r="24" spans="2:6" ht="28.5" customHeight="1" x14ac:dyDescent="0.2">
      <c r="B24" s="248" t="s">
        <v>60</v>
      </c>
      <c r="C24" s="254">
        <v>350</v>
      </c>
      <c r="D24" s="250">
        <v>1</v>
      </c>
      <c r="E24" s="250" t="s">
        <v>56</v>
      </c>
      <c r="F24" s="197">
        <f t="shared" si="2"/>
        <v>350</v>
      </c>
    </row>
    <row r="25" spans="2:6" ht="26.25" customHeight="1" x14ac:dyDescent="0.2">
      <c r="B25" s="394" t="s">
        <v>61</v>
      </c>
      <c r="C25" s="395"/>
      <c r="D25" s="395"/>
      <c r="E25" s="396"/>
      <c r="F25" s="196">
        <f>SUM(F20:F24)</f>
        <v>3220</v>
      </c>
    </row>
    <row r="26" spans="2:6" ht="18" customHeight="1" x14ac:dyDescent="0.2">
      <c r="B26" s="397" t="s">
        <v>226</v>
      </c>
      <c r="C26" s="398"/>
      <c r="D26" s="398"/>
      <c r="E26" s="398"/>
      <c r="F26" s="399"/>
    </row>
    <row r="27" spans="2:6" ht="12.75" customHeight="1" x14ac:dyDescent="0.2">
      <c r="B27" s="404" t="s">
        <v>62</v>
      </c>
      <c r="C27" s="405"/>
      <c r="D27" s="405"/>
      <c r="E27" s="406"/>
      <c r="F27" s="116">
        <f>SUM(F28:F33)</f>
        <v>275</v>
      </c>
    </row>
    <row r="28" spans="2:6" ht="10.5" customHeight="1" x14ac:dyDescent="0.2">
      <c r="B28" s="248" t="s">
        <v>63</v>
      </c>
      <c r="C28" s="254">
        <v>105</v>
      </c>
      <c r="D28" s="250">
        <v>1</v>
      </c>
      <c r="E28" s="250" t="s">
        <v>64</v>
      </c>
      <c r="F28" s="197">
        <f t="shared" ref="F28:F33" si="3">C28*D28</f>
        <v>105</v>
      </c>
    </row>
    <row r="29" spans="2:6" ht="11.25" customHeight="1" x14ac:dyDescent="0.2">
      <c r="B29" s="248" t="s">
        <v>65</v>
      </c>
      <c r="C29" s="249">
        <v>10</v>
      </c>
      <c r="D29" s="250">
        <v>1</v>
      </c>
      <c r="E29" s="250" t="s">
        <v>66</v>
      </c>
      <c r="F29" s="197">
        <f t="shared" si="3"/>
        <v>10</v>
      </c>
    </row>
    <row r="30" spans="2:6" ht="11.25" customHeight="1" x14ac:dyDescent="0.2">
      <c r="B30" s="248" t="s">
        <v>67</v>
      </c>
      <c r="C30" s="249">
        <v>10</v>
      </c>
      <c r="D30" s="250">
        <v>1</v>
      </c>
      <c r="E30" s="250" t="s">
        <v>68</v>
      </c>
      <c r="F30" s="197">
        <f t="shared" si="3"/>
        <v>10</v>
      </c>
    </row>
    <row r="31" spans="2:6" ht="11.25" customHeight="1" x14ac:dyDescent="0.2">
      <c r="B31" s="248" t="s">
        <v>69</v>
      </c>
      <c r="C31" s="249">
        <v>110</v>
      </c>
      <c r="D31" s="250">
        <v>1</v>
      </c>
      <c r="E31" s="250" t="s">
        <v>70</v>
      </c>
      <c r="F31" s="197">
        <f t="shared" si="3"/>
        <v>110</v>
      </c>
    </row>
    <row r="32" spans="2:6" ht="11.25" customHeight="1" x14ac:dyDescent="0.2">
      <c r="B32" s="248" t="s">
        <v>71</v>
      </c>
      <c r="C32" s="249">
        <v>30</v>
      </c>
      <c r="D32" s="250">
        <v>1</v>
      </c>
      <c r="E32" s="250" t="s">
        <v>72</v>
      </c>
      <c r="F32" s="197">
        <f t="shared" si="3"/>
        <v>30</v>
      </c>
    </row>
    <row r="33" spans="2:6" ht="11.25" customHeight="1" x14ac:dyDescent="0.2">
      <c r="B33" s="248" t="s">
        <v>73</v>
      </c>
      <c r="C33" s="249">
        <v>10</v>
      </c>
      <c r="D33" s="250">
        <v>1</v>
      </c>
      <c r="E33" s="250" t="s">
        <v>208</v>
      </c>
      <c r="F33" s="197">
        <f t="shared" si="3"/>
        <v>10</v>
      </c>
    </row>
    <row r="34" spans="2:6" ht="11.25" customHeight="1" x14ac:dyDescent="0.2">
      <c r="B34" s="404" t="s">
        <v>74</v>
      </c>
      <c r="C34" s="405"/>
      <c r="D34" s="405"/>
      <c r="E34" s="406"/>
      <c r="F34" s="116">
        <f>SUM(F35:F36)</f>
        <v>2385</v>
      </c>
    </row>
    <row r="35" spans="2:6" ht="11.25" customHeight="1" x14ac:dyDescent="0.2">
      <c r="B35" s="248" t="s">
        <v>227</v>
      </c>
      <c r="C35" s="249">
        <f>Costos_Producción!F15</f>
        <v>945</v>
      </c>
      <c r="D35" s="250">
        <v>1</v>
      </c>
      <c r="E35" s="250" t="s">
        <v>75</v>
      </c>
      <c r="F35" s="197">
        <f t="shared" ref="F35" si="4">C35*D35</f>
        <v>945</v>
      </c>
    </row>
    <row r="36" spans="2:6" ht="14.25" customHeight="1" x14ac:dyDescent="0.2">
      <c r="B36" s="248" t="s">
        <v>76</v>
      </c>
      <c r="C36" s="249">
        <f>+Resumen!H13</f>
        <v>30</v>
      </c>
      <c r="D36" s="250">
        <v>24</v>
      </c>
      <c r="E36" s="250" t="s">
        <v>259</v>
      </c>
      <c r="F36" s="197">
        <f>C36*D36*2</f>
        <v>1440</v>
      </c>
    </row>
    <row r="37" spans="2:6" ht="11.25" customHeight="1" x14ac:dyDescent="0.2">
      <c r="B37" s="404" t="s">
        <v>77</v>
      </c>
      <c r="C37" s="405"/>
      <c r="D37" s="405"/>
      <c r="E37" s="406"/>
      <c r="F37" s="116">
        <f>SUM(F38:F41)</f>
        <v>465</v>
      </c>
    </row>
    <row r="38" spans="2:6" ht="11.25" customHeight="1" x14ac:dyDescent="0.2">
      <c r="B38" s="248" t="s">
        <v>78</v>
      </c>
      <c r="C38" s="249">
        <v>20</v>
      </c>
      <c r="D38" s="250">
        <v>1</v>
      </c>
      <c r="E38" s="250" t="s">
        <v>79</v>
      </c>
      <c r="F38" s="197">
        <f>C38*D38</f>
        <v>20</v>
      </c>
    </row>
    <row r="39" spans="2:6" ht="11.25" customHeight="1" x14ac:dyDescent="0.2">
      <c r="B39" s="248" t="s">
        <v>80</v>
      </c>
      <c r="C39" s="249">
        <v>120</v>
      </c>
      <c r="D39" s="250">
        <v>1</v>
      </c>
      <c r="E39" s="250" t="s">
        <v>79</v>
      </c>
      <c r="F39" s="197">
        <f t="shared" ref="F39:F41" si="5">C39*D39</f>
        <v>120</v>
      </c>
    </row>
    <row r="40" spans="2:6" ht="11.25" customHeight="1" x14ac:dyDescent="0.2">
      <c r="B40" s="248" t="s">
        <v>81</v>
      </c>
      <c r="C40" s="249">
        <v>25</v>
      </c>
      <c r="D40" s="250">
        <v>1</v>
      </c>
      <c r="E40" s="250" t="s">
        <v>79</v>
      </c>
      <c r="F40" s="197">
        <f t="shared" si="5"/>
        <v>25</v>
      </c>
    </row>
    <row r="41" spans="2:6" ht="11.25" customHeight="1" x14ac:dyDescent="0.2">
      <c r="B41" s="248" t="s">
        <v>82</v>
      </c>
      <c r="C41" s="249">
        <v>300</v>
      </c>
      <c r="D41" s="250">
        <v>1</v>
      </c>
      <c r="E41" s="250" t="s">
        <v>79</v>
      </c>
      <c r="F41" s="197">
        <f t="shared" si="5"/>
        <v>300</v>
      </c>
    </row>
    <row r="42" spans="2:6" ht="13.5" customHeight="1" x14ac:dyDescent="0.2">
      <c r="B42" s="388" t="s">
        <v>83</v>
      </c>
      <c r="C42" s="389"/>
      <c r="D42" s="389"/>
      <c r="E42" s="390"/>
      <c r="F42" s="114">
        <f>F27+F34+F37</f>
        <v>3125</v>
      </c>
    </row>
    <row r="43" spans="2:6" ht="13.5" customHeight="1" thickBot="1" x14ac:dyDescent="0.25">
      <c r="B43" s="391" t="s">
        <v>84</v>
      </c>
      <c r="C43" s="392"/>
      <c r="D43" s="392"/>
      <c r="E43" s="393"/>
      <c r="F43" s="115">
        <f>F18+F25+F42</f>
        <v>20005</v>
      </c>
    </row>
    <row r="44" spans="2:6" ht="12.75" customHeight="1" x14ac:dyDescent="0.2">
      <c r="B44" s="31"/>
      <c r="C44" s="32"/>
    </row>
    <row r="45" spans="2:6" ht="12.75" customHeight="1" x14ac:dyDescent="0.2">
      <c r="B45" s="31"/>
      <c r="C45" s="341" t="s">
        <v>285</v>
      </c>
      <c r="D45" s="342">
        <f>E45/E47</f>
        <v>0.15621094726318421</v>
      </c>
      <c r="E45" s="358">
        <f>F42</f>
        <v>3125</v>
      </c>
    </row>
    <row r="46" spans="2:6" ht="12.75" customHeight="1" x14ac:dyDescent="0.2">
      <c r="C46" s="341" t="s">
        <v>286</v>
      </c>
      <c r="D46" s="342">
        <f>1-D45</f>
        <v>0.84378905273681581</v>
      </c>
      <c r="E46" s="358">
        <f>F43-F42</f>
        <v>16880</v>
      </c>
    </row>
    <row r="47" spans="2:6" ht="12.75" customHeight="1" x14ac:dyDescent="0.2">
      <c r="C47" s="32"/>
      <c r="E47" s="358">
        <f>E45+E46</f>
        <v>20005</v>
      </c>
    </row>
    <row r="48" spans="2:6" ht="12.75" customHeight="1" x14ac:dyDescent="0.2">
      <c r="C48" s="32"/>
      <c r="F48">
        <f>E45/E46</f>
        <v>0.18513033175355451</v>
      </c>
    </row>
    <row r="49" spans="2:3" ht="12.75" customHeight="1" x14ac:dyDescent="0.2">
      <c r="C49" s="32"/>
    </row>
    <row r="50" spans="2:3" ht="12.75" customHeight="1" x14ac:dyDescent="0.2">
      <c r="B50" s="31"/>
      <c r="C50" s="32"/>
    </row>
    <row r="51" spans="2:3" ht="12.75" customHeight="1" x14ac:dyDescent="0.2">
      <c r="B51" s="31"/>
      <c r="C51" s="32"/>
    </row>
    <row r="52" spans="2:3" ht="12.75" customHeight="1" x14ac:dyDescent="0.2">
      <c r="B52" s="31"/>
      <c r="C52" s="32"/>
    </row>
    <row r="53" spans="2:3" ht="12.75" customHeight="1" x14ac:dyDescent="0.2">
      <c r="B53" s="31"/>
      <c r="C53" s="32"/>
    </row>
    <row r="54" spans="2:3" ht="12.75" customHeight="1" x14ac:dyDescent="0.2">
      <c r="B54" s="31"/>
      <c r="C54" s="32"/>
    </row>
    <row r="55" spans="2:3" ht="12.75" customHeight="1" x14ac:dyDescent="0.2">
      <c r="B55" s="31"/>
      <c r="C55" s="32"/>
    </row>
    <row r="56" spans="2:3" ht="12.75" customHeight="1" x14ac:dyDescent="0.2">
      <c r="B56" s="31"/>
      <c r="C56" s="32"/>
    </row>
    <row r="57" spans="2:3" ht="12.75" customHeight="1" x14ac:dyDescent="0.2">
      <c r="B57" s="31"/>
      <c r="C57" s="32"/>
    </row>
    <row r="58" spans="2:3" ht="12.75" customHeight="1" x14ac:dyDescent="0.2">
      <c r="B58" s="31"/>
      <c r="C58" s="32"/>
    </row>
    <row r="59" spans="2:3" ht="12.75" customHeight="1" x14ac:dyDescent="0.2">
      <c r="B59" s="31"/>
      <c r="C59" s="32"/>
    </row>
    <row r="60" spans="2:3" ht="12.75" customHeight="1" x14ac:dyDescent="0.2">
      <c r="B60" s="31"/>
      <c r="C60" s="32"/>
    </row>
    <row r="61" spans="2:3" ht="12.75" customHeight="1" x14ac:dyDescent="0.2">
      <c r="B61" s="31"/>
      <c r="C61" s="32"/>
    </row>
    <row r="62" spans="2:3" ht="12.75" customHeight="1" x14ac:dyDescent="0.2">
      <c r="B62" s="31"/>
      <c r="C62" s="32"/>
    </row>
    <row r="63" spans="2:3" ht="12.75" customHeight="1" x14ac:dyDescent="0.2">
      <c r="B63" s="31"/>
      <c r="C63" s="32"/>
    </row>
    <row r="64" spans="2:3" ht="12.75" customHeight="1" x14ac:dyDescent="0.2">
      <c r="C64" s="32"/>
    </row>
    <row r="65" spans="3:3" ht="12.75" customHeight="1" x14ac:dyDescent="0.2">
      <c r="C65" s="32"/>
    </row>
    <row r="66" spans="3:3" ht="12.75" customHeight="1" x14ac:dyDescent="0.2">
      <c r="C66" s="32"/>
    </row>
    <row r="67" spans="3:3" ht="12.75" customHeight="1" x14ac:dyDescent="0.2">
      <c r="C67" s="32"/>
    </row>
    <row r="68" spans="3:3" ht="12.75" customHeight="1" x14ac:dyDescent="0.2">
      <c r="C68" s="32"/>
    </row>
    <row r="69" spans="3:3" ht="12.75" customHeight="1" x14ac:dyDescent="0.2">
      <c r="C69" s="32"/>
    </row>
    <row r="70" spans="3:3" ht="12.75" customHeight="1" x14ac:dyDescent="0.2">
      <c r="C70" s="32"/>
    </row>
    <row r="71" spans="3:3" ht="12.75" customHeight="1" x14ac:dyDescent="0.2">
      <c r="C71" s="32"/>
    </row>
    <row r="72" spans="3:3" ht="12.75" customHeight="1" x14ac:dyDescent="0.2">
      <c r="C72" s="32"/>
    </row>
    <row r="73" spans="3:3" ht="12.75" customHeight="1" x14ac:dyDescent="0.2">
      <c r="C73" s="32"/>
    </row>
    <row r="74" spans="3:3" ht="12.75" customHeight="1" x14ac:dyDescent="0.2">
      <c r="C74" s="32"/>
    </row>
    <row r="75" spans="3:3" ht="12.75" customHeight="1" x14ac:dyDescent="0.2">
      <c r="C75" s="32"/>
    </row>
    <row r="76" spans="3:3" ht="12.75" customHeight="1" x14ac:dyDescent="0.2">
      <c r="C76" s="32"/>
    </row>
    <row r="77" spans="3:3" ht="12.75" customHeight="1" x14ac:dyDescent="0.2">
      <c r="C77" s="32"/>
    </row>
    <row r="78" spans="3:3" ht="12.75" customHeight="1" x14ac:dyDescent="0.2">
      <c r="C78" s="32"/>
    </row>
    <row r="79" spans="3:3" ht="12.75" customHeight="1" x14ac:dyDescent="0.2">
      <c r="C79" s="32"/>
    </row>
    <row r="80" spans="3:3" ht="12.75" customHeight="1" x14ac:dyDescent="0.2">
      <c r="C80" s="32"/>
    </row>
    <row r="81" spans="3:3" ht="12.75" customHeight="1" x14ac:dyDescent="0.2">
      <c r="C81" s="32"/>
    </row>
    <row r="82" spans="3:3" ht="12.75" customHeight="1" x14ac:dyDescent="0.2">
      <c r="C82" s="32"/>
    </row>
    <row r="83" spans="3:3" ht="12.75" customHeight="1" x14ac:dyDescent="0.2">
      <c r="C83" s="32"/>
    </row>
    <row r="84" spans="3:3" ht="12.75" customHeight="1" x14ac:dyDescent="0.2">
      <c r="C84" s="32"/>
    </row>
    <row r="85" spans="3:3" ht="12.75" customHeight="1" x14ac:dyDescent="0.2">
      <c r="C85" s="32"/>
    </row>
    <row r="86" spans="3:3" ht="12.75" customHeight="1" x14ac:dyDescent="0.2">
      <c r="C86" s="32"/>
    </row>
    <row r="87" spans="3:3" ht="12.75" customHeight="1" x14ac:dyDescent="0.2">
      <c r="C87" s="32"/>
    </row>
    <row r="88" spans="3:3" ht="12.75" customHeight="1" x14ac:dyDescent="0.2">
      <c r="C88" s="32"/>
    </row>
    <row r="89" spans="3:3" ht="12.75" customHeight="1" x14ac:dyDescent="0.2">
      <c r="C89" s="32"/>
    </row>
    <row r="90" spans="3:3" ht="12.75" customHeight="1" x14ac:dyDescent="0.2">
      <c r="C90" s="32"/>
    </row>
    <row r="91" spans="3:3" ht="12.75" customHeight="1" x14ac:dyDescent="0.2">
      <c r="C91" s="32"/>
    </row>
    <row r="92" spans="3:3" ht="12.75" customHeight="1" x14ac:dyDescent="0.2">
      <c r="C92" s="32"/>
    </row>
    <row r="93" spans="3:3" ht="12.75" customHeight="1" x14ac:dyDescent="0.2">
      <c r="C93" s="32"/>
    </row>
    <row r="94" spans="3:3" ht="12.75" customHeight="1" x14ac:dyDescent="0.2">
      <c r="C94" s="32"/>
    </row>
    <row r="95" spans="3:3" ht="12.75" customHeight="1" x14ac:dyDescent="0.2">
      <c r="C95" s="32"/>
    </row>
    <row r="96" spans="3:3" ht="12.75" customHeight="1" x14ac:dyDescent="0.2">
      <c r="C96" s="32"/>
    </row>
    <row r="97" spans="3:3" ht="12.75" customHeight="1" x14ac:dyDescent="0.2">
      <c r="C97" s="32"/>
    </row>
    <row r="98" spans="3:3" ht="12.75" customHeight="1" x14ac:dyDescent="0.2">
      <c r="C98" s="32"/>
    </row>
    <row r="99" spans="3:3" ht="12.75" customHeight="1" x14ac:dyDescent="0.2">
      <c r="C99" s="32"/>
    </row>
    <row r="100" spans="3:3" ht="12.75" customHeight="1" x14ac:dyDescent="0.2">
      <c r="C100" s="32"/>
    </row>
    <row r="101" spans="3:3" ht="12.75" customHeight="1" x14ac:dyDescent="0.2">
      <c r="C101" s="32"/>
    </row>
    <row r="102" spans="3:3" ht="12.75" customHeight="1" x14ac:dyDescent="0.2">
      <c r="C102" s="32"/>
    </row>
    <row r="103" spans="3:3" ht="12.75" customHeight="1" x14ac:dyDescent="0.2">
      <c r="C103" s="32"/>
    </row>
    <row r="104" spans="3:3" ht="12.75" customHeight="1" x14ac:dyDescent="0.2">
      <c r="C104" s="32"/>
    </row>
    <row r="105" spans="3:3" ht="12.75" customHeight="1" x14ac:dyDescent="0.2">
      <c r="C105" s="32"/>
    </row>
    <row r="106" spans="3:3" ht="12.75" customHeight="1" x14ac:dyDescent="0.2">
      <c r="C106" s="32"/>
    </row>
    <row r="107" spans="3:3" ht="12.75" customHeight="1" x14ac:dyDescent="0.2">
      <c r="C107" s="32"/>
    </row>
    <row r="108" spans="3:3" ht="12.75" customHeight="1" x14ac:dyDescent="0.2">
      <c r="C108" s="32"/>
    </row>
    <row r="109" spans="3:3" ht="12.75" customHeight="1" x14ac:dyDescent="0.2">
      <c r="C109" s="32"/>
    </row>
    <row r="110" spans="3:3" ht="12.75" customHeight="1" x14ac:dyDescent="0.2">
      <c r="C110" s="32"/>
    </row>
    <row r="111" spans="3:3" ht="12.75" customHeight="1" x14ac:dyDescent="0.2">
      <c r="C111" s="32"/>
    </row>
    <row r="112" spans="3:3" ht="12.75" customHeight="1" x14ac:dyDescent="0.2">
      <c r="C112" s="32"/>
    </row>
    <row r="113" spans="3:3" ht="12.75" customHeight="1" x14ac:dyDescent="0.2">
      <c r="C113" s="32"/>
    </row>
    <row r="114" spans="3:3" ht="12.75" customHeight="1" x14ac:dyDescent="0.2">
      <c r="C114" s="32"/>
    </row>
    <row r="115" spans="3:3" ht="12.75" customHeight="1" x14ac:dyDescent="0.2">
      <c r="C115" s="32"/>
    </row>
    <row r="116" spans="3:3" ht="12.75" customHeight="1" x14ac:dyDescent="0.2">
      <c r="C116" s="32"/>
    </row>
    <row r="117" spans="3:3" ht="12.75" customHeight="1" x14ac:dyDescent="0.2">
      <c r="C117" s="32"/>
    </row>
    <row r="118" spans="3:3" ht="12.75" customHeight="1" x14ac:dyDescent="0.2">
      <c r="C118" s="32"/>
    </row>
    <row r="119" spans="3:3" ht="12.75" customHeight="1" x14ac:dyDescent="0.2">
      <c r="C119" s="32"/>
    </row>
    <row r="120" spans="3:3" ht="12.75" customHeight="1" x14ac:dyDescent="0.2">
      <c r="C120" s="32"/>
    </row>
    <row r="121" spans="3:3" ht="12.75" customHeight="1" x14ac:dyDescent="0.2">
      <c r="C121" s="32"/>
    </row>
    <row r="122" spans="3:3" ht="12.75" customHeight="1" x14ac:dyDescent="0.2">
      <c r="C122" s="32"/>
    </row>
    <row r="123" spans="3:3" ht="12.75" customHeight="1" x14ac:dyDescent="0.2">
      <c r="C123" s="32"/>
    </row>
    <row r="124" spans="3:3" ht="12.75" customHeight="1" x14ac:dyDescent="0.2">
      <c r="C124" s="32"/>
    </row>
    <row r="125" spans="3:3" ht="12.75" customHeight="1" x14ac:dyDescent="0.2">
      <c r="C125" s="32"/>
    </row>
    <row r="126" spans="3:3" ht="12.75" customHeight="1" x14ac:dyDescent="0.2">
      <c r="C126" s="32"/>
    </row>
    <row r="127" spans="3:3" ht="12.75" customHeight="1" x14ac:dyDescent="0.2">
      <c r="C127" s="32"/>
    </row>
    <row r="128" spans="3:3" ht="12.75" customHeight="1" x14ac:dyDescent="0.2">
      <c r="C128" s="32"/>
    </row>
    <row r="129" spans="3:3" ht="12.75" customHeight="1" x14ac:dyDescent="0.2">
      <c r="C129" s="32"/>
    </row>
    <row r="130" spans="3:3" ht="12.75" customHeight="1" x14ac:dyDescent="0.2">
      <c r="C130" s="32"/>
    </row>
    <row r="131" spans="3:3" ht="12.75" customHeight="1" x14ac:dyDescent="0.2">
      <c r="C131" s="32"/>
    </row>
    <row r="132" spans="3:3" ht="12.75" customHeight="1" x14ac:dyDescent="0.2">
      <c r="C132" s="32"/>
    </row>
    <row r="133" spans="3:3" ht="12.75" customHeight="1" x14ac:dyDescent="0.2">
      <c r="C133" s="32"/>
    </row>
    <row r="134" spans="3:3" ht="12.75" customHeight="1" x14ac:dyDescent="0.2">
      <c r="C134" s="32"/>
    </row>
    <row r="135" spans="3:3" ht="12.75" customHeight="1" x14ac:dyDescent="0.2">
      <c r="C135" s="32"/>
    </row>
    <row r="136" spans="3:3" ht="12.75" customHeight="1" x14ac:dyDescent="0.2">
      <c r="C136" s="32"/>
    </row>
    <row r="137" spans="3:3" ht="12.75" customHeight="1" x14ac:dyDescent="0.2">
      <c r="C137" s="32"/>
    </row>
    <row r="138" spans="3:3" ht="12.75" customHeight="1" x14ac:dyDescent="0.2">
      <c r="C138" s="32"/>
    </row>
    <row r="139" spans="3:3" ht="12.75" customHeight="1" x14ac:dyDescent="0.2">
      <c r="C139" s="32"/>
    </row>
    <row r="140" spans="3:3" ht="12.75" customHeight="1" x14ac:dyDescent="0.2">
      <c r="C140" s="32"/>
    </row>
    <row r="141" spans="3:3" ht="12.75" customHeight="1" x14ac:dyDescent="0.2">
      <c r="C141" s="32"/>
    </row>
    <row r="142" spans="3:3" ht="12.75" customHeight="1" x14ac:dyDescent="0.2">
      <c r="C142" s="32"/>
    </row>
    <row r="143" spans="3:3" ht="12.75" customHeight="1" x14ac:dyDescent="0.2">
      <c r="C143" s="32"/>
    </row>
    <row r="144" spans="3:3" ht="12.75" customHeight="1" x14ac:dyDescent="0.2">
      <c r="C144" s="32"/>
    </row>
    <row r="145" spans="3:3" ht="12.75" customHeight="1" x14ac:dyDescent="0.2">
      <c r="C145" s="32"/>
    </row>
    <row r="146" spans="3:3" ht="12.75" customHeight="1" x14ac:dyDescent="0.2">
      <c r="C146" s="32"/>
    </row>
    <row r="147" spans="3:3" ht="12.75" customHeight="1" x14ac:dyDescent="0.2">
      <c r="C147" s="32"/>
    </row>
    <row r="148" spans="3:3" ht="12.75" customHeight="1" x14ac:dyDescent="0.2">
      <c r="C148" s="32"/>
    </row>
    <row r="149" spans="3:3" ht="12.75" customHeight="1" x14ac:dyDescent="0.2">
      <c r="C149" s="32"/>
    </row>
    <row r="150" spans="3:3" ht="12.75" customHeight="1" x14ac:dyDescent="0.2">
      <c r="C150" s="32"/>
    </row>
    <row r="151" spans="3:3" ht="12.75" customHeight="1" x14ac:dyDescent="0.2">
      <c r="C151" s="32"/>
    </row>
    <row r="152" spans="3:3" ht="12.75" customHeight="1" x14ac:dyDescent="0.2">
      <c r="C152" s="32"/>
    </row>
    <row r="153" spans="3:3" ht="12.75" customHeight="1" x14ac:dyDescent="0.2">
      <c r="C153" s="32"/>
    </row>
    <row r="154" spans="3:3" ht="12.75" customHeight="1" x14ac:dyDescent="0.2">
      <c r="C154" s="32"/>
    </row>
    <row r="155" spans="3:3" ht="12.75" customHeight="1" x14ac:dyDescent="0.2">
      <c r="C155" s="32"/>
    </row>
    <row r="156" spans="3:3" ht="12.75" customHeight="1" x14ac:dyDescent="0.2">
      <c r="C156" s="32"/>
    </row>
    <row r="157" spans="3:3" ht="12.75" customHeight="1" x14ac:dyDescent="0.2">
      <c r="C157" s="32"/>
    </row>
    <row r="158" spans="3:3" ht="12.75" customHeight="1" x14ac:dyDescent="0.2">
      <c r="C158" s="32"/>
    </row>
    <row r="159" spans="3:3" ht="12.75" customHeight="1" x14ac:dyDescent="0.2">
      <c r="C159" s="32"/>
    </row>
    <row r="160" spans="3:3" ht="12.75" customHeight="1" x14ac:dyDescent="0.2">
      <c r="C160" s="32"/>
    </row>
    <row r="161" spans="3:3" ht="12.75" customHeight="1" x14ac:dyDescent="0.2">
      <c r="C161" s="32"/>
    </row>
    <row r="162" spans="3:3" ht="12.75" customHeight="1" x14ac:dyDescent="0.2">
      <c r="C162" s="32"/>
    </row>
    <row r="163" spans="3:3" ht="12.75" customHeight="1" x14ac:dyDescent="0.2">
      <c r="C163" s="32"/>
    </row>
    <row r="164" spans="3:3" ht="12.75" customHeight="1" x14ac:dyDescent="0.2">
      <c r="C164" s="32"/>
    </row>
    <row r="165" spans="3:3" ht="12.75" customHeight="1" x14ac:dyDescent="0.2">
      <c r="C165" s="32"/>
    </row>
    <row r="166" spans="3:3" ht="12.75" customHeight="1" x14ac:dyDescent="0.2">
      <c r="C166" s="32"/>
    </row>
    <row r="167" spans="3:3" ht="12.75" customHeight="1" x14ac:dyDescent="0.2">
      <c r="C167" s="32"/>
    </row>
    <row r="168" spans="3:3" ht="12.75" customHeight="1" x14ac:dyDescent="0.2">
      <c r="C168" s="32"/>
    </row>
    <row r="169" spans="3:3" ht="12.75" customHeight="1" x14ac:dyDescent="0.2">
      <c r="C169" s="32"/>
    </row>
    <row r="170" spans="3:3" ht="12.75" customHeight="1" x14ac:dyDescent="0.2">
      <c r="C170" s="32"/>
    </row>
    <row r="171" spans="3:3" ht="12.75" customHeight="1" x14ac:dyDescent="0.2">
      <c r="C171" s="32"/>
    </row>
    <row r="172" spans="3:3" ht="12.75" customHeight="1" x14ac:dyDescent="0.2">
      <c r="C172" s="32"/>
    </row>
    <row r="173" spans="3:3" ht="12.75" customHeight="1" x14ac:dyDescent="0.2">
      <c r="C173" s="32"/>
    </row>
    <row r="174" spans="3:3" ht="12.75" customHeight="1" x14ac:dyDescent="0.2">
      <c r="C174" s="32"/>
    </row>
    <row r="175" spans="3:3" ht="12.75" customHeight="1" x14ac:dyDescent="0.2">
      <c r="C175" s="32"/>
    </row>
    <row r="176" spans="3:3" ht="12.75" customHeight="1" x14ac:dyDescent="0.2">
      <c r="C176" s="32"/>
    </row>
    <row r="177" spans="3:3" ht="12.75" customHeight="1" x14ac:dyDescent="0.2">
      <c r="C177" s="32"/>
    </row>
    <row r="178" spans="3:3" ht="12.75" customHeight="1" x14ac:dyDescent="0.2">
      <c r="C178" s="32"/>
    </row>
    <row r="179" spans="3:3" ht="12.75" customHeight="1" x14ac:dyDescent="0.2">
      <c r="C179" s="32"/>
    </row>
    <row r="180" spans="3:3" ht="12.75" customHeight="1" x14ac:dyDescent="0.2">
      <c r="C180" s="32"/>
    </row>
    <row r="181" spans="3:3" ht="12.75" customHeight="1" x14ac:dyDescent="0.2">
      <c r="C181" s="32"/>
    </row>
    <row r="182" spans="3:3" ht="12.75" customHeight="1" x14ac:dyDescent="0.2">
      <c r="C182" s="32"/>
    </row>
    <row r="183" spans="3:3" ht="12.75" customHeight="1" x14ac:dyDescent="0.2">
      <c r="C183" s="32"/>
    </row>
    <row r="184" spans="3:3" ht="12.75" customHeight="1" x14ac:dyDescent="0.2">
      <c r="C184" s="32"/>
    </row>
    <row r="185" spans="3:3" ht="12.75" customHeight="1" x14ac:dyDescent="0.2">
      <c r="C185" s="32"/>
    </row>
    <row r="186" spans="3:3" ht="12.75" customHeight="1" x14ac:dyDescent="0.2">
      <c r="C186" s="32"/>
    </row>
    <row r="187" spans="3:3" ht="12.75" customHeight="1" x14ac:dyDescent="0.2">
      <c r="C187" s="32"/>
    </row>
    <row r="188" spans="3:3" ht="12.75" customHeight="1" x14ac:dyDescent="0.2">
      <c r="C188" s="32"/>
    </row>
    <row r="189" spans="3:3" ht="12.75" customHeight="1" x14ac:dyDescent="0.2">
      <c r="C189" s="32"/>
    </row>
    <row r="190" spans="3:3" ht="12.75" customHeight="1" x14ac:dyDescent="0.2">
      <c r="C190" s="32"/>
    </row>
    <row r="191" spans="3:3" ht="12.75" customHeight="1" x14ac:dyDescent="0.2">
      <c r="C191" s="32"/>
    </row>
    <row r="192" spans="3:3" ht="12.75" customHeight="1" x14ac:dyDescent="0.2">
      <c r="C192" s="32"/>
    </row>
    <row r="193" spans="3:3" ht="12.75" customHeight="1" x14ac:dyDescent="0.2">
      <c r="C193" s="32"/>
    </row>
    <row r="194" spans="3:3" ht="12.75" customHeight="1" x14ac:dyDescent="0.2">
      <c r="C194" s="32"/>
    </row>
    <row r="195" spans="3:3" ht="12.75" customHeight="1" x14ac:dyDescent="0.2">
      <c r="C195" s="32"/>
    </row>
    <row r="196" spans="3:3" ht="12.75" customHeight="1" x14ac:dyDescent="0.2">
      <c r="C196" s="32"/>
    </row>
    <row r="197" spans="3:3" ht="12.75" customHeight="1" x14ac:dyDescent="0.2">
      <c r="C197" s="32"/>
    </row>
    <row r="198" spans="3:3" ht="12.75" customHeight="1" x14ac:dyDescent="0.2">
      <c r="C198" s="32"/>
    </row>
    <row r="199" spans="3:3" ht="12.75" customHeight="1" x14ac:dyDescent="0.2">
      <c r="C199" s="32"/>
    </row>
    <row r="200" spans="3:3" ht="12.75" customHeight="1" x14ac:dyDescent="0.2">
      <c r="C200" s="32"/>
    </row>
    <row r="201" spans="3:3" ht="12.75" customHeight="1" x14ac:dyDescent="0.2">
      <c r="C201" s="32"/>
    </row>
    <row r="202" spans="3:3" ht="12.75" customHeight="1" x14ac:dyDescent="0.2">
      <c r="C202" s="32"/>
    </row>
    <row r="203" spans="3:3" ht="12.75" customHeight="1" x14ac:dyDescent="0.2">
      <c r="C203" s="32"/>
    </row>
    <row r="204" spans="3:3" ht="12.75" customHeight="1" x14ac:dyDescent="0.2">
      <c r="C204" s="32"/>
    </row>
    <row r="205" spans="3:3" ht="12.75" customHeight="1" x14ac:dyDescent="0.2">
      <c r="C205" s="32"/>
    </row>
    <row r="206" spans="3:3" ht="12.75" customHeight="1" x14ac:dyDescent="0.2">
      <c r="C206" s="32"/>
    </row>
    <row r="207" spans="3:3" ht="12.75" customHeight="1" x14ac:dyDescent="0.2">
      <c r="C207" s="32"/>
    </row>
    <row r="208" spans="3:3" ht="12.75" customHeight="1" x14ac:dyDescent="0.2">
      <c r="C208" s="32"/>
    </row>
    <row r="209" spans="3:3" ht="12.75" customHeight="1" x14ac:dyDescent="0.2">
      <c r="C209" s="32"/>
    </row>
    <row r="210" spans="3:3" ht="12.75" customHeight="1" x14ac:dyDescent="0.2">
      <c r="C210" s="32"/>
    </row>
    <row r="211" spans="3:3" ht="12.75" customHeight="1" x14ac:dyDescent="0.2">
      <c r="C211" s="32"/>
    </row>
    <row r="212" spans="3:3" ht="12.75" customHeight="1" x14ac:dyDescent="0.2">
      <c r="C212" s="32"/>
    </row>
    <row r="213" spans="3:3" ht="12.75" customHeight="1" x14ac:dyDescent="0.2">
      <c r="C213" s="32"/>
    </row>
    <row r="214" spans="3:3" ht="12.75" customHeight="1" x14ac:dyDescent="0.2">
      <c r="C214" s="32"/>
    </row>
    <row r="215" spans="3:3" ht="12.75" customHeight="1" x14ac:dyDescent="0.2">
      <c r="C215" s="32"/>
    </row>
    <row r="216" spans="3:3" ht="12.75" customHeight="1" x14ac:dyDescent="0.2">
      <c r="C216" s="32"/>
    </row>
    <row r="217" spans="3:3" ht="12.75" customHeight="1" x14ac:dyDescent="0.2">
      <c r="C217" s="32"/>
    </row>
    <row r="218" spans="3:3" ht="12.75" customHeight="1" x14ac:dyDescent="0.2">
      <c r="C218" s="32"/>
    </row>
    <row r="219" spans="3:3" ht="12.75" customHeight="1" x14ac:dyDescent="0.2">
      <c r="C219" s="32"/>
    </row>
    <row r="220" spans="3:3" ht="12.75" customHeight="1" x14ac:dyDescent="0.2">
      <c r="C220" s="32"/>
    </row>
    <row r="221" spans="3:3" ht="12.75" customHeight="1" x14ac:dyDescent="0.2">
      <c r="C221" s="32"/>
    </row>
    <row r="222" spans="3:3" ht="12.75" customHeight="1" x14ac:dyDescent="0.2">
      <c r="C222" s="32"/>
    </row>
    <row r="223" spans="3:3" ht="12.75" customHeight="1" x14ac:dyDescent="0.2">
      <c r="C223" s="32"/>
    </row>
    <row r="224" spans="3:3" ht="12.75" customHeight="1" x14ac:dyDescent="0.2">
      <c r="C224" s="32"/>
    </row>
    <row r="225" spans="3:3" ht="12.75" customHeight="1" x14ac:dyDescent="0.2">
      <c r="C225" s="32"/>
    </row>
    <row r="226" spans="3:3" ht="12.75" customHeight="1" x14ac:dyDescent="0.2">
      <c r="C226" s="32"/>
    </row>
    <row r="227" spans="3:3" ht="12.75" customHeight="1" x14ac:dyDescent="0.2">
      <c r="C227" s="32"/>
    </row>
    <row r="228" spans="3:3" ht="12.75" customHeight="1" x14ac:dyDescent="0.2">
      <c r="C228" s="32"/>
    </row>
    <row r="229" spans="3:3" ht="12.75" customHeight="1" x14ac:dyDescent="0.2">
      <c r="C229" s="32"/>
    </row>
    <row r="230" spans="3:3" ht="12.75" customHeight="1" x14ac:dyDescent="0.2">
      <c r="C230" s="32"/>
    </row>
    <row r="231" spans="3:3" ht="12.75" customHeight="1" x14ac:dyDescent="0.2">
      <c r="C231" s="32"/>
    </row>
    <row r="232" spans="3:3" ht="12.75" customHeight="1" x14ac:dyDescent="0.2">
      <c r="C232" s="32"/>
    </row>
    <row r="233" spans="3:3" ht="12.75" customHeight="1" x14ac:dyDescent="0.2">
      <c r="C233" s="32"/>
    </row>
    <row r="234" spans="3:3" ht="12.75" customHeight="1" x14ac:dyDescent="0.2">
      <c r="C234" s="32"/>
    </row>
    <row r="235" spans="3:3" ht="12.75" customHeight="1" x14ac:dyDescent="0.2">
      <c r="C235" s="32"/>
    </row>
    <row r="236" spans="3:3" ht="12.75" customHeight="1" x14ac:dyDescent="0.2">
      <c r="C236" s="32"/>
    </row>
    <row r="237" spans="3:3" ht="12.75" customHeight="1" x14ac:dyDescent="0.2">
      <c r="C237" s="32"/>
    </row>
    <row r="238" spans="3:3" ht="12.75" customHeight="1" x14ac:dyDescent="0.2">
      <c r="C238" s="32"/>
    </row>
    <row r="239" spans="3:3" ht="12.75" customHeight="1" x14ac:dyDescent="0.2">
      <c r="C239" s="32"/>
    </row>
    <row r="240" spans="3:3" ht="12.75" customHeight="1" x14ac:dyDescent="0.2">
      <c r="C240" s="32"/>
    </row>
    <row r="241" spans="3:3" ht="12.75" customHeight="1" x14ac:dyDescent="0.2">
      <c r="C241" s="32"/>
    </row>
    <row r="242" spans="3:3" ht="12.75" customHeight="1" x14ac:dyDescent="0.2">
      <c r="C242" s="32"/>
    </row>
    <row r="243" spans="3:3" ht="12.75" customHeight="1" x14ac:dyDescent="0.2">
      <c r="C243" s="32"/>
    </row>
    <row r="244" spans="3:3" ht="12.75" customHeight="1" x14ac:dyDescent="0.2">
      <c r="C244" s="32"/>
    </row>
    <row r="245" spans="3:3" ht="12.75" customHeight="1" x14ac:dyDescent="0.2">
      <c r="C245" s="32"/>
    </row>
    <row r="246" spans="3:3" ht="12.75" customHeight="1" x14ac:dyDescent="0.2">
      <c r="C246" s="32"/>
    </row>
    <row r="247" spans="3:3" ht="12.75" customHeight="1" x14ac:dyDescent="0.2">
      <c r="C247" s="32"/>
    </row>
  </sheetData>
  <mergeCells count="11">
    <mergeCell ref="B42:E42"/>
    <mergeCell ref="B43:E43"/>
    <mergeCell ref="B18:E18"/>
    <mergeCell ref="B26:F26"/>
    <mergeCell ref="B2:F2"/>
    <mergeCell ref="B12:E12"/>
    <mergeCell ref="B6:E6"/>
    <mergeCell ref="B37:E37"/>
    <mergeCell ref="B34:E34"/>
    <mergeCell ref="B25:E25"/>
    <mergeCell ref="B27:E27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20"/>
  <sheetViews>
    <sheetView workbookViewId="0">
      <selection activeCell="F7" sqref="F7"/>
    </sheetView>
  </sheetViews>
  <sheetFormatPr baseColWidth="10" defaultColWidth="14.42578125" defaultRowHeight="15" customHeight="1" x14ac:dyDescent="0.2"/>
  <cols>
    <col min="1" max="1" width="10" customWidth="1"/>
    <col min="2" max="2" width="20" customWidth="1"/>
    <col min="3" max="3" width="10.7109375" customWidth="1"/>
    <col min="4" max="4" width="9.7109375" customWidth="1"/>
    <col min="5" max="5" width="10" customWidth="1"/>
    <col min="6" max="6" width="12.85546875" customWidth="1"/>
    <col min="7" max="7" width="13" customWidth="1"/>
    <col min="8" max="8" width="9.5703125" customWidth="1"/>
    <col min="9" max="26" width="10" customWidth="1"/>
  </cols>
  <sheetData>
    <row r="1" spans="1:26" ht="12.75" customHeight="1" x14ac:dyDescent="0.2"/>
    <row r="2" spans="1:26" ht="12.75" customHeight="1" x14ac:dyDescent="0.2"/>
    <row r="3" spans="1:26" ht="22.5" customHeight="1" x14ac:dyDescent="0.2">
      <c r="B3" s="407" t="s">
        <v>85</v>
      </c>
      <c r="C3" s="408"/>
      <c r="D3" s="408"/>
      <c r="E3" s="408"/>
      <c r="F3" s="408"/>
      <c r="G3" s="408"/>
      <c r="H3" s="408"/>
    </row>
    <row r="4" spans="1:26" ht="39" customHeight="1" x14ac:dyDescent="0.2">
      <c r="A4" s="22"/>
      <c r="B4" s="107" t="s">
        <v>86</v>
      </c>
      <c r="C4" s="108" t="s">
        <v>87</v>
      </c>
      <c r="D4" s="108" t="s">
        <v>88</v>
      </c>
      <c r="E4" s="108" t="s">
        <v>89</v>
      </c>
      <c r="F4" s="108" t="s">
        <v>90</v>
      </c>
      <c r="G4" s="108" t="s">
        <v>91</v>
      </c>
      <c r="H4" s="109" t="s">
        <v>92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3.5" customHeight="1" x14ac:dyDescent="0.2">
      <c r="B5" s="33" t="s">
        <v>93</v>
      </c>
      <c r="C5" s="29">
        <f>+Inversión_Inicial!F6</f>
        <v>8450</v>
      </c>
      <c r="D5" s="308">
        <v>3</v>
      </c>
      <c r="E5" s="34">
        <f t="shared" ref="E5:E6" si="0">1/D5</f>
        <v>0.33333333333333331</v>
      </c>
      <c r="F5" s="34">
        <f t="shared" ref="F5:F6" si="1">+E5*C5</f>
        <v>2816.6666666666665</v>
      </c>
      <c r="G5" s="35">
        <f>+F5*Resumen!$H$9</f>
        <v>8450</v>
      </c>
      <c r="H5" s="36">
        <f t="shared" ref="H5:H6" si="2">+C5-G5</f>
        <v>0</v>
      </c>
    </row>
    <row r="6" spans="1:26" ht="13.5" customHeight="1" x14ac:dyDescent="0.2">
      <c r="B6" s="37" t="s">
        <v>47</v>
      </c>
      <c r="C6" s="38">
        <f>+Inversión_Inicial!F12</f>
        <v>5210</v>
      </c>
      <c r="D6" s="308">
        <v>6</v>
      </c>
      <c r="E6" s="38">
        <f t="shared" si="0"/>
        <v>0.16666666666666666</v>
      </c>
      <c r="F6" s="38">
        <f t="shared" si="1"/>
        <v>868.33333333333326</v>
      </c>
      <c r="G6" s="35">
        <f>+F6*Resumen!$H$9</f>
        <v>2605</v>
      </c>
      <c r="H6" s="39">
        <f t="shared" si="2"/>
        <v>2605</v>
      </c>
    </row>
    <row r="7" spans="1:26" ht="13.5" customHeight="1" x14ac:dyDescent="0.2">
      <c r="B7" s="110" t="s">
        <v>94</v>
      </c>
      <c r="C7" s="111">
        <f>SUM(C5:C6)</f>
        <v>13660</v>
      </c>
      <c r="D7" s="112"/>
      <c r="E7" s="112"/>
      <c r="F7" s="111">
        <f>SUM(F5:F6)</f>
        <v>3685</v>
      </c>
      <c r="G7" s="112"/>
      <c r="H7" s="113">
        <f>SUM(H5:H6)</f>
        <v>2605</v>
      </c>
    </row>
    <row r="8" spans="1:26" ht="12.75" customHeight="1" x14ac:dyDescent="0.2">
      <c r="B8" s="31"/>
    </row>
    <row r="9" spans="1:26" ht="12.75" customHeight="1" x14ac:dyDescent="0.2"/>
    <row r="10" spans="1:26" ht="12.75" customHeight="1" x14ac:dyDescent="0.2"/>
    <row r="11" spans="1:26" ht="12.75" customHeight="1" x14ac:dyDescent="0.2"/>
    <row r="12" spans="1:26" ht="12.75" customHeight="1" x14ac:dyDescent="0.2"/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</sheetData>
  <mergeCells count="1">
    <mergeCell ref="B3:H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1"/>
  <sheetViews>
    <sheetView topLeftCell="A13" workbookViewId="0">
      <selection activeCell="B31" sqref="B31"/>
    </sheetView>
  </sheetViews>
  <sheetFormatPr baseColWidth="10" defaultColWidth="14.42578125" defaultRowHeight="15" customHeight="1" x14ac:dyDescent="0.2"/>
  <cols>
    <col min="1" max="1" width="10" customWidth="1"/>
    <col min="2" max="2" width="26.42578125" customWidth="1"/>
    <col min="3" max="3" width="10.42578125" customWidth="1"/>
    <col min="4" max="4" width="8.42578125" customWidth="1"/>
    <col min="5" max="5" width="11" customWidth="1"/>
    <col min="6" max="6" width="10" customWidth="1"/>
  </cols>
  <sheetData>
    <row r="1" spans="1:11" ht="12.75" customHeight="1" x14ac:dyDescent="0.2"/>
    <row r="2" spans="1:11" ht="12.75" customHeight="1" x14ac:dyDescent="0.2"/>
    <row r="3" spans="1:11" ht="12.75" customHeight="1" x14ac:dyDescent="0.2">
      <c r="B3" s="385" t="s">
        <v>103</v>
      </c>
      <c r="C3" s="401"/>
      <c r="D3" s="401"/>
      <c r="E3" s="401"/>
      <c r="F3" s="401"/>
    </row>
    <row r="4" spans="1:11" ht="13.5" customHeight="1" x14ac:dyDescent="0.2"/>
    <row r="5" spans="1:11" ht="33.75" customHeight="1" thickBot="1" x14ac:dyDescent="0.25">
      <c r="B5" s="131" t="s">
        <v>34</v>
      </c>
      <c r="C5" s="126" t="s">
        <v>104</v>
      </c>
      <c r="D5" s="126" t="s">
        <v>32</v>
      </c>
      <c r="E5" s="126" t="s">
        <v>105</v>
      </c>
      <c r="F5" s="132" t="s">
        <v>29</v>
      </c>
    </row>
    <row r="6" spans="1:11" ht="19.5" customHeight="1" x14ac:dyDescent="0.25">
      <c r="B6" s="412" t="s">
        <v>106</v>
      </c>
      <c r="C6" s="413"/>
      <c r="D6" s="413"/>
      <c r="E6" s="414"/>
      <c r="F6" s="127">
        <f>SUM(F7:F12)</f>
        <v>275</v>
      </c>
    </row>
    <row r="7" spans="1:11" ht="14.25" customHeight="1" x14ac:dyDescent="0.2">
      <c r="B7" s="50" t="s">
        <v>63</v>
      </c>
      <c r="C7" s="48" t="s">
        <v>107</v>
      </c>
      <c r="D7" s="49">
        <v>105</v>
      </c>
      <c r="E7" s="48">
        <v>1</v>
      </c>
      <c r="F7" s="51">
        <f t="shared" ref="F7:F12" si="0">D7*E7</f>
        <v>105</v>
      </c>
    </row>
    <row r="8" spans="1:11" ht="14.25" customHeight="1" x14ac:dyDescent="0.2">
      <c r="B8" s="52" t="s">
        <v>65</v>
      </c>
      <c r="C8" s="48" t="s">
        <v>214</v>
      </c>
      <c r="D8" s="53">
        <v>10</v>
      </c>
      <c r="E8" s="54">
        <v>1</v>
      </c>
      <c r="F8" s="51">
        <f t="shared" si="0"/>
        <v>10</v>
      </c>
    </row>
    <row r="9" spans="1:11" ht="14.25" customHeight="1" x14ac:dyDescent="0.2">
      <c r="B9" s="52" t="s">
        <v>260</v>
      </c>
      <c r="C9" s="48" t="s">
        <v>72</v>
      </c>
      <c r="D9" s="53">
        <v>10</v>
      </c>
      <c r="E9" s="54">
        <v>1</v>
      </c>
      <c r="F9" s="51">
        <f t="shared" si="0"/>
        <v>10</v>
      </c>
    </row>
    <row r="10" spans="1:11" ht="14.25" customHeight="1" x14ac:dyDescent="0.2">
      <c r="A10" s="55"/>
      <c r="B10" s="52" t="s">
        <v>192</v>
      </c>
      <c r="C10" s="48" t="s">
        <v>72</v>
      </c>
      <c r="D10" s="53">
        <v>15</v>
      </c>
      <c r="E10" s="54">
        <v>2</v>
      </c>
      <c r="F10" s="51">
        <f t="shared" si="0"/>
        <v>30</v>
      </c>
      <c r="G10" s="55"/>
      <c r="H10" s="55"/>
      <c r="I10" s="55"/>
      <c r="J10" s="55"/>
      <c r="K10" s="55"/>
    </row>
    <row r="11" spans="1:11" ht="14.25" customHeight="1" x14ac:dyDescent="0.2">
      <c r="B11" s="52" t="s">
        <v>69</v>
      </c>
      <c r="C11" s="48" t="s">
        <v>72</v>
      </c>
      <c r="D11" s="53">
        <v>110</v>
      </c>
      <c r="E11" s="54">
        <v>1</v>
      </c>
      <c r="F11" s="51">
        <f t="shared" si="0"/>
        <v>110</v>
      </c>
    </row>
    <row r="12" spans="1:11" ht="14.25" customHeight="1" x14ac:dyDescent="0.2">
      <c r="A12" s="55"/>
      <c r="B12" s="52" t="s">
        <v>108</v>
      </c>
      <c r="C12" s="48" t="s">
        <v>72</v>
      </c>
      <c r="D12" s="53">
        <v>2.5</v>
      </c>
      <c r="E12" s="54">
        <v>4</v>
      </c>
      <c r="F12" s="51">
        <f t="shared" si="0"/>
        <v>10</v>
      </c>
      <c r="G12" s="55"/>
      <c r="H12" s="55"/>
      <c r="I12" s="55"/>
      <c r="J12" s="55"/>
      <c r="K12" s="55"/>
    </row>
    <row r="13" spans="1:11" ht="18.75" customHeight="1" x14ac:dyDescent="0.25">
      <c r="B13" s="409" t="s">
        <v>109</v>
      </c>
      <c r="C13" s="410"/>
      <c r="D13" s="410"/>
      <c r="E13" s="411"/>
      <c r="F13" s="128">
        <f>SUM(F14:F15)</f>
        <v>2385</v>
      </c>
    </row>
    <row r="14" spans="1:11" ht="18.75" customHeight="1" x14ac:dyDescent="0.2">
      <c r="A14" s="55"/>
      <c r="B14" s="52" t="s">
        <v>255</v>
      </c>
      <c r="C14" s="54" t="s">
        <v>252</v>
      </c>
      <c r="D14" s="53">
        <f>+Resumen!H13</f>
        <v>30</v>
      </c>
      <c r="E14" s="54">
        <v>24</v>
      </c>
      <c r="F14" s="51">
        <f>D14*E14*2</f>
        <v>1440</v>
      </c>
      <c r="G14" s="55"/>
      <c r="H14" s="55"/>
      <c r="I14" s="55"/>
      <c r="J14" s="55"/>
      <c r="K14" s="55"/>
    </row>
    <row r="15" spans="1:11" ht="14.25" customHeight="1" x14ac:dyDescent="0.2">
      <c r="B15" s="52" t="s">
        <v>227</v>
      </c>
      <c r="C15" s="54" t="s">
        <v>75</v>
      </c>
      <c r="D15" s="53">
        <f>Sueldos!I5/12</f>
        <v>945</v>
      </c>
      <c r="E15" s="54">
        <v>1</v>
      </c>
      <c r="F15" s="51">
        <f>D15*E15</f>
        <v>945</v>
      </c>
    </row>
    <row r="16" spans="1:11" ht="30" customHeight="1" x14ac:dyDescent="0.25">
      <c r="B16" s="409" t="s">
        <v>110</v>
      </c>
      <c r="C16" s="410"/>
      <c r="D16" s="410"/>
      <c r="E16" s="411"/>
      <c r="F16" s="128">
        <f>SUM(F17:F20)</f>
        <v>465</v>
      </c>
    </row>
    <row r="17" spans="1:11" ht="15" customHeight="1" thickBot="1" x14ac:dyDescent="0.25">
      <c r="B17" s="56" t="s">
        <v>78</v>
      </c>
      <c r="C17" s="57" t="s">
        <v>79</v>
      </c>
      <c r="D17" s="58">
        <v>20</v>
      </c>
      <c r="E17" s="57">
        <v>1</v>
      </c>
      <c r="F17" s="59">
        <f t="shared" ref="F17:F20" si="1">D17*E17</f>
        <v>20</v>
      </c>
    </row>
    <row r="18" spans="1:11" ht="15" customHeight="1" x14ac:dyDescent="0.2">
      <c r="A18" s="55"/>
      <c r="B18" s="60" t="s">
        <v>80</v>
      </c>
      <c r="C18" s="57" t="s">
        <v>79</v>
      </c>
      <c r="D18" s="61">
        <v>120</v>
      </c>
      <c r="E18" s="57">
        <v>1</v>
      </c>
      <c r="F18" s="59">
        <f t="shared" si="1"/>
        <v>120</v>
      </c>
      <c r="G18" s="55"/>
      <c r="H18" s="55"/>
      <c r="I18" s="55"/>
      <c r="J18" s="55"/>
      <c r="K18" s="55"/>
    </row>
    <row r="19" spans="1:11" ht="15" customHeight="1" x14ac:dyDescent="0.2">
      <c r="A19" s="55"/>
      <c r="B19" s="60" t="s">
        <v>81</v>
      </c>
      <c r="C19" s="57" t="s">
        <v>79</v>
      </c>
      <c r="D19" s="61">
        <v>25</v>
      </c>
      <c r="E19" s="57">
        <v>1</v>
      </c>
      <c r="F19" s="59">
        <f t="shared" si="1"/>
        <v>25</v>
      </c>
      <c r="G19" s="55"/>
      <c r="H19" s="55"/>
      <c r="I19" s="55"/>
      <c r="J19" s="55"/>
      <c r="K19" s="55"/>
    </row>
    <row r="20" spans="1:11" ht="15" customHeight="1" thickBot="1" x14ac:dyDescent="0.25">
      <c r="A20" s="55"/>
      <c r="B20" s="60" t="s">
        <v>111</v>
      </c>
      <c r="C20" s="57" t="s">
        <v>79</v>
      </c>
      <c r="D20" s="61">
        <f>+Inversión_Inicial!C41</f>
        <v>300</v>
      </c>
      <c r="E20" s="57">
        <v>1</v>
      </c>
      <c r="F20" s="59">
        <f t="shared" si="1"/>
        <v>300</v>
      </c>
      <c r="G20" s="55"/>
      <c r="H20" s="55"/>
      <c r="I20" s="55"/>
      <c r="J20" s="55"/>
      <c r="K20" s="55"/>
    </row>
    <row r="21" spans="1:11" ht="30.75" customHeight="1" thickBot="1" x14ac:dyDescent="0.25">
      <c r="B21" s="415" t="s">
        <v>83</v>
      </c>
      <c r="C21" s="416"/>
      <c r="D21" s="416"/>
      <c r="E21" s="417"/>
      <c r="F21" s="255">
        <f>F6+F13+F16</f>
        <v>3125</v>
      </c>
    </row>
    <row r="22" spans="1:11" ht="12.75" customHeight="1" x14ac:dyDescent="0.2"/>
    <row r="23" spans="1:11" ht="12.75" customHeight="1" thickBot="1" x14ac:dyDescent="0.25"/>
    <row r="24" spans="1:11" ht="12.75" customHeight="1" thickBot="1" x14ac:dyDescent="0.25">
      <c r="B24" s="318" t="s">
        <v>34</v>
      </c>
      <c r="C24" s="319" t="s">
        <v>160</v>
      </c>
      <c r="D24" s="319" t="s">
        <v>261</v>
      </c>
      <c r="E24" s="320" t="s">
        <v>262</v>
      </c>
    </row>
    <row r="25" spans="1:11" ht="12.75" customHeight="1" x14ac:dyDescent="0.2">
      <c r="B25" s="315" t="s">
        <v>264</v>
      </c>
      <c r="C25" s="316">
        <f>$F$6*12</f>
        <v>3300</v>
      </c>
      <c r="D25" s="316">
        <f t="shared" ref="D25:E25" si="2">$F$6*12</f>
        <v>3300</v>
      </c>
      <c r="E25" s="317">
        <f t="shared" si="2"/>
        <v>3300</v>
      </c>
    </row>
    <row r="26" spans="1:11" ht="12.75" customHeight="1" x14ac:dyDescent="0.2">
      <c r="B26" s="313" t="s">
        <v>263</v>
      </c>
      <c r="C26" s="311">
        <f>$F$13*12</f>
        <v>28620</v>
      </c>
      <c r="D26" s="311">
        <f t="shared" ref="D26:E26" si="3">$F$13*12</f>
        <v>28620</v>
      </c>
      <c r="E26" s="314">
        <f t="shared" si="3"/>
        <v>28620</v>
      </c>
    </row>
    <row r="27" spans="1:11" ht="12.75" customHeight="1" x14ac:dyDescent="0.2">
      <c r="B27" s="313" t="s">
        <v>265</v>
      </c>
      <c r="C27" s="311">
        <f>$F$16*12</f>
        <v>5580</v>
      </c>
      <c r="D27" s="311">
        <f t="shared" ref="D27:E27" si="4">$F$16*12</f>
        <v>5580</v>
      </c>
      <c r="E27" s="314">
        <f t="shared" si="4"/>
        <v>5580</v>
      </c>
    </row>
    <row r="28" spans="1:11" ht="12.75" customHeight="1" thickBot="1" x14ac:dyDescent="0.25">
      <c r="B28" s="321" t="s">
        <v>266</v>
      </c>
      <c r="C28" s="322">
        <f>Depreciación_VR!$F$7</f>
        <v>3685</v>
      </c>
      <c r="D28" s="322">
        <f>Depreciación_VR!$F$7</f>
        <v>3685</v>
      </c>
      <c r="E28" s="323">
        <f>Depreciación_VR!$F$7</f>
        <v>3685</v>
      </c>
    </row>
    <row r="29" spans="1:11" ht="12.75" customHeight="1" thickBot="1" x14ac:dyDescent="0.25">
      <c r="B29" s="318" t="s">
        <v>267</v>
      </c>
      <c r="C29" s="319">
        <f>SUM(C25:C28)</f>
        <v>41185</v>
      </c>
      <c r="D29" s="319">
        <f t="shared" ref="D29:E29" si="5">SUM(D25:D28)</f>
        <v>41185</v>
      </c>
      <c r="E29" s="320">
        <f t="shared" si="5"/>
        <v>41185</v>
      </c>
    </row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</sheetData>
  <mergeCells count="5">
    <mergeCell ref="B3:F3"/>
    <mergeCell ref="B13:E13"/>
    <mergeCell ref="B6:E6"/>
    <mergeCell ref="B16:E16"/>
    <mergeCell ref="B21:E21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220"/>
  <sheetViews>
    <sheetView workbookViewId="0">
      <selection activeCell="D10" sqref="D10"/>
    </sheetView>
  </sheetViews>
  <sheetFormatPr baseColWidth="10" defaultColWidth="14.42578125" defaultRowHeight="15" customHeight="1" x14ac:dyDescent="0.2"/>
  <cols>
    <col min="1" max="1" width="10" customWidth="1"/>
    <col min="2" max="2" width="15.85546875" customWidth="1"/>
    <col min="3" max="3" width="5.5703125" customWidth="1"/>
    <col min="4" max="4" width="7.5703125" customWidth="1"/>
    <col min="5" max="5" width="7.28515625" customWidth="1"/>
    <col min="6" max="6" width="7.7109375" customWidth="1"/>
    <col min="7" max="7" width="6.7109375" customWidth="1"/>
    <col min="8" max="8" width="7.5703125" customWidth="1"/>
    <col min="9" max="9" width="6.42578125" customWidth="1"/>
    <col min="10" max="10" width="6.7109375" customWidth="1"/>
    <col min="11" max="11" width="7.42578125" customWidth="1"/>
    <col min="12" max="12" width="7" customWidth="1"/>
    <col min="13" max="13" width="6.85546875" customWidth="1"/>
    <col min="14" max="14" width="6.7109375" customWidth="1"/>
    <col min="15" max="15" width="6.28515625" customWidth="1"/>
    <col min="16" max="16" width="7.28515625" customWidth="1"/>
  </cols>
  <sheetData>
    <row r="1" spans="2:16" ht="12.75" customHeight="1" x14ac:dyDescent="0.2"/>
    <row r="2" spans="2:16" ht="12.75" customHeight="1" x14ac:dyDescent="0.2"/>
    <row r="3" spans="2:16" ht="12.75" customHeight="1" x14ac:dyDescent="0.2"/>
    <row r="4" spans="2:16" ht="12.75" customHeight="1" x14ac:dyDescent="0.2"/>
    <row r="5" spans="2:16" ht="12.75" customHeight="1" x14ac:dyDescent="0.2">
      <c r="B5" s="385" t="s">
        <v>95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</row>
    <row r="6" spans="2:16" ht="13.5" customHeight="1" x14ac:dyDescent="0.2"/>
    <row r="7" spans="2:16" ht="12.75" customHeight="1" x14ac:dyDescent="0.2">
      <c r="B7" s="418" t="s">
        <v>34</v>
      </c>
      <c r="C7" s="420">
        <v>0</v>
      </c>
      <c r="D7" s="422" t="s">
        <v>96</v>
      </c>
      <c r="E7" s="423"/>
      <c r="F7" s="423"/>
      <c r="G7" s="423"/>
      <c r="H7" s="423"/>
      <c r="I7" s="423"/>
      <c r="J7" s="423"/>
      <c r="K7" s="423"/>
      <c r="L7" s="423"/>
      <c r="M7" s="423"/>
      <c r="N7" s="423"/>
      <c r="O7" s="424"/>
      <c r="P7" s="425" t="s">
        <v>29</v>
      </c>
    </row>
    <row r="8" spans="2:16" ht="12.75" customHeight="1" x14ac:dyDescent="0.2">
      <c r="B8" s="419"/>
      <c r="C8" s="421"/>
      <c r="D8" s="117">
        <v>1</v>
      </c>
      <c r="E8" s="117">
        <v>2</v>
      </c>
      <c r="F8" s="117">
        <v>3</v>
      </c>
      <c r="G8" s="117">
        <v>4</v>
      </c>
      <c r="H8" s="117">
        <v>5</v>
      </c>
      <c r="I8" s="117">
        <v>6</v>
      </c>
      <c r="J8" s="117">
        <v>7</v>
      </c>
      <c r="K8" s="117">
        <v>8</v>
      </c>
      <c r="L8" s="117">
        <v>9</v>
      </c>
      <c r="M8" s="117">
        <v>10</v>
      </c>
      <c r="N8" s="117">
        <v>11</v>
      </c>
      <c r="O8" s="117">
        <v>12</v>
      </c>
      <c r="P8" s="426"/>
    </row>
    <row r="9" spans="2:16" ht="12.75" customHeight="1" x14ac:dyDescent="0.2">
      <c r="B9" s="41" t="s">
        <v>97</v>
      </c>
      <c r="C9" s="1"/>
      <c r="D9" s="42">
        <f>Ventas_Unidades!C16</f>
        <v>30</v>
      </c>
      <c r="E9" s="42">
        <f>Ventas_Unidades!D16</f>
        <v>30</v>
      </c>
      <c r="F9" s="42">
        <f>Ventas_Unidades!E16</f>
        <v>30</v>
      </c>
      <c r="G9" s="42">
        <f>Ventas_Unidades!F16</f>
        <v>30</v>
      </c>
      <c r="H9" s="42">
        <f>Ventas_Unidades!G16</f>
        <v>30</v>
      </c>
      <c r="I9" s="42">
        <f>Ventas_Unidades!H16</f>
        <v>30</v>
      </c>
      <c r="J9" s="42">
        <f>Ventas_Unidades!I16</f>
        <v>30</v>
      </c>
      <c r="K9" s="42">
        <f>Ventas_Unidades!J16</f>
        <v>30</v>
      </c>
      <c r="L9" s="42">
        <f>Ventas_Unidades!K16</f>
        <v>30</v>
      </c>
      <c r="M9" s="42">
        <f>Ventas_Unidades!L16</f>
        <v>30</v>
      </c>
      <c r="N9" s="42">
        <f>Ventas_Unidades!M16</f>
        <v>30</v>
      </c>
      <c r="O9" s="42">
        <f>Ventas_Unidades!N16</f>
        <v>30</v>
      </c>
      <c r="P9" s="43"/>
    </row>
    <row r="10" spans="2:16" ht="12.75" customHeight="1" x14ac:dyDescent="0.2">
      <c r="B10" s="41" t="s">
        <v>98</v>
      </c>
      <c r="C10" s="1"/>
      <c r="D10" s="34">
        <f>Costos_Unitarios!$C$18</f>
        <v>104.16666666666667</v>
      </c>
      <c r="E10" s="34">
        <f>Costos_Unitarios!$C$18</f>
        <v>104.16666666666667</v>
      </c>
      <c r="F10" s="34">
        <f>Costos_Unitarios!$C$18</f>
        <v>104.16666666666667</v>
      </c>
      <c r="G10" s="34">
        <f>Costos_Unitarios!$C$18</f>
        <v>104.16666666666667</v>
      </c>
      <c r="H10" s="34">
        <f>Costos_Unitarios!$C$18</f>
        <v>104.16666666666667</v>
      </c>
      <c r="I10" s="34">
        <f>Costos_Unitarios!$C$18</f>
        <v>104.16666666666667</v>
      </c>
      <c r="J10" s="34">
        <f>Costos_Unitarios!$C$18</f>
        <v>104.16666666666667</v>
      </c>
      <c r="K10" s="34">
        <f>Costos_Unitarios!$C$18</f>
        <v>104.16666666666667</v>
      </c>
      <c r="L10" s="34">
        <f>Costos_Unitarios!$C$18</f>
        <v>104.16666666666667</v>
      </c>
      <c r="M10" s="34">
        <f>Costos_Unitarios!$C$18</f>
        <v>104.16666666666667</v>
      </c>
      <c r="N10" s="34">
        <f>Costos_Unitarios!$C$18</f>
        <v>104.16666666666667</v>
      </c>
      <c r="O10" s="34">
        <f>Costos_Unitarios!$C$18</f>
        <v>104.16666666666667</v>
      </c>
      <c r="P10" s="43"/>
    </row>
    <row r="11" spans="2:16" ht="12.75" customHeight="1" x14ac:dyDescent="0.2">
      <c r="B11" s="41" t="s">
        <v>99</v>
      </c>
      <c r="C11" s="44"/>
      <c r="D11" s="1">
        <f>D9*D10</f>
        <v>3125</v>
      </c>
      <c r="E11" s="1">
        <f t="shared" ref="E11:O11" si="0">E9*E10</f>
        <v>3125</v>
      </c>
      <c r="F11" s="1">
        <f t="shared" si="0"/>
        <v>3125</v>
      </c>
      <c r="G11" s="1">
        <f t="shared" si="0"/>
        <v>3125</v>
      </c>
      <c r="H11" s="1">
        <f t="shared" si="0"/>
        <v>3125</v>
      </c>
      <c r="I11" s="1">
        <f t="shared" si="0"/>
        <v>3125</v>
      </c>
      <c r="J11" s="1">
        <f t="shared" si="0"/>
        <v>3125</v>
      </c>
      <c r="K11" s="1">
        <f t="shared" si="0"/>
        <v>3125</v>
      </c>
      <c r="L11" s="1">
        <f t="shared" si="0"/>
        <v>3125</v>
      </c>
      <c r="M11" s="1">
        <f t="shared" si="0"/>
        <v>3125</v>
      </c>
      <c r="N11" s="1">
        <f t="shared" si="0"/>
        <v>3125</v>
      </c>
      <c r="O11" s="1">
        <f t="shared" si="0"/>
        <v>3125</v>
      </c>
      <c r="P11" s="43"/>
    </row>
    <row r="12" spans="2:16" ht="12.75" customHeight="1" x14ac:dyDescent="0.2">
      <c r="B12" s="41" t="s">
        <v>100</v>
      </c>
      <c r="C12" s="44"/>
      <c r="D12" s="44">
        <f>Gastos_Operativos!$F$14</f>
        <v>3220</v>
      </c>
      <c r="E12" s="44">
        <f>Gastos_Operativos!$F$14</f>
        <v>3220</v>
      </c>
      <c r="F12" s="44">
        <f>Gastos_Operativos!$F$14</f>
        <v>3220</v>
      </c>
      <c r="G12" s="44">
        <f>Gastos_Operativos!$F$14</f>
        <v>3220</v>
      </c>
      <c r="H12" s="44">
        <f>Gastos_Operativos!$F$14</f>
        <v>3220</v>
      </c>
      <c r="I12" s="44">
        <f>Gastos_Operativos!$F$14</f>
        <v>3220</v>
      </c>
      <c r="J12" s="44">
        <f>Gastos_Operativos!$F$14</f>
        <v>3220</v>
      </c>
      <c r="K12" s="44">
        <f>Gastos_Operativos!$F$14</f>
        <v>3220</v>
      </c>
      <c r="L12" s="44">
        <f>Gastos_Operativos!$F$14</f>
        <v>3220</v>
      </c>
      <c r="M12" s="44">
        <f>Gastos_Operativos!$F$14</f>
        <v>3220</v>
      </c>
      <c r="N12" s="44">
        <f>Gastos_Operativos!$F$14</f>
        <v>3220</v>
      </c>
      <c r="O12" s="44">
        <f>Gastos_Operativos!$F$14</f>
        <v>3220</v>
      </c>
      <c r="P12" s="43"/>
    </row>
    <row r="13" spans="2:16" ht="12.75" customHeight="1" x14ac:dyDescent="0.2">
      <c r="B13" s="41" t="s">
        <v>101</v>
      </c>
      <c r="C13" s="44"/>
      <c r="D13" s="44">
        <f>D11+D12</f>
        <v>6345</v>
      </c>
      <c r="E13" s="44">
        <f t="shared" ref="E13:O13" si="1">E11+E12</f>
        <v>6345</v>
      </c>
      <c r="F13" s="44">
        <f t="shared" si="1"/>
        <v>6345</v>
      </c>
      <c r="G13" s="44">
        <f t="shared" si="1"/>
        <v>6345</v>
      </c>
      <c r="H13" s="44">
        <f t="shared" si="1"/>
        <v>6345</v>
      </c>
      <c r="I13" s="44">
        <f t="shared" si="1"/>
        <v>6345</v>
      </c>
      <c r="J13" s="44">
        <f t="shared" si="1"/>
        <v>6345</v>
      </c>
      <c r="K13" s="44">
        <f t="shared" si="1"/>
        <v>6345</v>
      </c>
      <c r="L13" s="44">
        <f t="shared" si="1"/>
        <v>6345</v>
      </c>
      <c r="M13" s="44">
        <f t="shared" si="1"/>
        <v>6345</v>
      </c>
      <c r="N13" s="44">
        <f t="shared" si="1"/>
        <v>6345</v>
      </c>
      <c r="O13" s="44">
        <f t="shared" si="1"/>
        <v>6345</v>
      </c>
      <c r="P13" s="43"/>
    </row>
    <row r="14" spans="2:16" ht="12.75" customHeight="1" x14ac:dyDescent="0.2">
      <c r="B14" s="41" t="s">
        <v>102</v>
      </c>
      <c r="C14" s="44">
        <f>D13</f>
        <v>6345</v>
      </c>
      <c r="D14" s="44">
        <f>E13-C14</f>
        <v>0</v>
      </c>
      <c r="E14" s="44">
        <f t="shared" ref="E14:N14" si="2">F13-D15</f>
        <v>0</v>
      </c>
      <c r="F14" s="44">
        <f t="shared" si="2"/>
        <v>0</v>
      </c>
      <c r="G14" s="44">
        <f t="shared" si="2"/>
        <v>0</v>
      </c>
      <c r="H14" s="44">
        <f t="shared" si="2"/>
        <v>0</v>
      </c>
      <c r="I14" s="44">
        <f t="shared" si="2"/>
        <v>0</v>
      </c>
      <c r="J14" s="44">
        <f t="shared" si="2"/>
        <v>0</v>
      </c>
      <c r="K14" s="44">
        <f t="shared" si="2"/>
        <v>0</v>
      </c>
      <c r="L14" s="44">
        <f t="shared" si="2"/>
        <v>0</v>
      </c>
      <c r="M14" s="44">
        <f t="shared" si="2"/>
        <v>0</v>
      </c>
      <c r="N14" s="44">
        <f t="shared" si="2"/>
        <v>0</v>
      </c>
      <c r="O14" s="44"/>
      <c r="P14" s="45">
        <f>SUM(D14:O14)</f>
        <v>0</v>
      </c>
    </row>
    <row r="15" spans="2:16" ht="13.5" customHeight="1" x14ac:dyDescent="0.2">
      <c r="B15" s="118" t="s">
        <v>29</v>
      </c>
      <c r="C15" s="119"/>
      <c r="D15" s="120">
        <f t="shared" ref="D15:O15" si="3">D13+D14</f>
        <v>6345</v>
      </c>
      <c r="E15" s="120">
        <f t="shared" si="3"/>
        <v>6345</v>
      </c>
      <c r="F15" s="120">
        <f t="shared" si="3"/>
        <v>6345</v>
      </c>
      <c r="G15" s="120">
        <f t="shared" si="3"/>
        <v>6345</v>
      </c>
      <c r="H15" s="120">
        <f t="shared" si="3"/>
        <v>6345</v>
      </c>
      <c r="I15" s="120">
        <f t="shared" si="3"/>
        <v>6345</v>
      </c>
      <c r="J15" s="120">
        <f t="shared" si="3"/>
        <v>6345</v>
      </c>
      <c r="K15" s="120">
        <f t="shared" si="3"/>
        <v>6345</v>
      </c>
      <c r="L15" s="120">
        <f t="shared" si="3"/>
        <v>6345</v>
      </c>
      <c r="M15" s="120">
        <f t="shared" si="3"/>
        <v>6345</v>
      </c>
      <c r="N15" s="120">
        <f t="shared" si="3"/>
        <v>6345</v>
      </c>
      <c r="O15" s="120">
        <f t="shared" si="3"/>
        <v>6345</v>
      </c>
      <c r="P15" s="47"/>
    </row>
    <row r="16" spans="2:16" ht="12.75" customHeight="1" x14ac:dyDescent="0.2"/>
    <row r="17" spans="5:11" ht="12.75" customHeight="1" x14ac:dyDescent="0.2">
      <c r="E17" s="12"/>
    </row>
    <row r="18" spans="5:11" ht="12.75" customHeight="1" x14ac:dyDescent="0.2">
      <c r="K18" s="12"/>
    </row>
    <row r="19" spans="5:11" ht="12.75" customHeight="1" x14ac:dyDescent="0.2"/>
    <row r="20" spans="5:11" ht="12.75" customHeight="1" x14ac:dyDescent="0.2"/>
    <row r="21" spans="5:11" ht="12.75" customHeight="1" x14ac:dyDescent="0.2"/>
    <row r="22" spans="5:11" ht="12.75" customHeight="1" x14ac:dyDescent="0.2"/>
    <row r="23" spans="5:11" ht="12.75" customHeight="1" x14ac:dyDescent="0.2"/>
    <row r="24" spans="5:11" ht="12.75" customHeight="1" x14ac:dyDescent="0.2"/>
    <row r="25" spans="5:11" ht="12.75" customHeight="1" x14ac:dyDescent="0.2"/>
    <row r="26" spans="5:11" ht="12.75" customHeight="1" x14ac:dyDescent="0.2"/>
    <row r="27" spans="5:11" ht="12.75" customHeight="1" x14ac:dyDescent="0.2"/>
    <row r="28" spans="5:11" ht="12.75" customHeight="1" x14ac:dyDescent="0.2"/>
    <row r="29" spans="5:11" ht="12.75" customHeight="1" x14ac:dyDescent="0.2"/>
    <row r="30" spans="5:11" ht="12.75" customHeight="1" x14ac:dyDescent="0.2"/>
    <row r="31" spans="5:11" ht="12.75" customHeight="1" x14ac:dyDescent="0.2"/>
    <row r="32" spans="5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</sheetData>
  <mergeCells count="5">
    <mergeCell ref="B5:P5"/>
    <mergeCell ref="B7:B8"/>
    <mergeCell ref="C7:C8"/>
    <mergeCell ref="D7:O7"/>
    <mergeCell ref="P7:P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</vt:i4>
      </vt:variant>
    </vt:vector>
  </HeadingPairs>
  <TitlesOfParts>
    <vt:vector size="21" baseType="lpstr">
      <vt:lpstr>Resumen</vt:lpstr>
      <vt:lpstr>Sensibilidad</vt:lpstr>
      <vt:lpstr>Resumen del escenario</vt:lpstr>
      <vt:lpstr>Ventas_Unidades</vt:lpstr>
      <vt:lpstr>Proyeccion_Ventas</vt:lpstr>
      <vt:lpstr>Inversión_Inicial</vt:lpstr>
      <vt:lpstr>Depreciación_VR</vt:lpstr>
      <vt:lpstr>Costos_Producción</vt:lpstr>
      <vt:lpstr>KW_Año 1</vt:lpstr>
      <vt:lpstr>Sueldos</vt:lpstr>
      <vt:lpstr>Gastos_Operativos</vt:lpstr>
      <vt:lpstr>Costos_Unitarios</vt:lpstr>
      <vt:lpstr>Punto de equilibrio</vt:lpstr>
      <vt:lpstr>Flujo_Deuda</vt:lpstr>
      <vt:lpstr>Estado de Resultados</vt:lpstr>
      <vt:lpstr>Ku</vt:lpstr>
      <vt:lpstr>Ke y Kwacc</vt:lpstr>
      <vt:lpstr>Flujos de Caja</vt:lpstr>
      <vt:lpstr>Rentabilidad</vt:lpstr>
      <vt:lpstr>'Ke y Kwacc'!_Hlk37002392</vt:lpstr>
      <vt:lpstr>'Ke y Kwacc'!_Hlk38462990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IGNACIO PEREZ</dc:creator>
  <cp:lastModifiedBy>Usuario</cp:lastModifiedBy>
  <dcterms:created xsi:type="dcterms:W3CDTF">2021-02-15T02:41:42Z</dcterms:created>
  <dcterms:modified xsi:type="dcterms:W3CDTF">2021-03-30T15:43:33Z</dcterms:modified>
</cp:coreProperties>
</file>